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BoardCommitteeMaterials\2016\October\"/>
    </mc:Choice>
  </mc:AlternateContent>
  <bookViews>
    <workbookView xWindow="240" yWindow="645" windowWidth="15480" windowHeight="9240"/>
  </bookViews>
  <sheets>
    <sheet name="Summary" sheetId="5" r:id="rId1"/>
    <sheet name="Revenues" sheetId="4" r:id="rId2"/>
    <sheet name="MF Issuer Fees" sheetId="16" r:id="rId3"/>
    <sheet name="SF Issuer Fees" sheetId="17" r:id="rId4"/>
    <sheet name="HUD Disposition Prop" sheetId="18" state="hidden" r:id="rId5"/>
    <sheet name="Total Expenses" sheetId="12" r:id="rId6"/>
    <sheet name="HR" sheetId="6" r:id="rId7"/>
    <sheet name="Travel" sheetId="9" r:id="rId8"/>
    <sheet name="Bldg Bond Int" sheetId="13" r:id="rId9"/>
    <sheet name="Bldg Maint ONLY" sheetId="10" r:id="rId10"/>
    <sheet name="Prof Serv" sheetId="3" r:id="rId11"/>
    <sheet name="Other Operating Expenses" sheetId="8" r:id="rId12"/>
    <sheet name="Supplies" sheetId="14" r:id="rId13"/>
    <sheet name="Capital Exp" sheetId="15" r:id="rId14"/>
    <sheet name="Lists" sheetId="7" r:id="rId15"/>
    <sheet name="Program Definitions" sheetId="11" r:id="rId16"/>
  </sheets>
  <definedNames>
    <definedName name="_xlnm._FilterDatabase" localSheetId="9" hidden="1">'Bldg Maint ONLY'!$A$27:$O$301</definedName>
    <definedName name="_xlnm._FilterDatabase" localSheetId="13" hidden="1">'Capital Exp'!$A$27:$N$205</definedName>
    <definedName name="_xlnm._FilterDatabase" localSheetId="6" hidden="1">HR!$A$28:$Y$481</definedName>
    <definedName name="_xlnm._FilterDatabase" localSheetId="11" hidden="1">'Other Operating Expenses'!$A$27:$N$641</definedName>
    <definedName name="_xlnm._FilterDatabase" localSheetId="10" hidden="1">'Prof Serv'!$A$27:$N$384</definedName>
    <definedName name="_xlnm._FilterDatabase" localSheetId="1" hidden="1">Revenues!$B$5:$Y$5</definedName>
    <definedName name="_xlnm._FilterDatabase" localSheetId="12" hidden="1">Supplies!$A$27:$N$313</definedName>
    <definedName name="_xlnm._FilterDatabase" localSheetId="7" hidden="1">Travel!$A$27:$P$388</definedName>
    <definedName name="BldgExpCodes">Lists!$A$308:$B$329</definedName>
    <definedName name="Budgets">Lists!$A$2:$A$19</definedName>
    <definedName name="BuildingCodes">Lists!$A$355:$A$358</definedName>
    <definedName name="BuildingExpenses">Lists!$A$308:$A$329</definedName>
    <definedName name="CAPCalcs">'Total Expenses'!$X$74:$AA$140</definedName>
    <definedName name="Capital">Lists!$A$377:$A$384</definedName>
    <definedName name="CapitalCodes">Lists!$A$377:$B$384</definedName>
    <definedName name="Classification">Lists!$A$255:$A$257</definedName>
    <definedName name="Contract">Lists!$A$273:$A$278</definedName>
    <definedName name="ContractStatus">Lists!$A$281:$A$284</definedName>
    <definedName name="EEStatus">Lists!$A$260:$A$266</definedName>
    <definedName name="Employees">Lists!$A$121:$A$245</definedName>
    <definedName name="Existing">Lists!$A$249:$A$252</definedName>
    <definedName name="Funded">Lists!$A$269:$A$270</definedName>
    <definedName name="Funding">Lists!$A$23:$A$86</definedName>
    <definedName name="Location">Lists!$A$332:$A$336</definedName>
    <definedName name="OtherExpenses">Lists!$A$287:$A$305</definedName>
    <definedName name="OtherOperatingCodes">Lists!$B$287:$B$305</definedName>
    <definedName name="OtherOperatingExpenses">Lists!$A$287:$B$305</definedName>
    <definedName name="PayrollData">HR!$A$29:$Y$445</definedName>
    <definedName name="_xlnm.Print_Area" localSheetId="8">'Bldg Bond Int'!$A$1:$F$15</definedName>
    <definedName name="_xlnm.Print_Area" localSheetId="9">'Bldg Maint ONLY'!$B$28:$O$279</definedName>
    <definedName name="_xlnm.Print_Area" localSheetId="13">'Capital Exp'!$B$1:$N$61</definedName>
    <definedName name="_xlnm.Print_Area" localSheetId="6">HR!$C$1:$Y$25</definedName>
    <definedName name="_xlnm.Print_Area" localSheetId="2">'MF Issuer Fees'!$A$1:$I$55</definedName>
    <definedName name="_xlnm.Print_Area" localSheetId="11">'Other Operating Expenses'!$B$28:$N$281</definedName>
    <definedName name="_xlnm.Print_Area" localSheetId="10">'Prof Serv'!$B$28:$N$276</definedName>
    <definedName name="_xlnm.Print_Area" localSheetId="1">Revenues!$D$6:$Y$151</definedName>
    <definedName name="_xlnm.Print_Area" localSheetId="3">'SF Issuer Fees'!$A$1:$I$28</definedName>
    <definedName name="_xlnm.Print_Area" localSheetId="0">Summary!$B$4:$P$39</definedName>
    <definedName name="_xlnm.Print_Area" localSheetId="12">Supplies!$A$28:$N$277</definedName>
    <definedName name="_xlnm.Print_Area" localSheetId="5">'Total Expenses'!$A$1:$W$143</definedName>
    <definedName name="_xlnm.Print_Area" localSheetId="7">Travel!$B$28:$P$280</definedName>
    <definedName name="_xlnm.Print_Titles" localSheetId="9">'Bldg Maint ONLY'!$1:$27</definedName>
    <definedName name="_xlnm.Print_Titles" localSheetId="6">HR!$A:$E,HR!$1:$28</definedName>
    <definedName name="_xlnm.Print_Titles" localSheetId="2">'MF Issuer Fees'!$A:$A,'MF Issuer Fees'!$1:$5</definedName>
    <definedName name="_xlnm.Print_Titles" localSheetId="11">'Other Operating Expenses'!$1:$27</definedName>
    <definedName name="_xlnm.Print_Titles" localSheetId="10">'Prof Serv'!$1:$27</definedName>
    <definedName name="_xlnm.Print_Titles" localSheetId="1">Revenues!$B:$C,Revenues!$1:$5</definedName>
    <definedName name="_xlnm.Print_Titles" localSheetId="0">Summary!$A:$A,Summary!$1:$4</definedName>
    <definedName name="_xlnm.Print_Titles" localSheetId="12">Supplies!$1:$27</definedName>
    <definedName name="_xlnm.Print_Titles" localSheetId="5">'Total Expenses'!$A:$A,'Total Expenses'!$73:$75</definedName>
    <definedName name="_xlnm.Print_Titles" localSheetId="7">Travel!$1:$27</definedName>
    <definedName name="ProfessionalAccts">Lists!$A$347:$A$352</definedName>
    <definedName name="ProfExpCodes">Lists!$A$365:$B$370</definedName>
    <definedName name="Revenues">Lists!$A$90:$A$117</definedName>
    <definedName name="Supplies">Lists!$A$361:$A$362</definedName>
    <definedName name="SuppliesExpCodes">Lists!$A$373:$B$374</definedName>
    <definedName name="SuppliesType">Lists!$A$373:$A$374</definedName>
    <definedName name="TravelAccts">Lists!$A$339:$A$344</definedName>
    <definedName name="TravelExpenses">Lists!$A$339:$C$344</definedName>
  </definedNames>
  <calcPr calcId="152511"/>
</workbook>
</file>

<file path=xl/calcChain.xml><?xml version="1.0" encoding="utf-8"?>
<calcChain xmlns="http://schemas.openxmlformats.org/spreadsheetml/2006/main">
  <c r="K17" i="5" l="1"/>
  <c r="G107" i="4" l="1"/>
  <c r="G81" i="4"/>
  <c r="K17" i="4"/>
  <c r="M140" i="4"/>
  <c r="I21" i="6"/>
  <c r="I20" i="6"/>
  <c r="I12" i="6"/>
  <c r="I9" i="6"/>
  <c r="Y19" i="6"/>
  <c r="Y16" i="6"/>
  <c r="Y11" i="6"/>
  <c r="Y4" i="6"/>
  <c r="K52" i="4"/>
  <c r="K9" i="5" s="1"/>
  <c r="G58" i="4"/>
  <c r="Y3" i="6" l="1"/>
  <c r="V32" i="4"/>
  <c r="S32" i="4"/>
  <c r="P32" i="4"/>
  <c r="M32" i="4"/>
  <c r="T86" i="4"/>
  <c r="U86" i="4" s="1"/>
  <c r="K86" i="4"/>
  <c r="K85" i="4"/>
  <c r="K290" i="6"/>
  <c r="K447" i="6"/>
  <c r="K368" i="6"/>
  <c r="K367" i="6"/>
  <c r="K366" i="6"/>
  <c r="K365" i="6"/>
  <c r="K364" i="6"/>
  <c r="K363" i="6"/>
  <c r="K262" i="6"/>
  <c r="K261" i="6"/>
  <c r="K260" i="6"/>
  <c r="K259" i="6"/>
  <c r="K258" i="6"/>
  <c r="K239" i="6"/>
  <c r="K238" i="6"/>
  <c r="K237" i="6"/>
  <c r="K236" i="6"/>
  <c r="K235" i="6"/>
  <c r="K234" i="6"/>
  <c r="K233" i="6"/>
  <c r="K232" i="6"/>
  <c r="K189" i="6"/>
  <c r="K110" i="6"/>
  <c r="K109" i="6"/>
  <c r="K135" i="6"/>
  <c r="K134" i="6"/>
  <c r="K133" i="6"/>
  <c r="K114" i="6"/>
  <c r="K113" i="6"/>
  <c r="K112" i="6"/>
  <c r="K111" i="6"/>
  <c r="T87" i="4" l="1"/>
  <c r="O103" i="9"/>
  <c r="L103" i="9"/>
  <c r="K103" i="9"/>
  <c r="J103" i="9"/>
  <c r="A93" i="8"/>
  <c r="A150" i="8"/>
  <c r="N150" i="8"/>
  <c r="A151" i="8"/>
  <c r="A152" i="8"/>
  <c r="A153" i="8"/>
  <c r="A154" i="8"/>
  <c r="A155" i="8"/>
  <c r="A156" i="8"/>
  <c r="N156" i="8"/>
  <c r="A157" i="8"/>
  <c r="A158" i="8"/>
  <c r="A159" i="8"/>
  <c r="N159" i="8"/>
  <c r="A160" i="8"/>
  <c r="N160" i="8"/>
  <c r="A161" i="8"/>
  <c r="K161" i="8"/>
  <c r="N161" i="8" s="1"/>
  <c r="A162" i="8"/>
  <c r="N162" i="8"/>
  <c r="A163" i="8"/>
  <c r="N163" i="8"/>
  <c r="A164" i="8"/>
  <c r="N164" i="8"/>
  <c r="A175" i="8"/>
  <c r="A176" i="8"/>
  <c r="A179" i="8"/>
  <c r="A180" i="8"/>
  <c r="A181" i="8"/>
  <c r="A183" i="8"/>
  <c r="A184" i="8"/>
  <c r="A185" i="8"/>
  <c r="A186" i="8"/>
  <c r="A187" i="8"/>
  <c r="A188" i="8"/>
  <c r="A189" i="8"/>
  <c r="A190" i="8"/>
  <c r="A191" i="8"/>
  <c r="L191" i="8"/>
  <c r="A192" i="8"/>
  <c r="A193" i="8"/>
  <c r="N194" i="8"/>
  <c r="N87" i="8"/>
  <c r="K88" i="8"/>
  <c r="N88" i="8" s="1"/>
  <c r="N89" i="8"/>
  <c r="O100" i="9"/>
  <c r="M100" i="9"/>
  <c r="L100" i="9"/>
  <c r="J100" i="9"/>
  <c r="A59" i="14" l="1"/>
  <c r="A60" i="14"/>
  <c r="A61" i="14"/>
  <c r="N61" i="14"/>
  <c r="A62" i="14"/>
  <c r="A63" i="14"/>
  <c r="A64" i="14"/>
  <c r="A65" i="14"/>
  <c r="A66" i="14"/>
  <c r="A67" i="14"/>
  <c r="A68" i="14"/>
  <c r="A69" i="14"/>
  <c r="A70" i="14"/>
  <c r="A71" i="14"/>
  <c r="A78" i="3"/>
  <c r="A79" i="3"/>
  <c r="A80" i="3"/>
  <c r="A81" i="3"/>
  <c r="A82" i="3"/>
  <c r="A83" i="3"/>
  <c r="A84" i="3"/>
  <c r="A85" i="3"/>
  <c r="A86" i="3"/>
  <c r="A87" i="3"/>
  <c r="A88" i="3"/>
  <c r="A89" i="3"/>
  <c r="A90" i="3"/>
  <c r="A91" i="3"/>
  <c r="A92" i="3"/>
  <c r="A93" i="3"/>
  <c r="A94" i="3"/>
  <c r="A95" i="3"/>
  <c r="A96" i="3"/>
  <c r="A97" i="3"/>
  <c r="A98" i="3"/>
  <c r="N98" i="3"/>
  <c r="A99" i="3"/>
  <c r="A100" i="3"/>
  <c r="A101" i="3"/>
  <c r="A102" i="3"/>
  <c r="A103" i="3"/>
  <c r="A104" i="3"/>
  <c r="A105" i="3"/>
  <c r="A106" i="3"/>
  <c r="A107" i="3"/>
  <c r="A108" i="3"/>
  <c r="A109" i="3"/>
  <c r="P131" i="9"/>
  <c r="P132" i="9"/>
  <c r="P133" i="9"/>
  <c r="P134" i="9"/>
  <c r="P135" i="9"/>
  <c r="P136" i="9"/>
  <c r="P137" i="9"/>
  <c r="J138" i="9"/>
  <c r="K138" i="9"/>
  <c r="L138" i="9"/>
  <c r="M138" i="9"/>
  <c r="N138" i="9"/>
  <c r="O138" i="9"/>
  <c r="P139" i="9"/>
  <c r="P140" i="9"/>
  <c r="P141" i="9"/>
  <c r="P142" i="9"/>
  <c r="P143" i="9"/>
  <c r="P144" i="9"/>
  <c r="P145" i="9"/>
  <c r="P146" i="9"/>
  <c r="P147" i="9"/>
  <c r="P148" i="9"/>
  <c r="P149" i="9"/>
  <c r="P150" i="9"/>
  <c r="P151" i="9"/>
  <c r="P152" i="9"/>
  <c r="P153" i="9"/>
  <c r="P154" i="9"/>
  <c r="P155" i="9"/>
  <c r="P156" i="9"/>
  <c r="P157" i="9"/>
  <c r="P158" i="9"/>
  <c r="P159" i="9"/>
  <c r="P160" i="9"/>
  <c r="P161" i="9"/>
  <c r="P162" i="9"/>
  <c r="P163" i="9"/>
  <c r="P164" i="9"/>
  <c r="P165" i="9"/>
  <c r="J166" i="9"/>
  <c r="K166" i="9"/>
  <c r="L166" i="9"/>
  <c r="M166" i="9"/>
  <c r="O166" i="9"/>
  <c r="P167" i="9"/>
  <c r="P168" i="9"/>
  <c r="P169" i="9"/>
  <c r="P170" i="9"/>
  <c r="P171" i="9"/>
  <c r="P172" i="9"/>
  <c r="P173" i="9"/>
  <c r="P174" i="9"/>
  <c r="P175" i="9"/>
  <c r="P176" i="9"/>
  <c r="P177" i="9"/>
  <c r="P178" i="9"/>
  <c r="P179" i="9"/>
  <c r="P180" i="9"/>
  <c r="X32" i="4"/>
  <c r="U32" i="4"/>
  <c r="R32" i="4"/>
  <c r="O32" i="4"/>
  <c r="G6" i="3"/>
  <c r="F6" i="3"/>
  <c r="N36" i="3"/>
  <c r="A112" i="3"/>
  <c r="A111" i="3"/>
  <c r="A110" i="3"/>
  <c r="A77" i="3"/>
  <c r="A76" i="3"/>
  <c r="A75" i="3"/>
  <c r="A74" i="3"/>
  <c r="N73" i="3"/>
  <c r="A73" i="3"/>
  <c r="A72" i="3"/>
  <c r="A71" i="3"/>
  <c r="N70" i="3"/>
  <c r="L70" i="3"/>
  <c r="A70" i="3"/>
  <c r="A69" i="3"/>
  <c r="L68" i="3"/>
  <c r="A68" i="3"/>
  <c r="A67" i="3"/>
  <c r="A66" i="3"/>
  <c r="A65" i="3"/>
  <c r="A64" i="3"/>
  <c r="A63" i="3"/>
  <c r="A62" i="3"/>
  <c r="A61" i="3"/>
  <c r="A60" i="3"/>
  <c r="A59" i="3"/>
  <c r="A58" i="3"/>
  <c r="A57" i="3"/>
  <c r="A56" i="3"/>
  <c r="A55" i="3"/>
  <c r="A54" i="3"/>
  <c r="A53" i="3"/>
  <c r="A52" i="3"/>
  <c r="A51" i="3"/>
  <c r="A50" i="3"/>
  <c r="A49" i="3"/>
  <c r="A48" i="3"/>
  <c r="A47" i="3"/>
  <c r="A46" i="3"/>
  <c r="A45" i="3"/>
  <c r="A44" i="3"/>
  <c r="A113" i="3"/>
  <c r="N115" i="6"/>
  <c r="T115" i="6"/>
  <c r="U115" i="6"/>
  <c r="K116" i="6"/>
  <c r="N116" i="6" s="1"/>
  <c r="S116" i="6"/>
  <c r="T116" i="6"/>
  <c r="K117" i="6"/>
  <c r="N117" i="6" s="1"/>
  <c r="K118" i="6"/>
  <c r="N118" i="6" s="1"/>
  <c r="K119" i="6"/>
  <c r="N119" i="6" s="1"/>
  <c r="S119" i="6"/>
  <c r="T119" i="6"/>
  <c r="U119" i="6"/>
  <c r="K120" i="6"/>
  <c r="N120" i="6" s="1"/>
  <c r="K121" i="6"/>
  <c r="N121" i="6" s="1"/>
  <c r="K122" i="6"/>
  <c r="N122" i="6" s="1"/>
  <c r="K123" i="6"/>
  <c r="N123" i="6" s="1"/>
  <c r="P123" i="6" s="1"/>
  <c r="K124" i="6"/>
  <c r="N124" i="6" s="1"/>
  <c r="P124" i="6" s="1"/>
  <c r="N125" i="6"/>
  <c r="S125" i="6"/>
  <c r="T125" i="6"/>
  <c r="K126" i="6"/>
  <c r="N126" i="6" s="1"/>
  <c r="S126" i="6"/>
  <c r="T126" i="6"/>
  <c r="U126" i="6"/>
  <c r="K127" i="6"/>
  <c r="N127" i="6"/>
  <c r="P127" i="6" s="1"/>
  <c r="K128" i="6"/>
  <c r="N128" i="6" s="1"/>
  <c r="Q128" i="6" s="1"/>
  <c r="S128" i="6"/>
  <c r="U128" i="6"/>
  <c r="K129" i="6"/>
  <c r="N129" i="6" s="1"/>
  <c r="K130" i="6"/>
  <c r="N130" i="6" s="1"/>
  <c r="K131" i="6"/>
  <c r="N131" i="6" s="1"/>
  <c r="K132" i="6"/>
  <c r="N132" i="6" s="1"/>
  <c r="N133" i="6"/>
  <c r="P133" i="6" s="1"/>
  <c r="S133" i="6"/>
  <c r="T133" i="6"/>
  <c r="N134" i="6"/>
  <c r="P134" i="6" s="1"/>
  <c r="N135" i="6"/>
  <c r="N136" i="6"/>
  <c r="S136" i="6"/>
  <c r="T136" i="6"/>
  <c r="U136" i="6"/>
  <c r="K137" i="6"/>
  <c r="N137" i="6" s="1"/>
  <c r="Q137" i="6" s="1"/>
  <c r="S137" i="6"/>
  <c r="T137" i="6"/>
  <c r="U137" i="6"/>
  <c r="K138" i="6"/>
  <c r="N138" i="6" s="1"/>
  <c r="K139" i="6"/>
  <c r="N139" i="6"/>
  <c r="Q139" i="6" s="1"/>
  <c r="S139" i="6"/>
  <c r="T139" i="6"/>
  <c r="K140" i="6"/>
  <c r="N140" i="6" s="1"/>
  <c r="K141" i="6"/>
  <c r="N141" i="6" s="1"/>
  <c r="P141" i="6" s="1"/>
  <c r="N142" i="6"/>
  <c r="Q142" i="6" s="1"/>
  <c r="S142" i="6"/>
  <c r="K143" i="6"/>
  <c r="N143" i="6" s="1"/>
  <c r="P143" i="6" s="1"/>
  <c r="U143" i="6"/>
  <c r="K144" i="6"/>
  <c r="N144" i="6"/>
  <c r="P144" i="6" s="1"/>
  <c r="K145" i="6"/>
  <c r="N145" i="6" s="1"/>
  <c r="K146" i="6"/>
  <c r="N146" i="6" s="1"/>
  <c r="K147" i="6"/>
  <c r="N147" i="6" s="1"/>
  <c r="K148" i="6"/>
  <c r="N148" i="6" s="1"/>
  <c r="Q148" i="6" s="1"/>
  <c r="N149" i="6"/>
  <c r="K150" i="6"/>
  <c r="N150" i="6" s="1"/>
  <c r="Q150" i="6" s="1"/>
  <c r="S150" i="6"/>
  <c r="T150" i="6"/>
  <c r="K151" i="6"/>
  <c r="N151" i="6" s="1"/>
  <c r="K152" i="6"/>
  <c r="N152" i="6" s="1"/>
  <c r="P152" i="6" s="1"/>
  <c r="K153" i="6"/>
  <c r="N153" i="6" s="1"/>
  <c r="Q153" i="6" s="1"/>
  <c r="K154" i="6"/>
  <c r="N154" i="6" s="1"/>
  <c r="N155" i="6"/>
  <c r="Q155" i="6" s="1"/>
  <c r="S155" i="6"/>
  <c r="T155" i="6"/>
  <c r="K156" i="6"/>
  <c r="N156" i="6" s="1"/>
  <c r="S156" i="6"/>
  <c r="T156" i="6"/>
  <c r="K157" i="6"/>
  <c r="N157" i="6" s="1"/>
  <c r="P157" i="6" s="1"/>
  <c r="K158" i="6"/>
  <c r="N158" i="6" s="1"/>
  <c r="K159" i="6"/>
  <c r="N159" i="6" s="1"/>
  <c r="P159" i="6" s="1"/>
  <c r="K160" i="6"/>
  <c r="N160" i="6"/>
  <c r="Q160" i="6" s="1"/>
  <c r="K161" i="6"/>
  <c r="N161" i="6" s="1"/>
  <c r="K162" i="6"/>
  <c r="N162" i="6" s="1"/>
  <c r="N163" i="6"/>
  <c r="R163" i="6" s="1"/>
  <c r="N164" i="6"/>
  <c r="S164" i="6"/>
  <c r="T164" i="6"/>
  <c r="K165" i="6"/>
  <c r="N165" i="6" s="1"/>
  <c r="Q165" i="6" s="1"/>
  <c r="S165" i="6"/>
  <c r="T165" i="6"/>
  <c r="K166" i="6"/>
  <c r="N166" i="6"/>
  <c r="Q166" i="6" s="1"/>
  <c r="K167" i="6"/>
  <c r="N167" i="6" s="1"/>
  <c r="K168" i="6"/>
  <c r="N168" i="6" s="1"/>
  <c r="K169" i="6"/>
  <c r="N169" i="6" s="1"/>
  <c r="K170" i="6"/>
  <c r="N170" i="6" s="1"/>
  <c r="Q170" i="6" s="1"/>
  <c r="K171" i="6"/>
  <c r="N171" i="6" s="1"/>
  <c r="P171" i="6" s="1"/>
  <c r="K172" i="6"/>
  <c r="N172" i="6" s="1"/>
  <c r="S172" i="6"/>
  <c r="T172" i="6"/>
  <c r="K173" i="6"/>
  <c r="N173" i="6" s="1"/>
  <c r="P173" i="6" s="1"/>
  <c r="K174" i="6"/>
  <c r="N174" i="6" s="1"/>
  <c r="K175" i="6"/>
  <c r="N175" i="6" s="1"/>
  <c r="P175" i="6" s="1"/>
  <c r="K176" i="6"/>
  <c r="N176" i="6" s="1"/>
  <c r="P176" i="6" s="1"/>
  <c r="K177" i="6"/>
  <c r="N177" i="6" s="1"/>
  <c r="K178" i="6"/>
  <c r="N178" i="6" s="1"/>
  <c r="K179" i="6"/>
  <c r="N179" i="6"/>
  <c r="K180" i="6"/>
  <c r="N180" i="6" s="1"/>
  <c r="P180" i="6" s="1"/>
  <c r="K181" i="6"/>
  <c r="N181" i="6" s="1"/>
  <c r="P181" i="6" s="1"/>
  <c r="K182" i="6"/>
  <c r="N182" i="6" s="1"/>
  <c r="K183" i="6"/>
  <c r="N183" i="6" s="1"/>
  <c r="P183" i="6" s="1"/>
  <c r="K184" i="6"/>
  <c r="N184" i="6" s="1"/>
  <c r="N185" i="6"/>
  <c r="N186" i="6"/>
  <c r="Q186" i="6" s="1"/>
  <c r="S186" i="6"/>
  <c r="T186" i="6"/>
  <c r="K187" i="6"/>
  <c r="N187" i="6" s="1"/>
  <c r="P187" i="6" s="1"/>
  <c r="S187" i="6"/>
  <c r="T187" i="6"/>
  <c r="U187" i="6"/>
  <c r="K188" i="6"/>
  <c r="N188" i="6" s="1"/>
  <c r="P188" i="6" s="1"/>
  <c r="N189" i="6"/>
  <c r="S189" i="6"/>
  <c r="T189" i="6"/>
  <c r="U189" i="6"/>
  <c r="K190" i="6"/>
  <c r="N190" i="6" s="1"/>
  <c r="S190" i="6"/>
  <c r="T190" i="6"/>
  <c r="U190" i="6"/>
  <c r="K191" i="6"/>
  <c r="N191" i="6"/>
  <c r="K192" i="6"/>
  <c r="N192" i="6" s="1"/>
  <c r="P192" i="6" s="1"/>
  <c r="K193" i="6"/>
  <c r="N193" i="6" s="1"/>
  <c r="P193" i="6" s="1"/>
  <c r="K194" i="6"/>
  <c r="N194" i="6" s="1"/>
  <c r="K195" i="6"/>
  <c r="N195" i="6"/>
  <c r="P195" i="6" s="1"/>
  <c r="K196" i="6"/>
  <c r="N196" i="6" s="1"/>
  <c r="P196" i="6" s="1"/>
  <c r="K197" i="6"/>
  <c r="N197" i="6" s="1"/>
  <c r="K198" i="6"/>
  <c r="N198" i="6" s="1"/>
  <c r="K199" i="6"/>
  <c r="N199" i="6" s="1"/>
  <c r="K200" i="6"/>
  <c r="N200" i="6" s="1"/>
  <c r="Q200" i="6" s="1"/>
  <c r="K201" i="6"/>
  <c r="N201" i="6" s="1"/>
  <c r="P201" i="6" s="1"/>
  <c r="K202" i="6"/>
  <c r="N202" i="6" s="1"/>
  <c r="K203" i="6"/>
  <c r="N203" i="6" s="1"/>
  <c r="P203" i="6" s="1"/>
  <c r="K204" i="6"/>
  <c r="N204" i="6" s="1"/>
  <c r="Q204" i="6" s="1"/>
  <c r="K205" i="6"/>
  <c r="N205" i="6" s="1"/>
  <c r="N206" i="6"/>
  <c r="Q206" i="6" s="1"/>
  <c r="S206" i="6"/>
  <c r="T206" i="6"/>
  <c r="K207" i="6"/>
  <c r="N207" i="6" s="1"/>
  <c r="S207" i="6"/>
  <c r="T207" i="6"/>
  <c r="K208" i="6"/>
  <c r="N208" i="6" s="1"/>
  <c r="P208" i="6" s="1"/>
  <c r="K209" i="6"/>
  <c r="N209" i="6" s="1"/>
  <c r="S209" i="6"/>
  <c r="T209" i="6"/>
  <c r="K210" i="6"/>
  <c r="N210" i="6" s="1"/>
  <c r="P210" i="6" s="1"/>
  <c r="K211" i="6"/>
  <c r="N211" i="6" s="1"/>
  <c r="K212" i="6"/>
  <c r="N212" i="6" s="1"/>
  <c r="P212" i="6" s="1"/>
  <c r="K213" i="6"/>
  <c r="N213" i="6" s="1"/>
  <c r="P213" i="6" s="1"/>
  <c r="K214" i="6"/>
  <c r="N214" i="6" s="1"/>
  <c r="K215" i="6"/>
  <c r="N215" i="6" s="1"/>
  <c r="S215" i="6"/>
  <c r="T215" i="6"/>
  <c r="U215" i="6"/>
  <c r="K216" i="6"/>
  <c r="N216" i="6"/>
  <c r="Q216" i="6" s="1"/>
  <c r="K217" i="6"/>
  <c r="N217" i="6" s="1"/>
  <c r="P217" i="6" s="1"/>
  <c r="K218" i="6"/>
  <c r="N218" i="6" s="1"/>
  <c r="S218" i="6"/>
  <c r="T218" i="6"/>
  <c r="K219" i="6"/>
  <c r="N219" i="6" s="1"/>
  <c r="P219" i="6" s="1"/>
  <c r="K220" i="6"/>
  <c r="N220" i="6" s="1"/>
  <c r="K221" i="6"/>
  <c r="N221" i="6"/>
  <c r="P221" i="6" s="1"/>
  <c r="N222" i="6"/>
  <c r="P222" i="6" s="1"/>
  <c r="S222" i="6"/>
  <c r="T222" i="6"/>
  <c r="N223" i="6"/>
  <c r="P223" i="6" s="1"/>
  <c r="U223" i="6"/>
  <c r="N224" i="6"/>
  <c r="S224" i="6"/>
  <c r="T224" i="6"/>
  <c r="U224" i="6"/>
  <c r="N225" i="6"/>
  <c r="P225" i="6" s="1"/>
  <c r="S225" i="6"/>
  <c r="T225" i="6"/>
  <c r="U225" i="6"/>
  <c r="N226" i="6"/>
  <c r="P226" i="6" s="1"/>
  <c r="S226" i="6"/>
  <c r="T226" i="6"/>
  <c r="U226" i="6"/>
  <c r="K227" i="6"/>
  <c r="N227" i="6" s="1"/>
  <c r="S227" i="6"/>
  <c r="T227" i="6"/>
  <c r="K228" i="6"/>
  <c r="N228" i="6" s="1"/>
  <c r="K229" i="6"/>
  <c r="N229" i="6" s="1"/>
  <c r="S229" i="6"/>
  <c r="T229" i="6"/>
  <c r="K230" i="6"/>
  <c r="N230" i="6" s="1"/>
  <c r="K231" i="6"/>
  <c r="N231" i="6" s="1"/>
  <c r="N232" i="6"/>
  <c r="S232" i="6"/>
  <c r="T232" i="6"/>
  <c r="U232" i="6"/>
  <c r="N233" i="6"/>
  <c r="N234" i="6"/>
  <c r="N235" i="6"/>
  <c r="N236" i="6"/>
  <c r="Q236" i="6" s="1"/>
  <c r="N237" i="6"/>
  <c r="P237" i="6" s="1"/>
  <c r="N238" i="6"/>
  <c r="N239" i="6"/>
  <c r="P239" i="6" s="1"/>
  <c r="K240" i="6"/>
  <c r="N240" i="6"/>
  <c r="P240" i="6" s="1"/>
  <c r="S240" i="6"/>
  <c r="T240" i="6"/>
  <c r="U240" i="6"/>
  <c r="K241" i="6"/>
  <c r="N241" i="6" s="1"/>
  <c r="K242" i="6"/>
  <c r="N242" i="6" s="1"/>
  <c r="K243" i="6"/>
  <c r="N243" i="6" s="1"/>
  <c r="P243" i="6" s="1"/>
  <c r="K244" i="6"/>
  <c r="N244" i="6" s="1"/>
  <c r="P244" i="6" s="1"/>
  <c r="K245" i="6"/>
  <c r="N245" i="6" s="1"/>
  <c r="S245" i="6"/>
  <c r="T245" i="6"/>
  <c r="K246" i="6"/>
  <c r="N246" i="6" s="1"/>
  <c r="P246" i="6" s="1"/>
  <c r="N247" i="6"/>
  <c r="K248" i="6"/>
  <c r="N248" i="6" s="1"/>
  <c r="Q248" i="6" s="1"/>
  <c r="S248" i="6"/>
  <c r="T248" i="6"/>
  <c r="U248" i="6"/>
  <c r="K249" i="6"/>
  <c r="N249" i="6" s="1"/>
  <c r="K250" i="6"/>
  <c r="N250" i="6" s="1"/>
  <c r="P250" i="6" s="1"/>
  <c r="K251" i="6"/>
  <c r="N251" i="6" s="1"/>
  <c r="Q251" i="6" s="1"/>
  <c r="K252" i="6"/>
  <c r="N252" i="6" s="1"/>
  <c r="K253" i="6"/>
  <c r="N253" i="6"/>
  <c r="K254" i="6"/>
  <c r="N254" i="6"/>
  <c r="K255" i="6"/>
  <c r="N255" i="6"/>
  <c r="Q255" i="6" s="1"/>
  <c r="K256" i="6"/>
  <c r="N256" i="6" s="1"/>
  <c r="Q256" i="6" s="1"/>
  <c r="S256" i="6"/>
  <c r="N257" i="6"/>
  <c r="N258" i="6"/>
  <c r="Q258" i="6" s="1"/>
  <c r="S258" i="6"/>
  <c r="T258" i="6"/>
  <c r="N259" i="6"/>
  <c r="N260" i="6"/>
  <c r="P260" i="6" s="1"/>
  <c r="N261" i="6"/>
  <c r="Q261" i="6" s="1"/>
  <c r="N262" i="6"/>
  <c r="K263" i="6"/>
  <c r="N263" i="6" s="1"/>
  <c r="S263" i="6"/>
  <c r="T263" i="6"/>
  <c r="U263" i="6"/>
  <c r="K264" i="6"/>
  <c r="N264" i="6"/>
  <c r="P264" i="6" s="1"/>
  <c r="K265" i="6"/>
  <c r="N265" i="6" s="1"/>
  <c r="P265" i="6" s="1"/>
  <c r="K266" i="6"/>
  <c r="N266" i="6" s="1"/>
  <c r="K267" i="6"/>
  <c r="N267" i="6"/>
  <c r="P267" i="6" s="1"/>
  <c r="K268" i="6"/>
  <c r="N268" i="6" s="1"/>
  <c r="Q268" i="6" s="1"/>
  <c r="K269" i="6"/>
  <c r="N269" i="6" s="1"/>
  <c r="K270" i="6"/>
  <c r="N270" i="6" s="1"/>
  <c r="K271" i="6"/>
  <c r="N271" i="6" s="1"/>
  <c r="K272" i="6"/>
  <c r="N272" i="6" s="1"/>
  <c r="Q272" i="6" s="1"/>
  <c r="K273" i="6"/>
  <c r="N273" i="6" s="1"/>
  <c r="P273" i="6" s="1"/>
  <c r="K274" i="6"/>
  <c r="N274" i="6" s="1"/>
  <c r="K275" i="6"/>
  <c r="N275" i="6" s="1"/>
  <c r="P275" i="6" s="1"/>
  <c r="K276" i="6"/>
  <c r="N276" i="6" s="1"/>
  <c r="P276" i="6" s="1"/>
  <c r="K277" i="6"/>
  <c r="N277" i="6" s="1"/>
  <c r="S277" i="6"/>
  <c r="K278" i="6"/>
  <c r="N278" i="6" s="1"/>
  <c r="K279" i="6"/>
  <c r="N279" i="6"/>
  <c r="K280" i="6"/>
  <c r="N280" i="6" s="1"/>
  <c r="S280" i="6"/>
  <c r="T280" i="6"/>
  <c r="U280" i="6"/>
  <c r="K281" i="6"/>
  <c r="N281" i="6" s="1"/>
  <c r="K282" i="6"/>
  <c r="N282" i="6" s="1"/>
  <c r="Q282" i="6" s="1"/>
  <c r="K283" i="6"/>
  <c r="N283" i="6" s="1"/>
  <c r="Q283" i="6" s="1"/>
  <c r="K284" i="6"/>
  <c r="N284" i="6" s="1"/>
  <c r="Q284" i="6" s="1"/>
  <c r="N285" i="6"/>
  <c r="P285" i="6" s="1"/>
  <c r="S285" i="6"/>
  <c r="K286" i="6"/>
  <c r="N286" i="6" s="1"/>
  <c r="U286" i="6"/>
  <c r="K287" i="6"/>
  <c r="N287" i="6" s="1"/>
  <c r="Q287" i="6" s="1"/>
  <c r="K288" i="6"/>
  <c r="N288" i="6" s="1"/>
  <c r="P288" i="6" s="1"/>
  <c r="S288" i="6"/>
  <c r="T288" i="6"/>
  <c r="U288" i="6"/>
  <c r="K289" i="6"/>
  <c r="N289" i="6" s="1"/>
  <c r="P289" i="6" s="1"/>
  <c r="N290" i="6"/>
  <c r="P290" i="6" s="1"/>
  <c r="S290" i="6"/>
  <c r="T290" i="6"/>
  <c r="U290" i="6"/>
  <c r="K291" i="6"/>
  <c r="N291" i="6" s="1"/>
  <c r="P291" i="6" s="1"/>
  <c r="S291" i="6"/>
  <c r="T291" i="6"/>
  <c r="U291" i="6"/>
  <c r="K292" i="6"/>
  <c r="N292" i="6" s="1"/>
  <c r="Q292" i="6" s="1"/>
  <c r="K293" i="6"/>
  <c r="N293" i="6" s="1"/>
  <c r="Q293" i="6" s="1"/>
  <c r="K294" i="6"/>
  <c r="N294" i="6" s="1"/>
  <c r="Q294" i="6" s="1"/>
  <c r="K295" i="6"/>
  <c r="N295" i="6" s="1"/>
  <c r="Q295" i="6" s="1"/>
  <c r="K296" i="6"/>
  <c r="N296" i="6" s="1"/>
  <c r="Q296" i="6" s="1"/>
  <c r="N297" i="6"/>
  <c r="Q297" i="6" s="1"/>
  <c r="S297" i="6"/>
  <c r="U297" i="6"/>
  <c r="N298" i="6"/>
  <c r="Q298" i="6" s="1"/>
  <c r="S298" i="6"/>
  <c r="T298" i="6"/>
  <c r="K299" i="6"/>
  <c r="N299" i="6" s="1"/>
  <c r="Q299" i="6" s="1"/>
  <c r="K300" i="6"/>
  <c r="N300" i="6" s="1"/>
  <c r="Q300" i="6" s="1"/>
  <c r="K301" i="6"/>
  <c r="N301" i="6" s="1"/>
  <c r="Q301" i="6" s="1"/>
  <c r="K302" i="6"/>
  <c r="N302" i="6" s="1"/>
  <c r="Q302" i="6" s="1"/>
  <c r="K303" i="6"/>
  <c r="N303" i="6" s="1"/>
  <c r="Q303" i="6" s="1"/>
  <c r="K304" i="6"/>
  <c r="N304" i="6" s="1"/>
  <c r="Q304" i="6" s="1"/>
  <c r="K305" i="6"/>
  <c r="N305" i="6"/>
  <c r="Q305" i="6" s="1"/>
  <c r="K306" i="6"/>
  <c r="N306" i="6" s="1"/>
  <c r="Q306" i="6" s="1"/>
  <c r="N307" i="6"/>
  <c r="Q307" i="6" s="1"/>
  <c r="N308" i="6"/>
  <c r="Q308" i="6" s="1"/>
  <c r="N309" i="6"/>
  <c r="Q309" i="6" s="1"/>
  <c r="S309" i="6"/>
  <c r="T309" i="6"/>
  <c r="U309" i="6"/>
  <c r="N310" i="6"/>
  <c r="S310" i="6"/>
  <c r="T310" i="6"/>
  <c r="U310" i="6"/>
  <c r="K311" i="6"/>
  <c r="N311" i="6" s="1"/>
  <c r="U311" i="6"/>
  <c r="K312" i="6"/>
  <c r="N312" i="6" s="1"/>
  <c r="Q312" i="6" s="1"/>
  <c r="K313" i="6"/>
  <c r="N313" i="6" s="1"/>
  <c r="Q313" i="6" s="1"/>
  <c r="K314" i="6"/>
  <c r="N314" i="6" s="1"/>
  <c r="Q314" i="6" s="1"/>
  <c r="K315" i="6"/>
  <c r="N315" i="6" s="1"/>
  <c r="Q315" i="6" s="1"/>
  <c r="N316" i="6"/>
  <c r="Q316" i="6" s="1"/>
  <c r="S316" i="6"/>
  <c r="T316" i="6"/>
  <c r="U316" i="6"/>
  <c r="N317" i="6"/>
  <c r="Q317" i="6" s="1"/>
  <c r="K318" i="6"/>
  <c r="N318" i="6" s="1"/>
  <c r="P318" i="6" s="1"/>
  <c r="S318" i="6"/>
  <c r="T318" i="6"/>
  <c r="U318" i="6"/>
  <c r="K319" i="6"/>
  <c r="N319" i="6" s="1"/>
  <c r="K320" i="6"/>
  <c r="N320" i="6" s="1"/>
  <c r="K321" i="6"/>
  <c r="N321" i="6" s="1"/>
  <c r="K322" i="6"/>
  <c r="N322" i="6" s="1"/>
  <c r="P322" i="6" s="1"/>
  <c r="S322" i="6"/>
  <c r="T322" i="6"/>
  <c r="U322" i="6"/>
  <c r="K323" i="6"/>
  <c r="N323" i="6" s="1"/>
  <c r="K324" i="6"/>
  <c r="N324" i="6" s="1"/>
  <c r="K325" i="6"/>
  <c r="N325" i="6" s="1"/>
  <c r="Q325" i="6" s="1"/>
  <c r="K326" i="6"/>
  <c r="N326" i="6" s="1"/>
  <c r="K327" i="6"/>
  <c r="N327" i="6" s="1"/>
  <c r="K328" i="6"/>
  <c r="N328" i="6" s="1"/>
  <c r="K329" i="6"/>
  <c r="N329" i="6" s="1"/>
  <c r="K330" i="6"/>
  <c r="N330" i="6" s="1"/>
  <c r="S330" i="6"/>
  <c r="K331" i="6"/>
  <c r="N331" i="6" s="1"/>
  <c r="N332" i="6"/>
  <c r="R332" i="6" s="1"/>
  <c r="N333" i="6"/>
  <c r="Q333" i="6" s="1"/>
  <c r="S333" i="6"/>
  <c r="N334" i="6"/>
  <c r="P334" i="6" s="1"/>
  <c r="S334" i="6"/>
  <c r="T334" i="6"/>
  <c r="K335" i="6"/>
  <c r="N335" i="6" s="1"/>
  <c r="P335" i="6" s="1"/>
  <c r="S335" i="6"/>
  <c r="T335" i="6"/>
  <c r="U335" i="6"/>
  <c r="K336" i="6"/>
  <c r="N336" i="6" s="1"/>
  <c r="Q336" i="6" s="1"/>
  <c r="K337" i="6"/>
  <c r="N337" i="6" s="1"/>
  <c r="Q337" i="6" s="1"/>
  <c r="K338" i="6"/>
  <c r="N338" i="6"/>
  <c r="Q338" i="6" s="1"/>
  <c r="K339" i="6"/>
  <c r="N339" i="6" s="1"/>
  <c r="Q339" i="6" s="1"/>
  <c r="K340" i="6"/>
  <c r="N340" i="6" s="1"/>
  <c r="Q340" i="6" s="1"/>
  <c r="K341" i="6"/>
  <c r="N341" i="6" s="1"/>
  <c r="Q341" i="6" s="1"/>
  <c r="K342" i="6"/>
  <c r="N342" i="6" s="1"/>
  <c r="Q342" i="6" s="1"/>
  <c r="K343" i="6"/>
  <c r="N343" i="6" s="1"/>
  <c r="P343" i="6" s="1"/>
  <c r="S343" i="6"/>
  <c r="T343" i="6"/>
  <c r="U343" i="6"/>
  <c r="K344" i="6"/>
  <c r="N344" i="6" s="1"/>
  <c r="K345" i="6"/>
  <c r="N345" i="6" s="1"/>
  <c r="K346" i="6"/>
  <c r="N346" i="6" s="1"/>
  <c r="K347" i="6"/>
  <c r="N347" i="6" s="1"/>
  <c r="Q347" i="6" s="1"/>
  <c r="K348" i="6"/>
  <c r="N348" i="6" s="1"/>
  <c r="K349" i="6"/>
  <c r="N349" i="6" s="1"/>
  <c r="K350" i="6"/>
  <c r="N350" i="6" s="1"/>
  <c r="S350" i="6"/>
  <c r="T350" i="6"/>
  <c r="K351" i="6"/>
  <c r="N351" i="6" s="1"/>
  <c r="Q351" i="6" s="1"/>
  <c r="K352" i="6"/>
  <c r="N352" i="6" s="1"/>
  <c r="Q352" i="6" s="1"/>
  <c r="K353" i="6"/>
  <c r="N353" i="6" s="1"/>
  <c r="Q353" i="6" s="1"/>
  <c r="K354" i="6"/>
  <c r="N354" i="6" s="1"/>
  <c r="Q354" i="6" s="1"/>
  <c r="K355" i="6"/>
  <c r="N355" i="6"/>
  <c r="Q355" i="6" s="1"/>
  <c r="K356" i="6"/>
  <c r="N356" i="6" s="1"/>
  <c r="Q356" i="6" s="1"/>
  <c r="K357" i="6"/>
  <c r="N357" i="6" s="1"/>
  <c r="Q357" i="6" s="1"/>
  <c r="K358" i="6"/>
  <c r="N358" i="6" s="1"/>
  <c r="Q358" i="6" s="1"/>
  <c r="K359" i="6"/>
  <c r="N359" i="6" s="1"/>
  <c r="Q359" i="6" s="1"/>
  <c r="K360" i="6"/>
  <c r="N360" i="6" s="1"/>
  <c r="P360" i="6" s="1"/>
  <c r="S360" i="6"/>
  <c r="T360" i="6"/>
  <c r="U360" i="6"/>
  <c r="K361" i="6"/>
  <c r="N361" i="6" s="1"/>
  <c r="K362" i="6"/>
  <c r="N362" i="6" s="1"/>
  <c r="Q362" i="6" s="1"/>
  <c r="N363" i="6"/>
  <c r="S363" i="6"/>
  <c r="T363" i="6"/>
  <c r="N364" i="6"/>
  <c r="Q364" i="6" s="1"/>
  <c r="N365" i="6"/>
  <c r="Q365" i="6" s="1"/>
  <c r="N366" i="6"/>
  <c r="Q366" i="6" s="1"/>
  <c r="N367" i="6"/>
  <c r="Q367" i="6" s="1"/>
  <c r="N368" i="6"/>
  <c r="K369" i="6"/>
  <c r="N369" i="6" s="1"/>
  <c r="P369" i="6" s="1"/>
  <c r="T369" i="6"/>
  <c r="K370" i="6"/>
  <c r="N370" i="6" s="1"/>
  <c r="K371" i="6"/>
  <c r="N371" i="6" s="1"/>
  <c r="K372" i="6"/>
  <c r="N372" i="6" s="1"/>
  <c r="Q372" i="6" s="1"/>
  <c r="K373" i="6"/>
  <c r="N373" i="6" s="1"/>
  <c r="P373" i="6" s="1"/>
  <c r="N374" i="6"/>
  <c r="Q374" i="6" s="1"/>
  <c r="N375" i="6"/>
  <c r="P375" i="6" s="1"/>
  <c r="K376" i="6"/>
  <c r="N376" i="6" s="1"/>
  <c r="P376" i="6" s="1"/>
  <c r="K377" i="6"/>
  <c r="N377" i="6" s="1"/>
  <c r="K378" i="6"/>
  <c r="N378" i="6" s="1"/>
  <c r="K379" i="6"/>
  <c r="N379" i="6" s="1"/>
  <c r="K380" i="6"/>
  <c r="N380" i="6" s="1"/>
  <c r="Q380" i="6" s="1"/>
  <c r="K381" i="6"/>
  <c r="N381" i="6" s="1"/>
  <c r="P381" i="6" s="1"/>
  <c r="K382" i="6"/>
  <c r="N382" i="6" s="1"/>
  <c r="Q382" i="6" s="1"/>
  <c r="K383" i="6"/>
  <c r="N383" i="6" s="1"/>
  <c r="K384" i="6"/>
  <c r="N384" i="6" s="1"/>
  <c r="K385" i="6"/>
  <c r="N385" i="6" s="1"/>
  <c r="P385" i="6" s="1"/>
  <c r="K386" i="6"/>
  <c r="N386" i="6" s="1"/>
  <c r="Q386" i="6" s="1"/>
  <c r="K387" i="6"/>
  <c r="N387" i="6" s="1"/>
  <c r="S387" i="6"/>
  <c r="T387" i="6"/>
  <c r="U387" i="6"/>
  <c r="K388" i="6"/>
  <c r="N388" i="6" s="1"/>
  <c r="Q388" i="6" s="1"/>
  <c r="K389" i="6"/>
  <c r="N389" i="6" s="1"/>
  <c r="Q389" i="6" s="1"/>
  <c r="K390" i="6"/>
  <c r="N390" i="6" s="1"/>
  <c r="K391" i="6"/>
  <c r="N391" i="6" s="1"/>
  <c r="K392" i="6"/>
  <c r="N392" i="6" s="1"/>
  <c r="P392" i="6" s="1"/>
  <c r="K393" i="6"/>
  <c r="N393" i="6" s="1"/>
  <c r="Q393" i="6" s="1"/>
  <c r="K394" i="6"/>
  <c r="N394" i="6" s="1"/>
  <c r="K395" i="6"/>
  <c r="N395" i="6" s="1"/>
  <c r="S395" i="6"/>
  <c r="T395" i="6"/>
  <c r="U395" i="6"/>
  <c r="N396" i="6"/>
  <c r="Q396" i="6" s="1"/>
  <c r="S396" i="6"/>
  <c r="K397" i="6"/>
  <c r="N397" i="6" s="1"/>
  <c r="S397" i="6"/>
  <c r="T397" i="6"/>
  <c r="N398" i="6"/>
  <c r="Q398" i="6" s="1"/>
  <c r="N399" i="6"/>
  <c r="N400" i="6"/>
  <c r="P400" i="6" s="1"/>
  <c r="S400" i="6"/>
  <c r="T400" i="6"/>
  <c r="U400" i="6"/>
  <c r="N401" i="6"/>
  <c r="P401" i="6" s="1"/>
  <c r="S401" i="6"/>
  <c r="T401" i="6"/>
  <c r="U401" i="6"/>
  <c r="N402" i="6"/>
  <c r="S402" i="6"/>
  <c r="T402" i="6"/>
  <c r="N403" i="6"/>
  <c r="S403" i="6"/>
  <c r="T403" i="6"/>
  <c r="N404" i="6"/>
  <c r="S404" i="6"/>
  <c r="T404" i="6"/>
  <c r="N405" i="6"/>
  <c r="S405" i="6"/>
  <c r="T405" i="6"/>
  <c r="U405" i="6"/>
  <c r="N406" i="6"/>
  <c r="Q406" i="6" s="1"/>
  <c r="S406" i="6"/>
  <c r="T406" i="6"/>
  <c r="L407" i="6"/>
  <c r="N407" i="6" s="1"/>
  <c r="S407" i="6"/>
  <c r="T407" i="6"/>
  <c r="N408" i="6"/>
  <c r="P408" i="6" s="1"/>
  <c r="N409" i="6"/>
  <c r="N410" i="6"/>
  <c r="P410" i="6" s="1"/>
  <c r="S410" i="6"/>
  <c r="T410" i="6"/>
  <c r="U410" i="6"/>
  <c r="K411" i="6"/>
  <c r="N411" i="6" s="1"/>
  <c r="S411" i="6"/>
  <c r="T411" i="6"/>
  <c r="N412" i="6"/>
  <c r="N413" i="6"/>
  <c r="R413" i="6" s="1"/>
  <c r="K414" i="6"/>
  <c r="N414" i="6" s="1"/>
  <c r="P414" i="6" s="1"/>
  <c r="S414" i="6"/>
  <c r="T414" i="6"/>
  <c r="U414" i="6"/>
  <c r="K415" i="6"/>
  <c r="N415" i="6" s="1"/>
  <c r="K416" i="6"/>
  <c r="N416" i="6" s="1"/>
  <c r="Q416" i="6" s="1"/>
  <c r="K417" i="6"/>
  <c r="N417" i="6" s="1"/>
  <c r="Q417" i="6" s="1"/>
  <c r="K418" i="6"/>
  <c r="N418" i="6" s="1"/>
  <c r="K419" i="6"/>
  <c r="N419" i="6" s="1"/>
  <c r="K420" i="6"/>
  <c r="N420" i="6" s="1"/>
  <c r="P420" i="6" s="1"/>
  <c r="K421" i="6"/>
  <c r="N421" i="6" s="1"/>
  <c r="Q421" i="6" s="1"/>
  <c r="K422" i="6"/>
  <c r="N422" i="6" s="1"/>
  <c r="K423" i="6"/>
  <c r="N423" i="6" s="1"/>
  <c r="P423" i="6" s="1"/>
  <c r="K424" i="6"/>
  <c r="N424" i="6" s="1"/>
  <c r="K425" i="6"/>
  <c r="N425" i="6" s="1"/>
  <c r="P425" i="6" s="1"/>
  <c r="S425" i="6"/>
  <c r="T425" i="6"/>
  <c r="U425" i="6"/>
  <c r="K426" i="6"/>
  <c r="N426" i="6" s="1"/>
  <c r="P426" i="6" s="1"/>
  <c r="K427" i="6"/>
  <c r="N427" i="6" s="1"/>
  <c r="P427" i="6" s="1"/>
  <c r="K428" i="6"/>
  <c r="N428" i="6" s="1"/>
  <c r="S428" i="6"/>
  <c r="T428" i="6"/>
  <c r="K429" i="6"/>
  <c r="N429" i="6"/>
  <c r="P429" i="6" s="1"/>
  <c r="K430" i="6"/>
  <c r="N430" i="6" s="1"/>
  <c r="P430" i="6" s="1"/>
  <c r="K431" i="6"/>
  <c r="N431" i="6" s="1"/>
  <c r="K432" i="6"/>
  <c r="N432" i="6" s="1"/>
  <c r="K433" i="6"/>
  <c r="N433" i="6" s="1"/>
  <c r="Q433" i="6" s="1"/>
  <c r="K434" i="6"/>
  <c r="N434" i="6" s="1"/>
  <c r="P434" i="6" s="1"/>
  <c r="S434" i="6"/>
  <c r="T434" i="6"/>
  <c r="U434" i="6"/>
  <c r="K435" i="6"/>
  <c r="N435" i="6" s="1"/>
  <c r="K436" i="6"/>
  <c r="N436" i="6" s="1"/>
  <c r="P436" i="6" s="1"/>
  <c r="N437" i="6"/>
  <c r="T437" i="6"/>
  <c r="U437" i="6"/>
  <c r="K438" i="6"/>
  <c r="N438" i="6" s="1"/>
  <c r="P438" i="6" s="1"/>
  <c r="S438" i="6"/>
  <c r="T438" i="6"/>
  <c r="U438" i="6"/>
  <c r="K439" i="6"/>
  <c r="N439" i="6" s="1"/>
  <c r="P439" i="6" s="1"/>
  <c r="K440" i="6"/>
  <c r="N440" i="6" s="1"/>
  <c r="P440" i="6" s="1"/>
  <c r="N441" i="6"/>
  <c r="S441" i="6"/>
  <c r="T441" i="6"/>
  <c r="U441" i="6"/>
  <c r="K442" i="6"/>
  <c r="N442" i="6" s="1"/>
  <c r="P442" i="6" s="1"/>
  <c r="S442" i="6"/>
  <c r="T442" i="6"/>
  <c r="K443" i="6"/>
  <c r="N443" i="6" s="1"/>
  <c r="P443" i="6" s="1"/>
  <c r="K444" i="6"/>
  <c r="N444" i="6"/>
  <c r="Q444" i="6" s="1"/>
  <c r="K445" i="6"/>
  <c r="N445" i="6" s="1"/>
  <c r="P445" i="6" s="1"/>
  <c r="K446" i="6"/>
  <c r="N446" i="6" s="1"/>
  <c r="N447" i="6"/>
  <c r="Q447" i="6" s="1"/>
  <c r="S447" i="6"/>
  <c r="T447" i="6"/>
  <c r="U447" i="6"/>
  <c r="K448" i="6"/>
  <c r="N448" i="6" s="1"/>
  <c r="S448" i="6"/>
  <c r="U448" i="6"/>
  <c r="K449" i="6"/>
  <c r="N449" i="6" s="1"/>
  <c r="P449" i="6" s="1"/>
  <c r="K450" i="6"/>
  <c r="N450" i="6" s="1"/>
  <c r="S450" i="6"/>
  <c r="T450" i="6"/>
  <c r="K451" i="6"/>
  <c r="N451" i="6" s="1"/>
  <c r="P451" i="6" s="1"/>
  <c r="K452" i="6"/>
  <c r="N452" i="6" s="1"/>
  <c r="K453" i="6"/>
  <c r="N453" i="6"/>
  <c r="P453" i="6" s="1"/>
  <c r="K454" i="6"/>
  <c r="N454" i="6"/>
  <c r="P454" i="6" s="1"/>
  <c r="K455" i="6"/>
  <c r="N455" i="6" s="1"/>
  <c r="P455" i="6" s="1"/>
  <c r="K456" i="6"/>
  <c r="N456" i="6" s="1"/>
  <c r="K457" i="6"/>
  <c r="N457" i="6" s="1"/>
  <c r="P457" i="6" s="1"/>
  <c r="K458" i="6"/>
  <c r="N458" i="6" s="1"/>
  <c r="P458" i="6" s="1"/>
  <c r="K459" i="6"/>
  <c r="N459" i="6" s="1"/>
  <c r="P459" i="6" s="1"/>
  <c r="K460" i="6"/>
  <c r="N460" i="6" s="1"/>
  <c r="K461" i="6"/>
  <c r="N461" i="6"/>
  <c r="P461" i="6" s="1"/>
  <c r="U87" i="4"/>
  <c r="N41" i="3"/>
  <c r="P166" i="9" l="1"/>
  <c r="P138" i="9"/>
  <c r="Q129" i="6"/>
  <c r="P129" i="6"/>
  <c r="P255" i="6"/>
  <c r="V255" i="6" s="1"/>
  <c r="W255" i="6" s="1"/>
  <c r="Y255" i="6" s="1"/>
  <c r="P447" i="6"/>
  <c r="V447" i="6" s="1"/>
  <c r="W447" i="6" s="1"/>
  <c r="Y447" i="6" s="1"/>
  <c r="Q445" i="6"/>
  <c r="V445" i="6" s="1"/>
  <c r="W445" i="6" s="1"/>
  <c r="Y445" i="6" s="1"/>
  <c r="Q143" i="6"/>
  <c r="V143" i="6" s="1"/>
  <c r="W143" i="6" s="1"/>
  <c r="Y143" i="6" s="1"/>
  <c r="Q240" i="6"/>
  <c r="V240" i="6" s="1"/>
  <c r="W240" i="6" s="1"/>
  <c r="Y240" i="6" s="1"/>
  <c r="P153" i="6"/>
  <c r="V153" i="6" s="1"/>
  <c r="W153" i="6" s="1"/>
  <c r="Y153" i="6" s="1"/>
  <c r="P150" i="6"/>
  <c r="V150" i="6" s="1"/>
  <c r="W150" i="6" s="1"/>
  <c r="Y150" i="6" s="1"/>
  <c r="Q381" i="6"/>
  <c r="V381" i="6" s="1"/>
  <c r="W381" i="6" s="1"/>
  <c r="Y381" i="6" s="1"/>
  <c r="Q410" i="6"/>
  <c r="V410" i="6" s="1"/>
  <c r="W410" i="6" s="1"/>
  <c r="Y410" i="6" s="1"/>
  <c r="Q408" i="6"/>
  <c r="V408" i="6" s="1"/>
  <c r="W408" i="6" s="1"/>
  <c r="Y408" i="6" s="1"/>
  <c r="Q276" i="6"/>
  <c r="V276" i="6" s="1"/>
  <c r="W276" i="6" s="1"/>
  <c r="Y276" i="6" s="1"/>
  <c r="Q385" i="6"/>
  <c r="R333" i="6"/>
  <c r="P248" i="6"/>
  <c r="V248" i="6" s="1"/>
  <c r="W248" i="6" s="1"/>
  <c r="Y248" i="6" s="1"/>
  <c r="Q246" i="6"/>
  <c r="V246" i="6" s="1"/>
  <c r="W246" i="6" s="1"/>
  <c r="Y246" i="6" s="1"/>
  <c r="Q163" i="6"/>
  <c r="V163" i="6" s="1"/>
  <c r="W163" i="6" s="1"/>
  <c r="Y163" i="6" s="1"/>
  <c r="P155" i="6"/>
  <c r="V155" i="6" s="1"/>
  <c r="W155" i="6" s="1"/>
  <c r="Y155" i="6" s="1"/>
  <c r="Q401" i="6"/>
  <c r="V401" i="6" s="1"/>
  <c r="W401" i="6" s="1"/>
  <c r="Y401" i="6" s="1"/>
  <c r="Q392" i="6"/>
  <c r="V392" i="6" s="1"/>
  <c r="W392" i="6" s="1"/>
  <c r="Y392" i="6" s="1"/>
  <c r="Q290" i="6"/>
  <c r="V290" i="6" s="1"/>
  <c r="W290" i="6" s="1"/>
  <c r="Y290" i="6" s="1"/>
  <c r="Q442" i="6"/>
  <c r="V442" i="6" s="1"/>
  <c r="W442" i="6" s="1"/>
  <c r="Y442" i="6" s="1"/>
  <c r="Q440" i="6"/>
  <c r="V440" i="6" s="1"/>
  <c r="W440" i="6" s="1"/>
  <c r="Y440" i="6" s="1"/>
  <c r="Q264" i="6"/>
  <c r="V264" i="6" s="1"/>
  <c r="W264" i="6" s="1"/>
  <c r="Y264" i="6" s="1"/>
  <c r="Q243" i="6"/>
  <c r="V243" i="6" s="1"/>
  <c r="W243" i="6" s="1"/>
  <c r="Y243" i="6" s="1"/>
  <c r="Q213" i="6"/>
  <c r="V213" i="6" s="1"/>
  <c r="W213" i="6" s="1"/>
  <c r="Y213" i="6" s="1"/>
  <c r="Q176" i="6"/>
  <c r="V176" i="6" s="1"/>
  <c r="W176" i="6" s="1"/>
  <c r="Y176" i="6" s="1"/>
  <c r="Q133" i="6"/>
  <c r="V133" i="6" s="1"/>
  <c r="W133" i="6" s="1"/>
  <c r="Y133" i="6" s="1"/>
  <c r="Q127" i="6"/>
  <c r="V127" i="6" s="1"/>
  <c r="W127" i="6" s="1"/>
  <c r="Y127" i="6" s="1"/>
  <c r="Q208" i="6"/>
  <c r="V208" i="6" s="1"/>
  <c r="W208" i="6" s="1"/>
  <c r="Y208" i="6" s="1"/>
  <c r="Q181" i="6"/>
  <c r="V181" i="6" s="1"/>
  <c r="W181" i="6" s="1"/>
  <c r="Y181" i="6" s="1"/>
  <c r="R142" i="6"/>
  <c r="R374" i="6"/>
  <c r="V374" i="6" s="1"/>
  <c r="W374" i="6" s="1"/>
  <c r="Y374" i="6" s="1"/>
  <c r="P372" i="6"/>
  <c r="V372" i="6" s="1"/>
  <c r="W372" i="6" s="1"/>
  <c r="Y372" i="6" s="1"/>
  <c r="Q334" i="6"/>
  <c r="V334" i="6" s="1"/>
  <c r="W334" i="6" s="1"/>
  <c r="Y334" i="6" s="1"/>
  <c r="P258" i="6"/>
  <c r="V258" i="6" s="1"/>
  <c r="W258" i="6" s="1"/>
  <c r="Y258" i="6" s="1"/>
  <c r="P356" i="6"/>
  <c r="V356" i="6" s="1"/>
  <c r="P352" i="6"/>
  <c r="V352" i="6" s="1"/>
  <c r="P206" i="6"/>
  <c r="V206" i="6" s="1"/>
  <c r="W206" i="6" s="1"/>
  <c r="Y206" i="6" s="1"/>
  <c r="P204" i="6"/>
  <c r="V204" i="6" s="1"/>
  <c r="W204" i="6" s="1"/>
  <c r="Y204" i="6" s="1"/>
  <c r="Q124" i="6"/>
  <c r="V124" i="6" s="1"/>
  <c r="W124" i="6" s="1"/>
  <c r="Y124" i="6" s="1"/>
  <c r="Q427" i="6"/>
  <c r="V427" i="6" s="1"/>
  <c r="W427" i="6" s="1"/>
  <c r="Y427" i="6" s="1"/>
  <c r="Q420" i="6"/>
  <c r="V420" i="6" s="1"/>
  <c r="W420" i="6" s="1"/>
  <c r="Y420" i="6" s="1"/>
  <c r="Q413" i="6"/>
  <c r="V413" i="6" s="1"/>
  <c r="W413" i="6" s="1"/>
  <c r="Y413" i="6" s="1"/>
  <c r="Q400" i="6"/>
  <c r="V400" i="6" s="1"/>
  <c r="W400" i="6" s="1"/>
  <c r="Y400" i="6" s="1"/>
  <c r="R398" i="6"/>
  <c r="V398" i="6" s="1"/>
  <c r="W398" i="6" s="1"/>
  <c r="Y398" i="6" s="1"/>
  <c r="Q375" i="6"/>
  <c r="V375" i="6" s="1"/>
  <c r="W375" i="6" s="1"/>
  <c r="Y375" i="6" s="1"/>
  <c r="P339" i="6"/>
  <c r="V339" i="6" s="1"/>
  <c r="Q332" i="6"/>
  <c r="V332" i="6" s="1"/>
  <c r="W332" i="6" s="1"/>
  <c r="Y332" i="6" s="1"/>
  <c r="P309" i="6"/>
  <c r="V309" i="6" s="1"/>
  <c r="W309" i="6" s="1"/>
  <c r="Y309" i="6" s="1"/>
  <c r="P307" i="6"/>
  <c r="P298" i="6"/>
  <c r="V298" i="6" s="1"/>
  <c r="W298" i="6" s="1"/>
  <c r="Y298" i="6" s="1"/>
  <c r="P297" i="6"/>
  <c r="V297" i="6" s="1"/>
  <c r="P251" i="6"/>
  <c r="V251" i="6" s="1"/>
  <c r="W251" i="6" s="1"/>
  <c r="Y251" i="6" s="1"/>
  <c r="Q244" i="6"/>
  <c r="V244" i="6" s="1"/>
  <c r="W244" i="6" s="1"/>
  <c r="Y244" i="6" s="1"/>
  <c r="Q226" i="6"/>
  <c r="V226" i="6" s="1"/>
  <c r="W226" i="6" s="1"/>
  <c r="Y226" i="6" s="1"/>
  <c r="Q180" i="6"/>
  <c r="V180" i="6" s="1"/>
  <c r="W180" i="6" s="1"/>
  <c r="Y180" i="6" s="1"/>
  <c r="P170" i="6"/>
  <c r="V170" i="6" s="1"/>
  <c r="W170" i="6" s="1"/>
  <c r="Y170" i="6" s="1"/>
  <c r="Q157" i="6"/>
  <c r="V157" i="6" s="1"/>
  <c r="W157" i="6" s="1"/>
  <c r="Y157" i="6" s="1"/>
  <c r="Q454" i="6"/>
  <c r="V454" i="6" s="1"/>
  <c r="W454" i="6" s="1"/>
  <c r="Y454" i="6" s="1"/>
  <c r="Q451" i="6"/>
  <c r="V451" i="6" s="1"/>
  <c r="W451" i="6" s="1"/>
  <c r="Y451" i="6" s="1"/>
  <c r="Q210" i="6"/>
  <c r="V210" i="6" s="1"/>
  <c r="W210" i="6" s="1"/>
  <c r="Y210" i="6" s="1"/>
  <c r="Q192" i="6"/>
  <c r="V192" i="6" s="1"/>
  <c r="W192" i="6" s="1"/>
  <c r="Y192" i="6" s="1"/>
  <c r="Q173" i="6"/>
  <c r="V173" i="6" s="1"/>
  <c r="W173" i="6" s="1"/>
  <c r="Y173" i="6" s="1"/>
  <c r="R307" i="6"/>
  <c r="Q217" i="6"/>
  <c r="V217" i="6" s="1"/>
  <c r="W217" i="6" s="1"/>
  <c r="Y217" i="6" s="1"/>
  <c r="P444" i="6"/>
  <c r="V444" i="6" s="1"/>
  <c r="P424" i="6"/>
  <c r="P367" i="6"/>
  <c r="V367" i="6" s="1"/>
  <c r="W367" i="6" s="1"/>
  <c r="Y367" i="6" s="1"/>
  <c r="Q335" i="6"/>
  <c r="V335" i="6" s="1"/>
  <c r="W335" i="6" s="1"/>
  <c r="Y335" i="6" s="1"/>
  <c r="Q273" i="6"/>
  <c r="V273" i="6" s="1"/>
  <c r="W273" i="6" s="1"/>
  <c r="Y273" i="6" s="1"/>
  <c r="P268" i="6"/>
  <c r="V268" i="6" s="1"/>
  <c r="W268" i="6" s="1"/>
  <c r="Y268" i="6" s="1"/>
  <c r="P261" i="6"/>
  <c r="V261" i="6" s="1"/>
  <c r="W261" i="6" s="1"/>
  <c r="Y261" i="6" s="1"/>
  <c r="Q219" i="6"/>
  <c r="V219" i="6" s="1"/>
  <c r="W219" i="6" s="1"/>
  <c r="Y219" i="6" s="1"/>
  <c r="P216" i="6"/>
  <c r="V216" i="6" s="1"/>
  <c r="W216" i="6" s="1"/>
  <c r="Y216" i="6" s="1"/>
  <c r="Q455" i="6"/>
  <c r="V455" i="6" s="1"/>
  <c r="W455" i="6" s="1"/>
  <c r="Y455" i="6" s="1"/>
  <c r="Q436" i="6"/>
  <c r="V436" i="6" s="1"/>
  <c r="W436" i="6" s="1"/>
  <c r="Y436" i="6" s="1"/>
  <c r="Q424" i="6"/>
  <c r="P416" i="6"/>
  <c r="V416" i="6" s="1"/>
  <c r="W416" i="6" s="1"/>
  <c r="Y416" i="6" s="1"/>
  <c r="R396" i="6"/>
  <c r="P388" i="6"/>
  <c r="V388" i="6" s="1"/>
  <c r="W388" i="6" s="1"/>
  <c r="Y388" i="6" s="1"/>
  <c r="Q369" i="6"/>
  <c r="V369" i="6" s="1"/>
  <c r="W369" i="6" s="1"/>
  <c r="Y369" i="6" s="1"/>
  <c r="P365" i="6"/>
  <c r="P358" i="6"/>
  <c r="V358" i="6" s="1"/>
  <c r="P354" i="6"/>
  <c r="V354" i="6" s="1"/>
  <c r="W354" i="6" s="1"/>
  <c r="Y354" i="6" s="1"/>
  <c r="P341" i="6"/>
  <c r="V341" i="6" s="1"/>
  <c r="P337" i="6"/>
  <c r="V337" i="6" s="1"/>
  <c r="P333" i="6"/>
  <c r="P272" i="6"/>
  <c r="V272" i="6" s="1"/>
  <c r="W272" i="6" s="1"/>
  <c r="Y272" i="6" s="1"/>
  <c r="Q265" i="6"/>
  <c r="V265" i="6" s="1"/>
  <c r="W265" i="6" s="1"/>
  <c r="Y265" i="6" s="1"/>
  <c r="P236" i="6"/>
  <c r="V236" i="6" s="1"/>
  <c r="W236" i="6" s="1"/>
  <c r="Y236" i="6" s="1"/>
  <c r="Q225" i="6"/>
  <c r="V225" i="6" s="1"/>
  <c r="W225" i="6" s="1"/>
  <c r="Y225" i="6" s="1"/>
  <c r="P200" i="6"/>
  <c r="V200" i="6" s="1"/>
  <c r="W200" i="6" s="1"/>
  <c r="Y200" i="6" s="1"/>
  <c r="Q196" i="6"/>
  <c r="V196" i="6" s="1"/>
  <c r="W196" i="6" s="1"/>
  <c r="Y196" i="6" s="1"/>
  <c r="Q193" i="6"/>
  <c r="V193" i="6" s="1"/>
  <c r="W193" i="6" s="1"/>
  <c r="Y193" i="6" s="1"/>
  <c r="Q188" i="6"/>
  <c r="V188" i="6" s="1"/>
  <c r="W188" i="6" s="1"/>
  <c r="Y188" i="6" s="1"/>
  <c r="P186" i="6"/>
  <c r="V186" i="6" s="1"/>
  <c r="P184" i="6"/>
  <c r="P160" i="6"/>
  <c r="V160" i="6" s="1"/>
  <c r="W160" i="6" s="1"/>
  <c r="Y160" i="6" s="1"/>
  <c r="P148" i="6"/>
  <c r="V148" i="6" s="1"/>
  <c r="W148" i="6" s="1"/>
  <c r="Y148" i="6" s="1"/>
  <c r="Q144" i="6"/>
  <c r="V144" i="6" s="1"/>
  <c r="W144" i="6" s="1"/>
  <c r="Y144" i="6" s="1"/>
  <c r="P142" i="6"/>
  <c r="P139" i="6"/>
  <c r="V139" i="6" s="1"/>
  <c r="W139" i="6" s="1"/>
  <c r="Y139" i="6" s="1"/>
  <c r="P137" i="6"/>
  <c r="V137" i="6" s="1"/>
  <c r="W137" i="6" s="1"/>
  <c r="Y137" i="6" s="1"/>
  <c r="P135" i="6"/>
  <c r="Q123" i="6"/>
  <c r="V123" i="6" s="1"/>
  <c r="W123" i="6" s="1"/>
  <c r="Y123" i="6" s="1"/>
  <c r="Q449" i="6"/>
  <c r="V449" i="6" s="1"/>
  <c r="W449" i="6" s="1"/>
  <c r="Y449" i="6" s="1"/>
  <c r="P316" i="6"/>
  <c r="V316" i="6" s="1"/>
  <c r="W316" i="6" s="1"/>
  <c r="Y316" i="6" s="1"/>
  <c r="P283" i="6"/>
  <c r="V283" i="6" s="1"/>
  <c r="Q237" i="6"/>
  <c r="V237" i="6" s="1"/>
  <c r="W237" i="6" s="1"/>
  <c r="Y237" i="6" s="1"/>
  <c r="Q201" i="6"/>
  <c r="V201" i="6" s="1"/>
  <c r="W201" i="6" s="1"/>
  <c r="Y201" i="6" s="1"/>
  <c r="Q458" i="6"/>
  <c r="V458" i="6" s="1"/>
  <c r="W458" i="6" s="1"/>
  <c r="Y458" i="6" s="1"/>
  <c r="Q438" i="6"/>
  <c r="V438" i="6" s="1"/>
  <c r="W438" i="6" s="1"/>
  <c r="Y438" i="6" s="1"/>
  <c r="P433" i="6"/>
  <c r="V433" i="6" s="1"/>
  <c r="W433" i="6" s="1"/>
  <c r="Y433" i="6" s="1"/>
  <c r="Q429" i="6"/>
  <c r="V429" i="6" s="1"/>
  <c r="W429" i="6" s="1"/>
  <c r="Y429" i="6" s="1"/>
  <c r="Q376" i="6"/>
  <c r="V376" i="6" s="1"/>
  <c r="W376" i="6" s="1"/>
  <c r="Y376" i="6" s="1"/>
  <c r="Q285" i="6"/>
  <c r="V285" i="6" s="1"/>
  <c r="W285" i="6" s="1"/>
  <c r="Y285" i="6" s="1"/>
  <c r="Q223" i="6"/>
  <c r="V223" i="6" s="1"/>
  <c r="W223" i="6" s="1"/>
  <c r="Y223" i="6" s="1"/>
  <c r="Q222" i="6"/>
  <c r="V222" i="6" s="1"/>
  <c r="W222" i="6" s="1"/>
  <c r="Y222" i="6" s="1"/>
  <c r="Q184" i="6"/>
  <c r="Q171" i="6"/>
  <c r="V171" i="6" s="1"/>
  <c r="W171" i="6" s="1"/>
  <c r="Y171" i="6" s="1"/>
  <c r="P166" i="6"/>
  <c r="V166" i="6" s="1"/>
  <c r="W166" i="6" s="1"/>
  <c r="Y166" i="6" s="1"/>
  <c r="Q135" i="6"/>
  <c r="Y32" i="4"/>
  <c r="Q452" i="6"/>
  <c r="P452" i="6"/>
  <c r="Q448" i="6"/>
  <c r="P448" i="6"/>
  <c r="Q450" i="6"/>
  <c r="P450" i="6"/>
  <c r="Q432" i="6"/>
  <c r="Q431" i="6"/>
  <c r="P431" i="6"/>
  <c r="Q422" i="6"/>
  <c r="P422" i="6"/>
  <c r="P397" i="6"/>
  <c r="Q394" i="6"/>
  <c r="P394" i="6"/>
  <c r="Q387" i="6"/>
  <c r="P387" i="6"/>
  <c r="Q383" i="6"/>
  <c r="P383" i="6"/>
  <c r="P377" i="6"/>
  <c r="Q377" i="6"/>
  <c r="Q348" i="6"/>
  <c r="P348" i="6"/>
  <c r="Q324" i="6"/>
  <c r="P324" i="6"/>
  <c r="Q321" i="6"/>
  <c r="P321" i="6"/>
  <c r="P286" i="6"/>
  <c r="Q286" i="6"/>
  <c r="Q263" i="6"/>
  <c r="P263" i="6"/>
  <c r="Q207" i="6"/>
  <c r="P207" i="6"/>
  <c r="Q179" i="6"/>
  <c r="P179" i="6"/>
  <c r="Q174" i="6"/>
  <c r="P174" i="6"/>
  <c r="Q162" i="6"/>
  <c r="P162" i="6"/>
  <c r="Q122" i="6"/>
  <c r="P122" i="6"/>
  <c r="Q115" i="6"/>
  <c r="P115" i="6"/>
  <c r="Q435" i="6"/>
  <c r="P428" i="6"/>
  <c r="P409" i="6"/>
  <c r="Q409" i="6"/>
  <c r="P407" i="6"/>
  <c r="Q404" i="6"/>
  <c r="P404" i="6"/>
  <c r="Q379" i="6"/>
  <c r="P379" i="6"/>
  <c r="P370" i="6"/>
  <c r="Q370" i="6"/>
  <c r="Q346" i="6"/>
  <c r="P346" i="6"/>
  <c r="Q330" i="6"/>
  <c r="P330" i="6"/>
  <c r="Q319" i="6"/>
  <c r="P319" i="6"/>
  <c r="P310" i="6"/>
  <c r="Q310" i="6"/>
  <c r="R247" i="6"/>
  <c r="Q247" i="6"/>
  <c r="Q198" i="6"/>
  <c r="P198" i="6"/>
  <c r="Q138" i="6"/>
  <c r="P138" i="6"/>
  <c r="Q136" i="6"/>
  <c r="P136" i="6"/>
  <c r="Q453" i="6"/>
  <c r="V453" i="6" s="1"/>
  <c r="W453" i="6" s="1"/>
  <c r="Y453" i="6" s="1"/>
  <c r="Q443" i="6"/>
  <c r="V443" i="6" s="1"/>
  <c r="W443" i="6" s="1"/>
  <c r="Y443" i="6" s="1"/>
  <c r="Q439" i="6"/>
  <c r="V439" i="6" s="1"/>
  <c r="W439" i="6" s="1"/>
  <c r="Y439" i="6" s="1"/>
  <c r="Q437" i="6"/>
  <c r="P437" i="6"/>
  <c r="P421" i="6"/>
  <c r="P417" i="6"/>
  <c r="R412" i="6"/>
  <c r="Q412" i="6"/>
  <c r="P412" i="6"/>
  <c r="Q403" i="6"/>
  <c r="P403" i="6"/>
  <c r="P393" i="6"/>
  <c r="P389" i="6"/>
  <c r="P386" i="6"/>
  <c r="P382" i="6"/>
  <c r="Q378" i="6"/>
  <c r="P378" i="6"/>
  <c r="Q363" i="6"/>
  <c r="P363" i="6"/>
  <c r="Q344" i="6"/>
  <c r="P344" i="6"/>
  <c r="Q328" i="6"/>
  <c r="P328" i="6"/>
  <c r="P311" i="6"/>
  <c r="Q311" i="6"/>
  <c r="Q279" i="6"/>
  <c r="P279" i="6"/>
  <c r="P228" i="6"/>
  <c r="Q228" i="6"/>
  <c r="Q211" i="6"/>
  <c r="P211" i="6"/>
  <c r="Q146" i="6"/>
  <c r="P146" i="6"/>
  <c r="Q459" i="6"/>
  <c r="V459" i="6" s="1"/>
  <c r="W459" i="6" s="1"/>
  <c r="Y459" i="6" s="1"/>
  <c r="P432" i="6"/>
  <c r="Q430" i="6"/>
  <c r="V430" i="6" s="1"/>
  <c r="W430" i="6" s="1"/>
  <c r="Y430" i="6" s="1"/>
  <c r="Q425" i="6"/>
  <c r="V425" i="6" s="1"/>
  <c r="W425" i="6" s="1"/>
  <c r="Y425" i="6" s="1"/>
  <c r="Q414" i="6"/>
  <c r="V414" i="6" s="1"/>
  <c r="W414" i="6" s="1"/>
  <c r="Y414" i="6" s="1"/>
  <c r="Q397" i="6"/>
  <c r="P435" i="6"/>
  <c r="Q434" i="6"/>
  <c r="V434" i="6" s="1"/>
  <c r="W434" i="6" s="1"/>
  <c r="Y434" i="6" s="1"/>
  <c r="Q428" i="6"/>
  <c r="Q407" i="6"/>
  <c r="V385" i="6"/>
  <c r="W385" i="6" s="1"/>
  <c r="Y385" i="6" s="1"/>
  <c r="Q461" i="6"/>
  <c r="V461" i="6" s="1"/>
  <c r="W461" i="6" s="1"/>
  <c r="Y461" i="6" s="1"/>
  <c r="Q460" i="6"/>
  <c r="P460" i="6"/>
  <c r="Q426" i="6"/>
  <c r="V426" i="6" s="1"/>
  <c r="W426" i="6" s="1"/>
  <c r="Y426" i="6" s="1"/>
  <c r="Q418" i="6"/>
  <c r="P418" i="6"/>
  <c r="Q405" i="6"/>
  <c r="P405" i="6"/>
  <c r="Q399" i="6"/>
  <c r="R399" i="6"/>
  <c r="Q390" i="6"/>
  <c r="P390" i="6"/>
  <c r="Q457" i="6"/>
  <c r="V457" i="6" s="1"/>
  <c r="W457" i="6" s="1"/>
  <c r="Y457" i="6" s="1"/>
  <c r="Q456" i="6"/>
  <c r="P456" i="6"/>
  <c r="Q446" i="6"/>
  <c r="P446" i="6"/>
  <c r="Q441" i="6"/>
  <c r="P441" i="6"/>
  <c r="Q423" i="6"/>
  <c r="V423" i="6" s="1"/>
  <c r="W423" i="6" s="1"/>
  <c r="Y423" i="6" s="1"/>
  <c r="P419" i="6"/>
  <c r="Q419" i="6"/>
  <c r="P415" i="6"/>
  <c r="Q415" i="6"/>
  <c r="P411" i="6"/>
  <c r="Q411" i="6"/>
  <c r="Q402" i="6"/>
  <c r="P402" i="6"/>
  <c r="P395" i="6"/>
  <c r="Q395" i="6"/>
  <c r="Q391" i="6"/>
  <c r="P391" i="6"/>
  <c r="Q384" i="6"/>
  <c r="P384" i="6"/>
  <c r="P371" i="6"/>
  <c r="Q371" i="6"/>
  <c r="Q361" i="6"/>
  <c r="P361" i="6"/>
  <c r="Q350" i="6"/>
  <c r="P350" i="6"/>
  <c r="Q331" i="6"/>
  <c r="P331" i="6"/>
  <c r="Q326" i="6"/>
  <c r="P326" i="6"/>
  <c r="Q271" i="6"/>
  <c r="P271" i="6"/>
  <c r="Q266" i="6"/>
  <c r="P266" i="6"/>
  <c r="P233" i="6"/>
  <c r="Q233" i="6"/>
  <c r="Q232" i="6"/>
  <c r="P232" i="6"/>
  <c r="Q202" i="6"/>
  <c r="P202" i="6"/>
  <c r="P190" i="6"/>
  <c r="Q190" i="6"/>
  <c r="Q189" i="6"/>
  <c r="P189" i="6"/>
  <c r="Q131" i="6"/>
  <c r="P131" i="6"/>
  <c r="P117" i="6"/>
  <c r="Q117" i="6"/>
  <c r="P349" i="6"/>
  <c r="P345" i="6"/>
  <c r="P329" i="6"/>
  <c r="P327" i="6"/>
  <c r="P323" i="6"/>
  <c r="P320" i="6"/>
  <c r="P278" i="6"/>
  <c r="Q278" i="6"/>
  <c r="Q274" i="6"/>
  <c r="P274" i="6"/>
  <c r="Q270" i="6"/>
  <c r="P270" i="6"/>
  <c r="P262" i="6"/>
  <c r="Q262" i="6"/>
  <c r="Q254" i="6"/>
  <c r="P254" i="6"/>
  <c r="Q249" i="6"/>
  <c r="P249" i="6"/>
  <c r="Q242" i="6"/>
  <c r="P242" i="6"/>
  <c r="Q231" i="6"/>
  <c r="P231" i="6"/>
  <c r="Q227" i="6"/>
  <c r="P227" i="6"/>
  <c r="Q218" i="6"/>
  <c r="P218" i="6"/>
  <c r="Q215" i="6"/>
  <c r="P215" i="6"/>
  <c r="P197" i="6"/>
  <c r="Q197" i="6"/>
  <c r="Q182" i="6"/>
  <c r="P182" i="6"/>
  <c r="Q178" i="6"/>
  <c r="P178" i="6"/>
  <c r="Q169" i="6"/>
  <c r="P169" i="6"/>
  <c r="P161" i="6"/>
  <c r="Q161" i="6"/>
  <c r="Q156" i="6"/>
  <c r="P156" i="6"/>
  <c r="Q151" i="6"/>
  <c r="P151" i="6"/>
  <c r="P145" i="6"/>
  <c r="Q145" i="6"/>
  <c r="P130" i="6"/>
  <c r="Q130" i="6"/>
  <c r="Q125" i="6"/>
  <c r="P125" i="6"/>
  <c r="Q121" i="6"/>
  <c r="P121" i="6"/>
  <c r="Q116" i="6"/>
  <c r="P116" i="6"/>
  <c r="Q360" i="6"/>
  <c r="V360" i="6" s="1"/>
  <c r="W360" i="6" s="1"/>
  <c r="Y360" i="6" s="1"/>
  <c r="Q343" i="6"/>
  <c r="V343" i="6" s="1"/>
  <c r="W343" i="6" s="1"/>
  <c r="Y343" i="6" s="1"/>
  <c r="Q318" i="6"/>
  <c r="V318" i="6" s="1"/>
  <c r="W318" i="6" s="1"/>
  <c r="Y318" i="6" s="1"/>
  <c r="P314" i="6"/>
  <c r="V314" i="6" s="1"/>
  <c r="P312" i="6"/>
  <c r="V312" i="6" s="1"/>
  <c r="P305" i="6"/>
  <c r="V305" i="6" s="1"/>
  <c r="P303" i="6"/>
  <c r="V303" i="6" s="1"/>
  <c r="P301" i="6"/>
  <c r="V301" i="6" s="1"/>
  <c r="P299" i="6"/>
  <c r="P295" i="6"/>
  <c r="V295" i="6" s="1"/>
  <c r="P293" i="6"/>
  <c r="V293" i="6" s="1"/>
  <c r="P287" i="6"/>
  <c r="P269" i="6"/>
  <c r="Q269" i="6"/>
  <c r="Q253" i="6"/>
  <c r="P253" i="6"/>
  <c r="Q245" i="6"/>
  <c r="P245" i="6"/>
  <c r="Q241" i="6"/>
  <c r="P241" i="6"/>
  <c r="Q235" i="6"/>
  <c r="P235" i="6"/>
  <c r="P230" i="6"/>
  <c r="Q230" i="6"/>
  <c r="P214" i="6"/>
  <c r="Q214" i="6"/>
  <c r="Q209" i="6"/>
  <c r="P209" i="6"/>
  <c r="P205" i="6"/>
  <c r="Q205" i="6"/>
  <c r="Q191" i="6"/>
  <c r="P191" i="6"/>
  <c r="P177" i="6"/>
  <c r="Q177" i="6"/>
  <c r="Q172" i="6"/>
  <c r="P172" i="6"/>
  <c r="Q168" i="6"/>
  <c r="P168" i="6"/>
  <c r="Q126" i="6"/>
  <c r="P126" i="6"/>
  <c r="P120" i="6"/>
  <c r="Q120" i="6"/>
  <c r="Q119" i="6"/>
  <c r="P119" i="6"/>
  <c r="P406" i="6"/>
  <c r="P396" i="6"/>
  <c r="P380" i="6"/>
  <c r="P368" i="6"/>
  <c r="Q349" i="6"/>
  <c r="Q345" i="6"/>
  <c r="Q329" i="6"/>
  <c r="Q327" i="6"/>
  <c r="Q323" i="6"/>
  <c r="Q322" i="6"/>
  <c r="V322" i="6" s="1"/>
  <c r="W322" i="6" s="1"/>
  <c r="Y322" i="6" s="1"/>
  <c r="Q320" i="6"/>
  <c r="P315" i="6"/>
  <c r="V315" i="6" s="1"/>
  <c r="P313" i="6"/>
  <c r="V313" i="6" s="1"/>
  <c r="P306" i="6"/>
  <c r="V306" i="6" s="1"/>
  <c r="P304" i="6"/>
  <c r="P302" i="6"/>
  <c r="V302" i="6" s="1"/>
  <c r="P300" i="6"/>
  <c r="V300" i="6" s="1"/>
  <c r="P296" i="6"/>
  <c r="V296" i="6" s="1"/>
  <c r="P294" i="6"/>
  <c r="V294" i="6" s="1"/>
  <c r="P292" i="6"/>
  <c r="V292" i="6" s="1"/>
  <c r="V289" i="6"/>
  <c r="W289" i="6" s="1"/>
  <c r="Y289" i="6" s="1"/>
  <c r="V288" i="6"/>
  <c r="W288" i="6" s="1"/>
  <c r="Y288" i="6" s="1"/>
  <c r="P362" i="6"/>
  <c r="P347" i="6"/>
  <c r="V347" i="6" s="1"/>
  <c r="P325" i="6"/>
  <c r="P308" i="6"/>
  <c r="R308" i="6"/>
  <c r="P366" i="6"/>
  <c r="V366" i="6" s="1"/>
  <c r="P364" i="6"/>
  <c r="P359" i="6"/>
  <c r="P357" i="6"/>
  <c r="V357" i="6" s="1"/>
  <c r="P355" i="6"/>
  <c r="P353" i="6"/>
  <c r="V353" i="6" s="1"/>
  <c r="P351" i="6"/>
  <c r="P342" i="6"/>
  <c r="P340" i="6"/>
  <c r="V340" i="6" s="1"/>
  <c r="P338" i="6"/>
  <c r="P336" i="6"/>
  <c r="V336" i="6" s="1"/>
  <c r="P317" i="6"/>
  <c r="V317" i="6" s="1"/>
  <c r="Q291" i="6"/>
  <c r="V291" i="6" s="1"/>
  <c r="W291" i="6" s="1"/>
  <c r="Y291" i="6" s="1"/>
  <c r="P284" i="6"/>
  <c r="P282" i="6"/>
  <c r="V282" i="6" s="1"/>
  <c r="P281" i="6"/>
  <c r="Q281" i="6"/>
  <c r="Q280" i="6"/>
  <c r="P280" i="6"/>
  <c r="P277" i="6"/>
  <c r="Q277" i="6"/>
  <c r="Q259" i="6"/>
  <c r="P259" i="6"/>
  <c r="P252" i="6"/>
  <c r="Q252" i="6"/>
  <c r="Q238" i="6"/>
  <c r="P238" i="6"/>
  <c r="Q234" i="6"/>
  <c r="P234" i="6"/>
  <c r="Q229" i="6"/>
  <c r="P229" i="6"/>
  <c r="Q220" i="6"/>
  <c r="P220" i="6"/>
  <c r="Q199" i="6"/>
  <c r="P199" i="6"/>
  <c r="Q194" i="6"/>
  <c r="P194" i="6"/>
  <c r="Q185" i="6"/>
  <c r="P185" i="6"/>
  <c r="P167" i="6"/>
  <c r="Q167" i="6"/>
  <c r="Q158" i="6"/>
  <c r="P158" i="6"/>
  <c r="P154" i="6"/>
  <c r="Q154" i="6"/>
  <c r="Q147" i="6"/>
  <c r="P147" i="6"/>
  <c r="Q140" i="6"/>
  <c r="P140" i="6"/>
  <c r="Q132" i="6"/>
  <c r="P132" i="6"/>
  <c r="Q118" i="6"/>
  <c r="P118" i="6"/>
  <c r="Q373" i="6"/>
  <c r="V373" i="6" s="1"/>
  <c r="W373" i="6" s="1"/>
  <c r="Y373" i="6" s="1"/>
  <c r="Q368" i="6"/>
  <c r="Q267" i="6"/>
  <c r="V267" i="6" s="1"/>
  <c r="W267" i="6" s="1"/>
  <c r="Y267" i="6" s="1"/>
  <c r="Q260" i="6"/>
  <c r="V260" i="6" s="1"/>
  <c r="W260" i="6" s="1"/>
  <c r="Y260" i="6" s="1"/>
  <c r="Q250" i="6"/>
  <c r="V250" i="6" s="1"/>
  <c r="W250" i="6" s="1"/>
  <c r="Y250" i="6" s="1"/>
  <c r="Q221" i="6"/>
  <c r="V221" i="6" s="1"/>
  <c r="W221" i="6" s="1"/>
  <c r="Y221" i="6" s="1"/>
  <c r="Q212" i="6"/>
  <c r="V212" i="6" s="1"/>
  <c r="W212" i="6" s="1"/>
  <c r="Y212" i="6" s="1"/>
  <c r="Q195" i="6"/>
  <c r="V195" i="6" s="1"/>
  <c r="W195" i="6" s="1"/>
  <c r="Y195" i="6" s="1"/>
  <c r="Q187" i="6"/>
  <c r="V187" i="6" s="1"/>
  <c r="W187" i="6" s="1"/>
  <c r="Y187" i="6" s="1"/>
  <c r="Q183" i="6"/>
  <c r="V183" i="6" s="1"/>
  <c r="W183" i="6" s="1"/>
  <c r="Y183" i="6" s="1"/>
  <c r="Q152" i="6"/>
  <c r="V152" i="6" s="1"/>
  <c r="W152" i="6" s="1"/>
  <c r="Y152" i="6" s="1"/>
  <c r="Q134" i="6"/>
  <c r="V134" i="6" s="1"/>
  <c r="W134" i="6" s="1"/>
  <c r="Y134" i="6" s="1"/>
  <c r="P128" i="6"/>
  <c r="Q275" i="6"/>
  <c r="V275" i="6" s="1"/>
  <c r="W275" i="6" s="1"/>
  <c r="Y275" i="6" s="1"/>
  <c r="R257" i="6"/>
  <c r="Q257" i="6"/>
  <c r="P256" i="6"/>
  <c r="Q239" i="6"/>
  <c r="V239" i="6" s="1"/>
  <c r="W239" i="6" s="1"/>
  <c r="Y239" i="6" s="1"/>
  <c r="Q224" i="6"/>
  <c r="P224" i="6"/>
  <c r="Q203" i="6"/>
  <c r="V203" i="6" s="1"/>
  <c r="W203" i="6" s="1"/>
  <c r="Y203" i="6" s="1"/>
  <c r="Q175" i="6"/>
  <c r="V175" i="6" s="1"/>
  <c r="W175" i="6" s="1"/>
  <c r="Y175" i="6" s="1"/>
  <c r="P165" i="6"/>
  <c r="V165" i="6" s="1"/>
  <c r="Q164" i="6"/>
  <c r="P164" i="6"/>
  <c r="Q159" i="6"/>
  <c r="V159" i="6" s="1"/>
  <c r="W159" i="6" s="1"/>
  <c r="Y159" i="6" s="1"/>
  <c r="R149" i="6"/>
  <c r="Q149" i="6"/>
  <c r="Q141" i="6"/>
  <c r="V141" i="6" s="1"/>
  <c r="W141" i="6" s="1"/>
  <c r="Y141" i="6" s="1"/>
  <c r="V129" i="6" l="1"/>
  <c r="W129" i="6" s="1"/>
  <c r="Y129" i="6" s="1"/>
  <c r="V432" i="6"/>
  <c r="W432" i="6" s="1"/>
  <c r="Y432" i="6" s="1"/>
  <c r="V126" i="6"/>
  <c r="V231" i="6"/>
  <c r="W231" i="6" s="1"/>
  <c r="Y231" i="6" s="1"/>
  <c r="V274" i="6"/>
  <c r="W352" i="6"/>
  <c r="Y352" i="6" s="1"/>
  <c r="V428" i="6"/>
  <c r="W428" i="6" s="1"/>
  <c r="Y428" i="6" s="1"/>
  <c r="V135" i="6"/>
  <c r="W135" i="6" s="1"/>
  <c r="Y135" i="6" s="1"/>
  <c r="V431" i="6"/>
  <c r="V307" i="6"/>
  <c r="W307" i="6" s="1"/>
  <c r="Y307" i="6" s="1"/>
  <c r="W356" i="6"/>
  <c r="Y356" i="6" s="1"/>
  <c r="V404" i="6"/>
  <c r="W404" i="6" s="1"/>
  <c r="Y404" i="6" s="1"/>
  <c r="V321" i="6"/>
  <c r="W321" i="6" s="1"/>
  <c r="Y321" i="6" s="1"/>
  <c r="V199" i="6"/>
  <c r="W199" i="6" s="1"/>
  <c r="Y199" i="6" s="1"/>
  <c r="V286" i="6"/>
  <c r="W286" i="6" s="1"/>
  <c r="Y286" i="6" s="1"/>
  <c r="V377" i="6"/>
  <c r="W377" i="6" s="1"/>
  <c r="Y377" i="6" s="1"/>
  <c r="V424" i="6"/>
  <c r="W424" i="6" s="1"/>
  <c r="Y424" i="6" s="1"/>
  <c r="V142" i="6"/>
  <c r="W142" i="6" s="1"/>
  <c r="Y142" i="6" s="1"/>
  <c r="V115" i="6"/>
  <c r="W115" i="6" s="1"/>
  <c r="Y115" i="6" s="1"/>
  <c r="V162" i="6"/>
  <c r="W162" i="6" s="1"/>
  <c r="Y162" i="6" s="1"/>
  <c r="V179" i="6"/>
  <c r="W179" i="6" s="1"/>
  <c r="Y179" i="6" s="1"/>
  <c r="W339" i="6"/>
  <c r="Y339" i="6" s="1"/>
  <c r="V190" i="6"/>
  <c r="W190" i="6" s="1"/>
  <c r="Y190" i="6" s="1"/>
  <c r="V266" i="6"/>
  <c r="W266" i="6" s="1"/>
  <c r="Y266" i="6" s="1"/>
  <c r="V350" i="6"/>
  <c r="W350" i="6" s="1"/>
  <c r="Y350" i="6" s="1"/>
  <c r="V399" i="6"/>
  <c r="W399" i="6" s="1"/>
  <c r="Y399" i="6" s="1"/>
  <c r="V418" i="6"/>
  <c r="W418" i="6" s="1"/>
  <c r="Y418" i="6" s="1"/>
  <c r="V383" i="6"/>
  <c r="W383" i="6" s="1"/>
  <c r="Y383" i="6" s="1"/>
  <c r="V333" i="6"/>
  <c r="W333" i="6" s="1"/>
  <c r="Y333" i="6" s="1"/>
  <c r="V189" i="6"/>
  <c r="W189" i="6" s="1"/>
  <c r="Y189" i="6" s="1"/>
  <c r="W186" i="6"/>
  <c r="Y186" i="6" s="1"/>
  <c r="V130" i="6"/>
  <c r="W130" i="6" s="1"/>
  <c r="Y130" i="6" s="1"/>
  <c r="V345" i="6"/>
  <c r="V402" i="6"/>
  <c r="W402" i="6" s="1"/>
  <c r="Y402" i="6" s="1"/>
  <c r="V344" i="6"/>
  <c r="W344" i="6" s="1"/>
  <c r="Y344" i="6" s="1"/>
  <c r="V168" i="6"/>
  <c r="W168" i="6" s="1"/>
  <c r="Y168" i="6" s="1"/>
  <c r="V349" i="6"/>
  <c r="W349" i="6" s="1"/>
  <c r="Y349" i="6" s="1"/>
  <c r="V411" i="6"/>
  <c r="W411" i="6" s="1"/>
  <c r="Y411" i="6" s="1"/>
  <c r="V146" i="6"/>
  <c r="W146" i="6" s="1"/>
  <c r="Y146" i="6" s="1"/>
  <c r="V452" i="6"/>
  <c r="W452" i="6" s="1"/>
  <c r="Y452" i="6" s="1"/>
  <c r="W337" i="6"/>
  <c r="Y337" i="6" s="1"/>
  <c r="V169" i="6"/>
  <c r="W169" i="6" s="1"/>
  <c r="Y169" i="6" s="1"/>
  <c r="V391" i="6"/>
  <c r="W391" i="6" s="1"/>
  <c r="Y391" i="6" s="1"/>
  <c r="V184" i="6"/>
  <c r="W184" i="6" s="1"/>
  <c r="Y184" i="6" s="1"/>
  <c r="W297" i="6"/>
  <c r="Y297" i="6" s="1"/>
  <c r="V161" i="6"/>
  <c r="W161" i="6" s="1"/>
  <c r="Y161" i="6" s="1"/>
  <c r="V329" i="6"/>
  <c r="W329" i="6" s="1"/>
  <c r="Y329" i="6" s="1"/>
  <c r="W444" i="6"/>
  <c r="Y444" i="6" s="1"/>
  <c r="V435" i="6"/>
  <c r="W435" i="6" s="1"/>
  <c r="Y435" i="6" s="1"/>
  <c r="V324" i="6"/>
  <c r="W324" i="6" s="1"/>
  <c r="Y324" i="6" s="1"/>
  <c r="V277" i="6"/>
  <c r="W277" i="6" s="1"/>
  <c r="Y277" i="6" s="1"/>
  <c r="V215" i="6"/>
  <c r="W215" i="6" s="1"/>
  <c r="Y215" i="6" s="1"/>
  <c r="V242" i="6"/>
  <c r="W242" i="6" s="1"/>
  <c r="Y242" i="6" s="1"/>
  <c r="V254" i="6"/>
  <c r="W254" i="6" s="1"/>
  <c r="Y254" i="6" s="1"/>
  <c r="V278" i="6"/>
  <c r="W278" i="6" s="1"/>
  <c r="Y278" i="6" s="1"/>
  <c r="V327" i="6"/>
  <c r="W327" i="6" s="1"/>
  <c r="Y327" i="6" s="1"/>
  <c r="V131" i="6"/>
  <c r="W131" i="6" s="1"/>
  <c r="Y131" i="6" s="1"/>
  <c r="V228" i="6"/>
  <c r="W228" i="6" s="1"/>
  <c r="Y228" i="6" s="1"/>
  <c r="V136" i="6"/>
  <c r="W136" i="6" s="1"/>
  <c r="Y136" i="6" s="1"/>
  <c r="V370" i="6"/>
  <c r="W370" i="6" s="1"/>
  <c r="Y370" i="6" s="1"/>
  <c r="V122" i="6"/>
  <c r="W122" i="6" s="1"/>
  <c r="Y122" i="6" s="1"/>
  <c r="V422" i="6"/>
  <c r="W422" i="6" s="1"/>
  <c r="Y422" i="6" s="1"/>
  <c r="V365" i="6"/>
  <c r="W365" i="6" s="1"/>
  <c r="Y365" i="6" s="1"/>
  <c r="V320" i="6"/>
  <c r="W320" i="6" s="1"/>
  <c r="Y320" i="6" s="1"/>
  <c r="V151" i="6"/>
  <c r="V245" i="6"/>
  <c r="W245" i="6" s="1"/>
  <c r="Y245" i="6" s="1"/>
  <c r="V218" i="6"/>
  <c r="W218" i="6" s="1"/>
  <c r="Y218" i="6" s="1"/>
  <c r="V117" i="6"/>
  <c r="W117" i="6" s="1"/>
  <c r="Y117" i="6" s="1"/>
  <c r="V271" i="6"/>
  <c r="W271" i="6" s="1"/>
  <c r="Y271" i="6" s="1"/>
  <c r="V415" i="6"/>
  <c r="W415" i="6" s="1"/>
  <c r="Y415" i="6" s="1"/>
  <c r="V310" i="6"/>
  <c r="W310" i="6" s="1"/>
  <c r="Y310" i="6" s="1"/>
  <c r="W341" i="6"/>
  <c r="Y341" i="6" s="1"/>
  <c r="W358" i="6"/>
  <c r="Y358" i="6" s="1"/>
  <c r="V132" i="6"/>
  <c r="W132" i="6" s="1"/>
  <c r="Y132" i="6" s="1"/>
  <c r="V234" i="6"/>
  <c r="W234" i="6" s="1"/>
  <c r="Y234" i="6" s="1"/>
  <c r="V235" i="6"/>
  <c r="W235" i="6" s="1"/>
  <c r="Y235" i="6" s="1"/>
  <c r="V145" i="6"/>
  <c r="W145" i="6" s="1"/>
  <c r="Y145" i="6" s="1"/>
  <c r="V156" i="6"/>
  <c r="W156" i="6" s="1"/>
  <c r="Y156" i="6" s="1"/>
  <c r="V182" i="6"/>
  <c r="W182" i="6" s="1"/>
  <c r="Y182" i="6" s="1"/>
  <c r="V232" i="6"/>
  <c r="W232" i="6" s="1"/>
  <c r="Y232" i="6" s="1"/>
  <c r="V326" i="6"/>
  <c r="W326" i="6" s="1"/>
  <c r="Y326" i="6" s="1"/>
  <c r="V384" i="6"/>
  <c r="W384" i="6" s="1"/>
  <c r="Y384" i="6" s="1"/>
  <c r="V403" i="6"/>
  <c r="W403" i="6" s="1"/>
  <c r="Y403" i="6" s="1"/>
  <c r="V198" i="6"/>
  <c r="W198" i="6" s="1"/>
  <c r="Y198" i="6" s="1"/>
  <c r="V379" i="6"/>
  <c r="W379" i="6" s="1"/>
  <c r="Y379" i="6" s="1"/>
  <c r="V450" i="6"/>
  <c r="W450" i="6" s="1"/>
  <c r="Y450" i="6" s="1"/>
  <c r="W283" i="6"/>
  <c r="Y283" i="6" s="1"/>
  <c r="V118" i="6"/>
  <c r="W118" i="6" s="1"/>
  <c r="Y118" i="6" s="1"/>
  <c r="V396" i="6"/>
  <c r="W396" i="6" s="1"/>
  <c r="Y396" i="6" s="1"/>
  <c r="V119" i="6"/>
  <c r="W119" i="6" s="1"/>
  <c r="Y119" i="6" s="1"/>
  <c r="V191" i="6"/>
  <c r="W191" i="6" s="1"/>
  <c r="Y191" i="6" s="1"/>
  <c r="V116" i="6"/>
  <c r="W116" i="6" s="1"/>
  <c r="Y116" i="6" s="1"/>
  <c r="V178" i="6"/>
  <c r="W178" i="6" s="1"/>
  <c r="Y178" i="6" s="1"/>
  <c r="V262" i="6"/>
  <c r="W262" i="6" s="1"/>
  <c r="Y262" i="6" s="1"/>
  <c r="V233" i="6"/>
  <c r="W233" i="6" s="1"/>
  <c r="Y233" i="6" s="1"/>
  <c r="V361" i="6"/>
  <c r="W361" i="6" s="1"/>
  <c r="Y361" i="6" s="1"/>
  <c r="V395" i="6"/>
  <c r="W395" i="6" s="1"/>
  <c r="Y395" i="6" s="1"/>
  <c r="V390" i="6"/>
  <c r="W390" i="6" s="1"/>
  <c r="Y390" i="6" s="1"/>
  <c r="V405" i="6"/>
  <c r="W405" i="6" s="1"/>
  <c r="Y405" i="6" s="1"/>
  <c r="V247" i="6"/>
  <c r="W247" i="6" s="1"/>
  <c r="Y247" i="6" s="1"/>
  <c r="V394" i="6"/>
  <c r="W394" i="6" s="1"/>
  <c r="Y394" i="6" s="1"/>
  <c r="V154" i="6"/>
  <c r="W154" i="6" s="1"/>
  <c r="Y154" i="6" s="1"/>
  <c r="V194" i="6"/>
  <c r="W194" i="6" s="1"/>
  <c r="Y194" i="6" s="1"/>
  <c r="V120" i="6"/>
  <c r="W120" i="6" s="1"/>
  <c r="Y120" i="6" s="1"/>
  <c r="V205" i="6"/>
  <c r="W205" i="6" s="1"/>
  <c r="Y205" i="6" s="1"/>
  <c r="V140" i="6"/>
  <c r="W140" i="6" s="1"/>
  <c r="Y140" i="6" s="1"/>
  <c r="V281" i="6"/>
  <c r="W281" i="6" s="1"/>
  <c r="Y281" i="6" s="1"/>
  <c r="V158" i="6"/>
  <c r="W158" i="6" s="1"/>
  <c r="Y158" i="6" s="1"/>
  <c r="V220" i="6"/>
  <c r="W220" i="6" s="1"/>
  <c r="Y220" i="6" s="1"/>
  <c r="V238" i="6"/>
  <c r="W238" i="6" s="1"/>
  <c r="Y238" i="6" s="1"/>
  <c r="V259" i="6"/>
  <c r="W259" i="6" s="1"/>
  <c r="Y259" i="6" s="1"/>
  <c r="V214" i="6"/>
  <c r="W214" i="6" s="1"/>
  <c r="Y214" i="6" s="1"/>
  <c r="V269" i="6"/>
  <c r="W269" i="6" s="1"/>
  <c r="Y269" i="6" s="1"/>
  <c r="V446" i="6"/>
  <c r="W446" i="6" s="1"/>
  <c r="Y446" i="6" s="1"/>
  <c r="V378" i="6"/>
  <c r="W378" i="6" s="1"/>
  <c r="Y378" i="6" s="1"/>
  <c r="V147" i="6"/>
  <c r="W147" i="6" s="1"/>
  <c r="Y147" i="6" s="1"/>
  <c r="W296" i="6"/>
  <c r="Y296" i="6" s="1"/>
  <c r="W313" i="6"/>
  <c r="Y313" i="6" s="1"/>
  <c r="V257" i="6"/>
  <c r="W257" i="6" s="1"/>
  <c r="Y257" i="6" s="1"/>
  <c r="V128" i="6"/>
  <c r="W128" i="6" s="1"/>
  <c r="Y128" i="6" s="1"/>
  <c r="V308" i="6"/>
  <c r="W308" i="6" s="1"/>
  <c r="Y308" i="6" s="1"/>
  <c r="V185" i="6"/>
  <c r="W185" i="6" s="1"/>
  <c r="Y185" i="6" s="1"/>
  <c r="V284" i="6"/>
  <c r="W284" i="6" s="1"/>
  <c r="Y284" i="6" s="1"/>
  <c r="W317" i="6"/>
  <c r="Y317" i="6" s="1"/>
  <c r="V338" i="6"/>
  <c r="W338" i="6" s="1"/>
  <c r="Y338" i="6" s="1"/>
  <c r="V342" i="6"/>
  <c r="W342" i="6" s="1"/>
  <c r="Y342" i="6" s="1"/>
  <c r="W353" i="6"/>
  <c r="Y353" i="6" s="1"/>
  <c r="W357" i="6"/>
  <c r="Y357" i="6" s="1"/>
  <c r="V364" i="6"/>
  <c r="W364" i="6" s="1"/>
  <c r="Y364" i="6" s="1"/>
  <c r="W347" i="6"/>
  <c r="Y347" i="6" s="1"/>
  <c r="V197" i="6"/>
  <c r="W197" i="6" s="1"/>
  <c r="Y197" i="6" s="1"/>
  <c r="W294" i="6"/>
  <c r="Y294" i="6" s="1"/>
  <c r="W302" i="6"/>
  <c r="Y302" i="6" s="1"/>
  <c r="W126" i="6"/>
  <c r="Y126" i="6" s="1"/>
  <c r="V209" i="6"/>
  <c r="W209" i="6" s="1"/>
  <c r="Y209" i="6" s="1"/>
  <c r="V253" i="6"/>
  <c r="W253" i="6" s="1"/>
  <c r="Y253" i="6" s="1"/>
  <c r="V299" i="6"/>
  <c r="W299" i="6" s="1"/>
  <c r="Y299" i="6" s="1"/>
  <c r="V121" i="6"/>
  <c r="W121" i="6" s="1"/>
  <c r="Y121" i="6" s="1"/>
  <c r="V227" i="6"/>
  <c r="W227" i="6" s="1"/>
  <c r="Y227" i="6" s="1"/>
  <c r="V270" i="6"/>
  <c r="W270" i="6" s="1"/>
  <c r="Y270" i="6" s="1"/>
  <c r="W345" i="6"/>
  <c r="Y345" i="6" s="1"/>
  <c r="V202" i="6"/>
  <c r="W202" i="6" s="1"/>
  <c r="Y202" i="6" s="1"/>
  <c r="V328" i="6"/>
  <c r="W328" i="6" s="1"/>
  <c r="Y328" i="6" s="1"/>
  <c r="V386" i="6"/>
  <c r="W386" i="6" s="1"/>
  <c r="Y386" i="6" s="1"/>
  <c r="V393" i="6"/>
  <c r="W393" i="6" s="1"/>
  <c r="Y393" i="6" s="1"/>
  <c r="V421" i="6"/>
  <c r="W421" i="6" s="1"/>
  <c r="Y421" i="6" s="1"/>
  <c r="V346" i="6"/>
  <c r="W346" i="6" s="1"/>
  <c r="Y346" i="6" s="1"/>
  <c r="V207" i="6"/>
  <c r="W207" i="6" s="1"/>
  <c r="Y207" i="6" s="1"/>
  <c r="V448" i="6"/>
  <c r="W448" i="6" s="1"/>
  <c r="Y448" i="6" s="1"/>
  <c r="V167" i="6"/>
  <c r="W167" i="6" s="1"/>
  <c r="Y167" i="6" s="1"/>
  <c r="V252" i="6"/>
  <c r="W252" i="6" s="1"/>
  <c r="Y252" i="6" s="1"/>
  <c r="V125" i="6"/>
  <c r="W125" i="6" s="1"/>
  <c r="Y125" i="6" s="1"/>
  <c r="V371" i="6"/>
  <c r="W371" i="6" s="1"/>
  <c r="Y371" i="6" s="1"/>
  <c r="V412" i="6"/>
  <c r="W412" i="6" s="1"/>
  <c r="Y412" i="6" s="1"/>
  <c r="V380" i="6"/>
  <c r="W380" i="6" s="1"/>
  <c r="Y380" i="6" s="1"/>
  <c r="V177" i="6"/>
  <c r="W177" i="6" s="1"/>
  <c r="Y177" i="6" s="1"/>
  <c r="V230" i="6"/>
  <c r="W230" i="6" s="1"/>
  <c r="Y230" i="6" s="1"/>
  <c r="V456" i="6"/>
  <c r="W456" i="6" s="1"/>
  <c r="Y456" i="6" s="1"/>
  <c r="V363" i="6"/>
  <c r="W363" i="6" s="1"/>
  <c r="Y363" i="6" s="1"/>
  <c r="W292" i="6"/>
  <c r="Y292" i="6" s="1"/>
  <c r="W300" i="6"/>
  <c r="Y300" i="6" s="1"/>
  <c r="W293" i="6"/>
  <c r="Y293" i="6" s="1"/>
  <c r="W303" i="6"/>
  <c r="Y303" i="6" s="1"/>
  <c r="W312" i="6"/>
  <c r="Y312" i="6" s="1"/>
  <c r="W151" i="6"/>
  <c r="Y151" i="6" s="1"/>
  <c r="W274" i="6"/>
  <c r="Y274" i="6" s="1"/>
  <c r="V149" i="6"/>
  <c r="W149" i="6" s="1"/>
  <c r="Y149" i="6" s="1"/>
  <c r="V164" i="6"/>
  <c r="W164" i="6" s="1"/>
  <c r="Y164" i="6" s="1"/>
  <c r="W165" i="6"/>
  <c r="Y165" i="6" s="1"/>
  <c r="V224" i="6"/>
  <c r="W224" i="6" s="1"/>
  <c r="Y224" i="6" s="1"/>
  <c r="V256" i="6"/>
  <c r="W256" i="6" s="1"/>
  <c r="Y256" i="6" s="1"/>
  <c r="V304" i="6"/>
  <c r="W304" i="6" s="1"/>
  <c r="Y304" i="6" s="1"/>
  <c r="V229" i="6"/>
  <c r="W229" i="6" s="1"/>
  <c r="Y229" i="6" s="1"/>
  <c r="V280" i="6"/>
  <c r="W280" i="6" s="1"/>
  <c r="Y280" i="6" s="1"/>
  <c r="W282" i="6"/>
  <c r="Y282" i="6" s="1"/>
  <c r="W336" i="6"/>
  <c r="Y336" i="6" s="1"/>
  <c r="W340" i="6"/>
  <c r="Y340" i="6" s="1"/>
  <c r="V351" i="6"/>
  <c r="W351" i="6" s="1"/>
  <c r="Y351" i="6" s="1"/>
  <c r="V355" i="6"/>
  <c r="W355" i="6" s="1"/>
  <c r="Y355" i="6" s="1"/>
  <c r="V359" i="6"/>
  <c r="W359" i="6" s="1"/>
  <c r="Y359" i="6" s="1"/>
  <c r="W366" i="6"/>
  <c r="Y366" i="6" s="1"/>
  <c r="V325" i="6"/>
  <c r="W325" i="6" s="1"/>
  <c r="Y325" i="6" s="1"/>
  <c r="V362" i="6"/>
  <c r="W362" i="6" s="1"/>
  <c r="Y362" i="6" s="1"/>
  <c r="V249" i="6"/>
  <c r="W249" i="6" s="1"/>
  <c r="Y249" i="6" s="1"/>
  <c r="W306" i="6"/>
  <c r="Y306" i="6" s="1"/>
  <c r="W315" i="6"/>
  <c r="Y315" i="6" s="1"/>
  <c r="V406" i="6"/>
  <c r="W406" i="6" s="1"/>
  <c r="Y406" i="6" s="1"/>
  <c r="V368" i="6"/>
  <c r="W368" i="6" s="1"/>
  <c r="Y368" i="6" s="1"/>
  <c r="V172" i="6"/>
  <c r="W172" i="6" s="1"/>
  <c r="Y172" i="6" s="1"/>
  <c r="V241" i="6"/>
  <c r="W241" i="6" s="1"/>
  <c r="Y241" i="6" s="1"/>
  <c r="V287" i="6"/>
  <c r="W287" i="6" s="1"/>
  <c r="Y287" i="6" s="1"/>
  <c r="W295" i="6"/>
  <c r="Y295" i="6" s="1"/>
  <c r="W301" i="6"/>
  <c r="Y301" i="6" s="1"/>
  <c r="W305" i="6"/>
  <c r="Y305" i="6" s="1"/>
  <c r="W314" i="6"/>
  <c r="Y314" i="6" s="1"/>
  <c r="V323" i="6"/>
  <c r="W323" i="6" s="1"/>
  <c r="Y323" i="6" s="1"/>
  <c r="V331" i="6"/>
  <c r="W331" i="6" s="1"/>
  <c r="Y331" i="6" s="1"/>
  <c r="V419" i="6"/>
  <c r="W419" i="6" s="1"/>
  <c r="Y419" i="6" s="1"/>
  <c r="V441" i="6"/>
  <c r="W441" i="6" s="1"/>
  <c r="Y441" i="6" s="1"/>
  <c r="V211" i="6"/>
  <c r="W211" i="6" s="1"/>
  <c r="Y211" i="6" s="1"/>
  <c r="V279" i="6"/>
  <c r="W279" i="6" s="1"/>
  <c r="Y279" i="6" s="1"/>
  <c r="V311" i="6"/>
  <c r="W311" i="6" s="1"/>
  <c r="Y311" i="6" s="1"/>
  <c r="V382" i="6"/>
  <c r="W382" i="6" s="1"/>
  <c r="Y382" i="6" s="1"/>
  <c r="V389" i="6"/>
  <c r="W389" i="6" s="1"/>
  <c r="Y389" i="6" s="1"/>
  <c r="V417" i="6"/>
  <c r="W417" i="6" s="1"/>
  <c r="Y417" i="6" s="1"/>
  <c r="V437" i="6"/>
  <c r="W437" i="6" s="1"/>
  <c r="Y437" i="6" s="1"/>
  <c r="V138" i="6"/>
  <c r="W138" i="6" s="1"/>
  <c r="Y138" i="6" s="1"/>
  <c r="V319" i="6"/>
  <c r="W319" i="6" s="1"/>
  <c r="Y319" i="6" s="1"/>
  <c r="V330" i="6"/>
  <c r="W330" i="6" s="1"/>
  <c r="Y330" i="6" s="1"/>
  <c r="V407" i="6"/>
  <c r="W407" i="6" s="1"/>
  <c r="Y407" i="6" s="1"/>
  <c r="V409" i="6"/>
  <c r="W409" i="6" s="1"/>
  <c r="Y409" i="6" s="1"/>
  <c r="V174" i="6"/>
  <c r="W174" i="6" s="1"/>
  <c r="Y174" i="6" s="1"/>
  <c r="V263" i="6"/>
  <c r="W263" i="6" s="1"/>
  <c r="Y263" i="6" s="1"/>
  <c r="V348" i="6"/>
  <c r="W348" i="6" s="1"/>
  <c r="Y348" i="6" s="1"/>
  <c r="V387" i="6"/>
  <c r="W387" i="6" s="1"/>
  <c r="Y387" i="6" s="1"/>
  <c r="V397" i="6"/>
  <c r="W397" i="6" s="1"/>
  <c r="Y397" i="6" s="1"/>
  <c r="W431" i="6"/>
  <c r="Y431" i="6" s="1"/>
  <c r="V460" i="6"/>
  <c r="W460" i="6" s="1"/>
  <c r="Y460" i="6" s="1"/>
  <c r="O112" i="9"/>
  <c r="L112" i="9"/>
  <c r="K112" i="9"/>
  <c r="J112" i="9"/>
  <c r="F19" i="3"/>
  <c r="F16" i="3"/>
  <c r="F11" i="3"/>
  <c r="F4" i="3"/>
  <c r="G19" i="3"/>
  <c r="G16" i="3"/>
  <c r="G11" i="3"/>
  <c r="G4" i="3"/>
  <c r="F3" i="3" l="1"/>
  <c r="G3" i="3"/>
  <c r="O120" i="9" l="1"/>
  <c r="O119" i="9"/>
  <c r="P119" i="9" s="1"/>
  <c r="P118" i="9"/>
  <c r="P120" i="9"/>
  <c r="P82" i="9"/>
  <c r="J43" i="9"/>
  <c r="J49" i="9"/>
  <c r="J51" i="9"/>
  <c r="J54" i="9"/>
  <c r="J59" i="9"/>
  <c r="O108" i="9"/>
  <c r="V125" i="4"/>
  <c r="S125" i="4"/>
  <c r="P125" i="4"/>
  <c r="M125" i="4"/>
  <c r="V128" i="4"/>
  <c r="X128" i="4" s="1"/>
  <c r="S128" i="4"/>
  <c r="P128" i="4"/>
  <c r="R128" i="4" s="1"/>
  <c r="M128" i="4"/>
  <c r="O128" i="4" s="1"/>
  <c r="V130" i="4"/>
  <c r="S130" i="4"/>
  <c r="M130" i="4"/>
  <c r="P130" i="4"/>
  <c r="V132" i="4"/>
  <c r="S132" i="4"/>
  <c r="P132" i="4"/>
  <c r="M132" i="4"/>
  <c r="M135" i="4"/>
  <c r="V135" i="4"/>
  <c r="S135" i="4"/>
  <c r="P135" i="4"/>
  <c r="V137" i="4"/>
  <c r="S137" i="4"/>
  <c r="P137" i="4"/>
  <c r="M137" i="4"/>
  <c r="V138" i="4"/>
  <c r="S138" i="4"/>
  <c r="P138" i="4"/>
  <c r="M138" i="4"/>
  <c r="V136" i="4"/>
  <c r="S136" i="4"/>
  <c r="P136" i="4"/>
  <c r="M136" i="4"/>
  <c r="V25" i="4"/>
  <c r="S25" i="4"/>
  <c r="P25" i="4"/>
  <c r="M25" i="4"/>
  <c r="V57" i="4"/>
  <c r="S57" i="4"/>
  <c r="P57" i="4"/>
  <c r="M57" i="4"/>
  <c r="U128" i="4"/>
  <c r="N119" i="12"/>
  <c r="P90" i="9"/>
  <c r="P91" i="9"/>
  <c r="P92" i="9"/>
  <c r="P93" i="9"/>
  <c r="X121" i="12"/>
  <c r="X91" i="12"/>
  <c r="X83" i="12"/>
  <c r="X80" i="12"/>
  <c r="X127" i="4"/>
  <c r="R127" i="4"/>
  <c r="O127" i="4"/>
  <c r="N82" i="12"/>
  <c r="N126" i="12"/>
  <c r="C463" i="6"/>
  <c r="C481" i="6"/>
  <c r="C480" i="6"/>
  <c r="C479" i="6"/>
  <c r="C478" i="6"/>
  <c r="C477" i="6"/>
  <c r="C476" i="6"/>
  <c r="C475" i="6"/>
  <c r="C474" i="6"/>
  <c r="C473" i="6"/>
  <c r="C472" i="6"/>
  <c r="C471" i="6"/>
  <c r="C470" i="6"/>
  <c r="C469" i="6"/>
  <c r="C468" i="6"/>
  <c r="C467" i="6"/>
  <c r="C466" i="6"/>
  <c r="C465" i="6"/>
  <c r="C464" i="6"/>
  <c r="X481" i="6"/>
  <c r="O481" i="6"/>
  <c r="M481" i="6"/>
  <c r="L481" i="6"/>
  <c r="X480" i="6"/>
  <c r="O480" i="6"/>
  <c r="M480" i="6"/>
  <c r="L480" i="6"/>
  <c r="Y479" i="6"/>
  <c r="X479" i="6"/>
  <c r="W479" i="6"/>
  <c r="V479" i="6"/>
  <c r="U479" i="6"/>
  <c r="T479" i="6"/>
  <c r="S479" i="6"/>
  <c r="R479" i="6"/>
  <c r="Q479" i="6"/>
  <c r="P479" i="6"/>
  <c r="O479" i="6"/>
  <c r="N479" i="6"/>
  <c r="M479" i="6"/>
  <c r="L479" i="6"/>
  <c r="X478" i="6"/>
  <c r="R478" i="6"/>
  <c r="O478" i="6"/>
  <c r="M478" i="6"/>
  <c r="L478" i="6"/>
  <c r="X477" i="6"/>
  <c r="R477" i="6"/>
  <c r="O477" i="6"/>
  <c r="M477" i="6"/>
  <c r="L477" i="6"/>
  <c r="X476" i="6"/>
  <c r="O476" i="6"/>
  <c r="M476" i="6"/>
  <c r="L476" i="6"/>
  <c r="X475" i="6"/>
  <c r="U475" i="6"/>
  <c r="R475" i="6"/>
  <c r="O475" i="6"/>
  <c r="M475" i="6"/>
  <c r="L475" i="6"/>
  <c r="X474" i="6"/>
  <c r="O474" i="6"/>
  <c r="M474" i="6"/>
  <c r="L474" i="6"/>
  <c r="X473" i="6"/>
  <c r="O473" i="6"/>
  <c r="M473" i="6"/>
  <c r="L473" i="6"/>
  <c r="X472" i="6"/>
  <c r="U472" i="6"/>
  <c r="T472" i="6"/>
  <c r="S472" i="6"/>
  <c r="R472" i="6"/>
  <c r="O472" i="6"/>
  <c r="M472" i="6"/>
  <c r="L472" i="6"/>
  <c r="X471" i="6"/>
  <c r="O471" i="6"/>
  <c r="M471" i="6"/>
  <c r="L471" i="6"/>
  <c r="X470" i="6"/>
  <c r="R470" i="6"/>
  <c r="O470" i="6"/>
  <c r="M470" i="6"/>
  <c r="L470" i="6"/>
  <c r="X469" i="6"/>
  <c r="O469" i="6"/>
  <c r="M469" i="6"/>
  <c r="L469" i="6"/>
  <c r="X468" i="6"/>
  <c r="R468" i="6"/>
  <c r="O468" i="6"/>
  <c r="M468" i="6"/>
  <c r="L468" i="6"/>
  <c r="X467" i="6"/>
  <c r="R467" i="6"/>
  <c r="O467" i="6"/>
  <c r="M467" i="6"/>
  <c r="X466" i="6"/>
  <c r="R466" i="6"/>
  <c r="O466" i="6"/>
  <c r="M466" i="6"/>
  <c r="L466" i="6"/>
  <c r="X465" i="6"/>
  <c r="U465" i="6"/>
  <c r="T465" i="6"/>
  <c r="S465" i="6"/>
  <c r="O465" i="6"/>
  <c r="M465" i="6"/>
  <c r="L465" i="6"/>
  <c r="X464" i="6"/>
  <c r="O464" i="6"/>
  <c r="M464" i="6"/>
  <c r="L464" i="6"/>
  <c r="X463" i="6"/>
  <c r="O463" i="6"/>
  <c r="M463" i="6"/>
  <c r="K88" i="6"/>
  <c r="K79" i="6"/>
  <c r="K96" i="6"/>
  <c r="N96" i="6" s="1"/>
  <c r="P96" i="6" s="1"/>
  <c r="K95" i="6"/>
  <c r="N95" i="6" s="1"/>
  <c r="K94" i="6"/>
  <c r="K93" i="6"/>
  <c r="N93" i="6" s="1"/>
  <c r="K92" i="6"/>
  <c r="N92" i="6" s="1"/>
  <c r="K91" i="6"/>
  <c r="N91" i="6" s="1"/>
  <c r="Q91" i="6" s="1"/>
  <c r="K90" i="6"/>
  <c r="N90" i="6" s="1"/>
  <c r="P90" i="6" s="1"/>
  <c r="K97" i="6"/>
  <c r="N97" i="6" s="1"/>
  <c r="K89" i="6"/>
  <c r="N94" i="6"/>
  <c r="P94" i="6" s="1"/>
  <c r="Y127" i="4" l="1"/>
  <c r="Y128" i="4"/>
  <c r="P92" i="6"/>
  <c r="Q92" i="6"/>
  <c r="P97" i="6"/>
  <c r="Q97" i="6"/>
  <c r="P93" i="6"/>
  <c r="Q93" i="6"/>
  <c r="Q95" i="6"/>
  <c r="P95" i="6"/>
  <c r="P91" i="6"/>
  <c r="V91" i="6" s="1"/>
  <c r="Q96" i="6"/>
  <c r="V96" i="6" s="1"/>
  <c r="W96" i="6" s="1"/>
  <c r="Y96" i="6" s="1"/>
  <c r="Q90" i="6"/>
  <c r="V90" i="6" s="1"/>
  <c r="W90" i="6" s="1"/>
  <c r="Y90" i="6" s="1"/>
  <c r="Q94" i="6"/>
  <c r="V94" i="6" s="1"/>
  <c r="W94" i="6" s="1"/>
  <c r="Y94" i="6" s="1"/>
  <c r="C574" i="6"/>
  <c r="C573" i="6"/>
  <c r="C572" i="6"/>
  <c r="C571" i="6"/>
  <c r="C570" i="6"/>
  <c r="C569" i="6"/>
  <c r="C568" i="6"/>
  <c r="C567" i="6"/>
  <c r="C566" i="6"/>
  <c r="C565" i="6"/>
  <c r="C564" i="6"/>
  <c r="C563" i="6"/>
  <c r="C562" i="6"/>
  <c r="C561" i="6"/>
  <c r="C560" i="6"/>
  <c r="C559" i="6"/>
  <c r="C558" i="6"/>
  <c r="C557" i="6"/>
  <c r="C556" i="6"/>
  <c r="C555" i="6"/>
  <c r="C554" i="6"/>
  <c r="C553" i="6"/>
  <c r="C552" i="6"/>
  <c r="C551" i="6"/>
  <c r="C550" i="6"/>
  <c r="C549" i="6"/>
  <c r="C548" i="6"/>
  <c r="C547" i="6"/>
  <c r="C546" i="6"/>
  <c r="C545" i="6"/>
  <c r="C544" i="6"/>
  <c r="C543" i="6"/>
  <c r="C542" i="6"/>
  <c r="C541" i="6"/>
  <c r="C540" i="6"/>
  <c r="C539" i="6"/>
  <c r="C538" i="6"/>
  <c r="C537" i="6"/>
  <c r="C536" i="6"/>
  <c r="C535" i="6"/>
  <c r="C534" i="6"/>
  <c r="C533" i="6"/>
  <c r="C532" i="6"/>
  <c r="C531" i="6"/>
  <c r="C530" i="6"/>
  <c r="C529" i="6"/>
  <c r="C528" i="6"/>
  <c r="C527" i="6"/>
  <c r="C526" i="6"/>
  <c r="C525" i="6"/>
  <c r="C524" i="6"/>
  <c r="C523" i="6"/>
  <c r="C522" i="6"/>
  <c r="C521" i="6"/>
  <c r="C520" i="6"/>
  <c r="C519" i="6"/>
  <c r="C518" i="6"/>
  <c r="C517" i="6"/>
  <c r="C516" i="6"/>
  <c r="C515" i="6"/>
  <c r="C514" i="6"/>
  <c r="C513" i="6"/>
  <c r="C512" i="6"/>
  <c r="C511" i="6"/>
  <c r="Y574" i="6"/>
  <c r="X574" i="6"/>
  <c r="W574" i="6"/>
  <c r="V574" i="6"/>
  <c r="U574" i="6"/>
  <c r="T574" i="6"/>
  <c r="S574" i="6"/>
  <c r="R574" i="6"/>
  <c r="Q574" i="6"/>
  <c r="P574" i="6"/>
  <c r="O574" i="6"/>
  <c r="N574" i="6"/>
  <c r="M574" i="6"/>
  <c r="L574" i="6"/>
  <c r="X573" i="6"/>
  <c r="R573" i="6"/>
  <c r="O573" i="6"/>
  <c r="M573" i="6"/>
  <c r="L573" i="6"/>
  <c r="X572" i="6"/>
  <c r="U572" i="6"/>
  <c r="T572" i="6"/>
  <c r="S572" i="6"/>
  <c r="R572" i="6"/>
  <c r="O572" i="6"/>
  <c r="M572" i="6"/>
  <c r="L572" i="6"/>
  <c r="X571" i="6"/>
  <c r="O571" i="6"/>
  <c r="M571" i="6"/>
  <c r="X570" i="6"/>
  <c r="U570" i="6"/>
  <c r="T570" i="6"/>
  <c r="S570" i="6"/>
  <c r="O570" i="6"/>
  <c r="M570" i="6"/>
  <c r="L570" i="6"/>
  <c r="X569" i="6"/>
  <c r="U569" i="6"/>
  <c r="T569" i="6"/>
  <c r="S569" i="6"/>
  <c r="R569" i="6"/>
  <c r="O569" i="6"/>
  <c r="M569" i="6"/>
  <c r="L569" i="6"/>
  <c r="X568" i="6"/>
  <c r="O568" i="6"/>
  <c r="M568" i="6"/>
  <c r="L568" i="6"/>
  <c r="Y567" i="6"/>
  <c r="X567" i="6"/>
  <c r="W567" i="6"/>
  <c r="V567" i="6"/>
  <c r="U567" i="6"/>
  <c r="T567" i="6"/>
  <c r="S567" i="6"/>
  <c r="R567" i="6"/>
  <c r="Q567" i="6"/>
  <c r="P567" i="6"/>
  <c r="O567" i="6"/>
  <c r="N567" i="6"/>
  <c r="M132" i="12" s="1"/>
  <c r="M567" i="6"/>
  <c r="L567" i="6"/>
  <c r="Y566" i="6"/>
  <c r="X566" i="6"/>
  <c r="W566" i="6"/>
  <c r="V566" i="6"/>
  <c r="U566" i="6"/>
  <c r="T566" i="6"/>
  <c r="S566" i="6"/>
  <c r="R566" i="6"/>
  <c r="Q566" i="6"/>
  <c r="P566" i="6"/>
  <c r="O566" i="6"/>
  <c r="N566" i="6"/>
  <c r="M566" i="6"/>
  <c r="L566" i="6"/>
  <c r="X565" i="6"/>
  <c r="O565" i="6"/>
  <c r="M565" i="6"/>
  <c r="L565" i="6"/>
  <c r="X564" i="6"/>
  <c r="U564" i="6"/>
  <c r="T564" i="6"/>
  <c r="S564" i="6"/>
  <c r="R564" i="6"/>
  <c r="O564" i="6"/>
  <c r="M564" i="6"/>
  <c r="L564" i="6"/>
  <c r="X563" i="6"/>
  <c r="U563" i="6"/>
  <c r="T563" i="6"/>
  <c r="S563" i="6"/>
  <c r="R563" i="6"/>
  <c r="O563" i="6"/>
  <c r="M563" i="6"/>
  <c r="L563" i="6"/>
  <c r="X562" i="6"/>
  <c r="U562" i="6"/>
  <c r="T562" i="6"/>
  <c r="S562" i="6"/>
  <c r="O562" i="6"/>
  <c r="M562" i="6"/>
  <c r="L562" i="6"/>
  <c r="X561" i="6"/>
  <c r="U561" i="6"/>
  <c r="T561" i="6"/>
  <c r="S561" i="6"/>
  <c r="R561" i="6"/>
  <c r="O561" i="6"/>
  <c r="M561" i="6"/>
  <c r="L561" i="6"/>
  <c r="Y560" i="6"/>
  <c r="X560" i="6"/>
  <c r="W560" i="6"/>
  <c r="V560" i="6"/>
  <c r="U560" i="6"/>
  <c r="T560" i="6"/>
  <c r="S560" i="6"/>
  <c r="R560" i="6"/>
  <c r="Q560" i="6"/>
  <c r="P560" i="6"/>
  <c r="O560" i="6"/>
  <c r="N560" i="6"/>
  <c r="M560" i="6"/>
  <c r="L560" i="6"/>
  <c r="X559" i="6"/>
  <c r="O559" i="6"/>
  <c r="M559" i="6"/>
  <c r="L559" i="6"/>
  <c r="X558" i="6"/>
  <c r="U558" i="6"/>
  <c r="T558" i="6"/>
  <c r="S558" i="6"/>
  <c r="R558" i="6"/>
  <c r="O558" i="6"/>
  <c r="M558" i="6"/>
  <c r="L558" i="6"/>
  <c r="X557" i="6"/>
  <c r="U557" i="6"/>
  <c r="T557" i="6"/>
  <c r="S557" i="6"/>
  <c r="R557" i="6"/>
  <c r="O557" i="6"/>
  <c r="M557" i="6"/>
  <c r="L557" i="6"/>
  <c r="X556" i="6"/>
  <c r="U556" i="6"/>
  <c r="O556" i="6"/>
  <c r="M556" i="6"/>
  <c r="L556" i="6"/>
  <c r="X555" i="6"/>
  <c r="R555" i="6"/>
  <c r="O555" i="6"/>
  <c r="M555" i="6"/>
  <c r="L555" i="6"/>
  <c r="Y554" i="6"/>
  <c r="C119" i="12" s="1"/>
  <c r="X554" i="6"/>
  <c r="W554" i="6"/>
  <c r="V554" i="6"/>
  <c r="U554" i="6"/>
  <c r="T554" i="6"/>
  <c r="S554" i="6"/>
  <c r="R554" i="6"/>
  <c r="Q554" i="6"/>
  <c r="P554" i="6"/>
  <c r="O554" i="6"/>
  <c r="N554" i="6"/>
  <c r="M119" i="12" s="1"/>
  <c r="M554" i="6"/>
  <c r="L554" i="6"/>
  <c r="X553" i="6"/>
  <c r="U553" i="6"/>
  <c r="T553" i="6"/>
  <c r="S553" i="6"/>
  <c r="R553" i="6"/>
  <c r="O553" i="6"/>
  <c r="M553" i="6"/>
  <c r="L553" i="6"/>
  <c r="X552" i="6"/>
  <c r="R552" i="6"/>
  <c r="O552" i="6"/>
  <c r="M552" i="6"/>
  <c r="L552" i="6"/>
  <c r="X551" i="6"/>
  <c r="U551" i="6"/>
  <c r="T551" i="6"/>
  <c r="S551" i="6"/>
  <c r="R551" i="6"/>
  <c r="O551" i="6"/>
  <c r="M551" i="6"/>
  <c r="L551" i="6"/>
  <c r="X550" i="6"/>
  <c r="U550" i="6"/>
  <c r="T550" i="6"/>
  <c r="S550" i="6"/>
  <c r="O550" i="6"/>
  <c r="M550" i="6"/>
  <c r="L550" i="6"/>
  <c r="X549" i="6"/>
  <c r="U549" i="6"/>
  <c r="R549" i="6"/>
  <c r="O549" i="6"/>
  <c r="M549" i="6"/>
  <c r="L549" i="6"/>
  <c r="X548" i="6"/>
  <c r="U548" i="6"/>
  <c r="T548" i="6"/>
  <c r="S548" i="6"/>
  <c r="O548" i="6"/>
  <c r="M548" i="6"/>
  <c r="L548" i="6"/>
  <c r="X547" i="6"/>
  <c r="U547" i="6"/>
  <c r="T547" i="6"/>
  <c r="S547" i="6"/>
  <c r="R547" i="6"/>
  <c r="O547" i="6"/>
  <c r="M547" i="6"/>
  <c r="L547" i="6"/>
  <c r="X546" i="6"/>
  <c r="T546" i="6"/>
  <c r="O546" i="6"/>
  <c r="M546" i="6"/>
  <c r="L546" i="6"/>
  <c r="X545" i="6"/>
  <c r="O545" i="6"/>
  <c r="M545" i="6"/>
  <c r="L545" i="6"/>
  <c r="X544" i="6"/>
  <c r="U544" i="6"/>
  <c r="T544" i="6"/>
  <c r="S544" i="6"/>
  <c r="O544" i="6"/>
  <c r="M544" i="6"/>
  <c r="L544" i="6"/>
  <c r="X543" i="6"/>
  <c r="U543" i="6"/>
  <c r="T543" i="6"/>
  <c r="S543" i="6"/>
  <c r="R543" i="6"/>
  <c r="O543" i="6"/>
  <c r="M543" i="6"/>
  <c r="L543" i="6"/>
  <c r="X542" i="6"/>
  <c r="U542" i="6"/>
  <c r="T542" i="6"/>
  <c r="S542" i="6"/>
  <c r="R542" i="6"/>
  <c r="O542" i="6"/>
  <c r="M542" i="6"/>
  <c r="L542" i="6"/>
  <c r="X541" i="6"/>
  <c r="U541" i="6"/>
  <c r="T541" i="6"/>
  <c r="S541" i="6"/>
  <c r="R541" i="6"/>
  <c r="O541" i="6"/>
  <c r="M541" i="6"/>
  <c r="L541" i="6"/>
  <c r="X540" i="6"/>
  <c r="O540" i="6"/>
  <c r="M540" i="6"/>
  <c r="L540" i="6"/>
  <c r="X539" i="6"/>
  <c r="U539" i="6"/>
  <c r="T539" i="6"/>
  <c r="S539" i="6"/>
  <c r="O539" i="6"/>
  <c r="M539" i="6"/>
  <c r="L539" i="6"/>
  <c r="X538" i="6"/>
  <c r="U538" i="6"/>
  <c r="T538" i="6"/>
  <c r="S538" i="6"/>
  <c r="O538" i="6"/>
  <c r="M538" i="6"/>
  <c r="L538" i="6"/>
  <c r="X537" i="6"/>
  <c r="U537" i="6"/>
  <c r="T537" i="6"/>
  <c r="S537" i="6"/>
  <c r="O537" i="6"/>
  <c r="M537" i="6"/>
  <c r="L537" i="6"/>
  <c r="X536" i="6"/>
  <c r="U536" i="6"/>
  <c r="T536" i="6"/>
  <c r="S536" i="6"/>
  <c r="O536" i="6"/>
  <c r="M536" i="6"/>
  <c r="L536" i="6"/>
  <c r="X535" i="6"/>
  <c r="O535" i="6"/>
  <c r="M535" i="6"/>
  <c r="L535" i="6"/>
  <c r="X534" i="6"/>
  <c r="U534" i="6"/>
  <c r="T534" i="6"/>
  <c r="S534" i="6"/>
  <c r="O534" i="6"/>
  <c r="M534" i="6"/>
  <c r="L534" i="6"/>
  <c r="X533" i="6"/>
  <c r="U533" i="6"/>
  <c r="T533" i="6"/>
  <c r="S533" i="6"/>
  <c r="O533" i="6"/>
  <c r="M533" i="6"/>
  <c r="L533" i="6"/>
  <c r="X532" i="6"/>
  <c r="O532" i="6"/>
  <c r="M532" i="6"/>
  <c r="L532" i="6"/>
  <c r="X531" i="6"/>
  <c r="O531" i="6"/>
  <c r="M531" i="6"/>
  <c r="L531" i="6"/>
  <c r="X530" i="6"/>
  <c r="U530" i="6"/>
  <c r="T530" i="6"/>
  <c r="S530" i="6"/>
  <c r="O530" i="6"/>
  <c r="M530" i="6"/>
  <c r="L530" i="6"/>
  <c r="X529" i="6"/>
  <c r="U529" i="6"/>
  <c r="T529" i="6"/>
  <c r="S529" i="6"/>
  <c r="O529" i="6"/>
  <c r="M529" i="6"/>
  <c r="L529" i="6"/>
  <c r="Y528" i="6"/>
  <c r="X528" i="6"/>
  <c r="W528" i="6"/>
  <c r="V528" i="6"/>
  <c r="U528" i="6"/>
  <c r="T528" i="6"/>
  <c r="S528" i="6"/>
  <c r="R528" i="6"/>
  <c r="Q528" i="6"/>
  <c r="P528" i="6"/>
  <c r="O528" i="6"/>
  <c r="N528" i="6"/>
  <c r="M528" i="6"/>
  <c r="L528" i="6"/>
  <c r="X527" i="6"/>
  <c r="U527" i="6"/>
  <c r="R527" i="6"/>
  <c r="O527" i="6"/>
  <c r="M527" i="6"/>
  <c r="L527" i="6"/>
  <c r="X526" i="6"/>
  <c r="O526" i="6"/>
  <c r="M526" i="6"/>
  <c r="L526" i="6"/>
  <c r="X525" i="6"/>
  <c r="U525" i="6"/>
  <c r="T525" i="6"/>
  <c r="S525" i="6"/>
  <c r="O525" i="6"/>
  <c r="M525" i="6"/>
  <c r="L525" i="6"/>
  <c r="X524" i="6"/>
  <c r="U524" i="6"/>
  <c r="T524" i="6"/>
  <c r="S524" i="6"/>
  <c r="O524" i="6"/>
  <c r="M524" i="6"/>
  <c r="L524" i="6"/>
  <c r="Y523" i="6"/>
  <c r="X523" i="6"/>
  <c r="W523" i="6"/>
  <c r="V523" i="6"/>
  <c r="U523" i="6"/>
  <c r="T523" i="6"/>
  <c r="S523" i="6"/>
  <c r="R523" i="6"/>
  <c r="Q523" i="6"/>
  <c r="P523" i="6"/>
  <c r="O523" i="6"/>
  <c r="N523" i="6"/>
  <c r="M523" i="6"/>
  <c r="L523" i="6"/>
  <c r="X522" i="6"/>
  <c r="U522" i="6"/>
  <c r="T522" i="6"/>
  <c r="S522" i="6"/>
  <c r="O522" i="6"/>
  <c r="M522" i="6"/>
  <c r="L522" i="6"/>
  <c r="X521" i="6"/>
  <c r="T521" i="6"/>
  <c r="R521" i="6"/>
  <c r="O521" i="6"/>
  <c r="M521" i="6"/>
  <c r="L521" i="6"/>
  <c r="X520" i="6"/>
  <c r="U520" i="6"/>
  <c r="O520" i="6"/>
  <c r="M520" i="6"/>
  <c r="L520" i="6"/>
  <c r="X519" i="6"/>
  <c r="U519" i="6"/>
  <c r="O519" i="6"/>
  <c r="M519" i="6"/>
  <c r="L519" i="6"/>
  <c r="X518" i="6"/>
  <c r="O518" i="6"/>
  <c r="M518" i="6"/>
  <c r="L518" i="6"/>
  <c r="X517" i="6"/>
  <c r="U517" i="6"/>
  <c r="T517" i="6"/>
  <c r="S517" i="6"/>
  <c r="R517" i="6"/>
  <c r="O517" i="6"/>
  <c r="M517" i="6"/>
  <c r="L517" i="6"/>
  <c r="X516" i="6"/>
  <c r="U516" i="6"/>
  <c r="T516" i="6"/>
  <c r="S516" i="6"/>
  <c r="R516" i="6"/>
  <c r="O516" i="6"/>
  <c r="M516" i="6"/>
  <c r="L516" i="6"/>
  <c r="X515" i="6"/>
  <c r="R515" i="6"/>
  <c r="O515" i="6"/>
  <c r="M515" i="6"/>
  <c r="L515" i="6"/>
  <c r="Y514" i="6"/>
  <c r="X514" i="6"/>
  <c r="W514" i="6"/>
  <c r="V514" i="6"/>
  <c r="U514" i="6"/>
  <c r="T514" i="6"/>
  <c r="S514" i="6"/>
  <c r="R514" i="6"/>
  <c r="Q514" i="6"/>
  <c r="P514" i="6"/>
  <c r="O514" i="6"/>
  <c r="N514" i="6"/>
  <c r="M514" i="6"/>
  <c r="L514" i="6"/>
  <c r="X513" i="6"/>
  <c r="U513" i="6"/>
  <c r="T513" i="6"/>
  <c r="S513" i="6"/>
  <c r="R513" i="6"/>
  <c r="O513" i="6"/>
  <c r="M513" i="6"/>
  <c r="L513" i="6"/>
  <c r="X512" i="6"/>
  <c r="U512" i="6"/>
  <c r="T512" i="6"/>
  <c r="S512" i="6"/>
  <c r="R512" i="6"/>
  <c r="O512" i="6"/>
  <c r="M512" i="6"/>
  <c r="L512" i="6"/>
  <c r="X511" i="6"/>
  <c r="O511" i="6"/>
  <c r="M511" i="6"/>
  <c r="L511" i="6"/>
  <c r="K42" i="6"/>
  <c r="N42" i="6" s="1"/>
  <c r="Q42" i="6" s="1"/>
  <c r="K41" i="6"/>
  <c r="R42" i="6"/>
  <c r="Q542" i="6"/>
  <c r="K67" i="6"/>
  <c r="N67" i="6" s="1"/>
  <c r="P67" i="6" s="1"/>
  <c r="P562" i="6" s="1"/>
  <c r="K66" i="6"/>
  <c r="N66" i="6" s="1"/>
  <c r="P66" i="6" s="1"/>
  <c r="K65" i="6"/>
  <c r="N65" i="6" s="1"/>
  <c r="K64" i="6"/>
  <c r="N64" i="6" s="1"/>
  <c r="K63" i="6"/>
  <c r="N63" i="6" s="1"/>
  <c r="P63" i="6" s="1"/>
  <c r="K62" i="6"/>
  <c r="N62" i="6" s="1"/>
  <c r="K61" i="6"/>
  <c r="K60" i="6"/>
  <c r="N60" i="6" s="1"/>
  <c r="P60" i="6" s="1"/>
  <c r="K59" i="6"/>
  <c r="N59" i="6" s="1"/>
  <c r="K58" i="6"/>
  <c r="N58" i="6" s="1"/>
  <c r="K57" i="6"/>
  <c r="K56" i="6"/>
  <c r="N56" i="6" s="1"/>
  <c r="K55" i="6"/>
  <c r="N55" i="6" s="1"/>
  <c r="K54" i="6"/>
  <c r="N54" i="6" s="1"/>
  <c r="N61" i="6"/>
  <c r="P61" i="6" s="1"/>
  <c r="K53" i="6"/>
  <c r="R67" i="6"/>
  <c r="R562" i="6" s="1"/>
  <c r="R66" i="6"/>
  <c r="R65" i="6"/>
  <c r="R537" i="6" s="1"/>
  <c r="R64" i="6"/>
  <c r="R539" i="6" s="1"/>
  <c r="R63" i="6"/>
  <c r="R538" i="6" s="1"/>
  <c r="R62" i="6"/>
  <c r="R534" i="6" s="1"/>
  <c r="R61" i="6"/>
  <c r="R532" i="6" s="1"/>
  <c r="R60" i="6"/>
  <c r="R536" i="6" s="1"/>
  <c r="R59" i="6"/>
  <c r="R550" i="6" s="1"/>
  <c r="R58" i="6"/>
  <c r="R57" i="6"/>
  <c r="N57" i="6"/>
  <c r="P57" i="6" s="1"/>
  <c r="R56" i="6"/>
  <c r="R55" i="6"/>
  <c r="R54" i="6"/>
  <c r="K73" i="6"/>
  <c r="N73" i="6" s="1"/>
  <c r="P73" i="6" s="1"/>
  <c r="K74" i="6"/>
  <c r="N74" i="6" s="1"/>
  <c r="K75" i="6"/>
  <c r="N75" i="6" s="1"/>
  <c r="P75" i="6" s="1"/>
  <c r="K72" i="6"/>
  <c r="R75" i="6"/>
  <c r="R74" i="6"/>
  <c r="R73" i="6"/>
  <c r="R525" i="6" l="1"/>
  <c r="R520" i="6"/>
  <c r="R522" i="6"/>
  <c r="V93" i="6"/>
  <c r="W93" i="6" s="1"/>
  <c r="Y93" i="6" s="1"/>
  <c r="V95" i="6"/>
  <c r="W95" i="6" s="1"/>
  <c r="Y95" i="6" s="1"/>
  <c r="P517" i="6"/>
  <c r="Q517" i="6"/>
  <c r="N517" i="6"/>
  <c r="M82" i="12" s="1"/>
  <c r="V92" i="6"/>
  <c r="W92" i="6" s="1"/>
  <c r="Y92" i="6" s="1"/>
  <c r="V97" i="6"/>
  <c r="W97" i="6" s="1"/>
  <c r="Y97" i="6" s="1"/>
  <c r="W91" i="6"/>
  <c r="Y91" i="6" s="1"/>
  <c r="N542" i="6"/>
  <c r="N534" i="6"/>
  <c r="N562" i="6"/>
  <c r="N543" i="6"/>
  <c r="N541" i="6"/>
  <c r="P65" i="6"/>
  <c r="N537" i="6"/>
  <c r="P74" i="6"/>
  <c r="P59" i="6"/>
  <c r="P54" i="6"/>
  <c r="P58" i="6"/>
  <c r="P62" i="6"/>
  <c r="N536" i="6"/>
  <c r="N538" i="6"/>
  <c r="P56" i="6"/>
  <c r="P64" i="6"/>
  <c r="N539" i="6"/>
  <c r="P55" i="6"/>
  <c r="P541" i="6"/>
  <c r="P42" i="6"/>
  <c r="Q543" i="6"/>
  <c r="Q54" i="6"/>
  <c r="Q55" i="6"/>
  <c r="Q56" i="6"/>
  <c r="Q57" i="6"/>
  <c r="V57" i="6" s="1"/>
  <c r="Q58" i="6"/>
  <c r="Q59" i="6"/>
  <c r="Q60" i="6"/>
  <c r="V60" i="6" s="1"/>
  <c r="Q61" i="6"/>
  <c r="V61" i="6" s="1"/>
  <c r="Q62" i="6"/>
  <c r="Q534" i="6" s="1"/>
  <c r="Q63" i="6"/>
  <c r="Q64" i="6"/>
  <c r="Q65" i="6"/>
  <c r="Q66" i="6"/>
  <c r="V66" i="6" s="1"/>
  <c r="W66" i="6" s="1"/>
  <c r="Y66" i="6" s="1"/>
  <c r="Q67" i="6"/>
  <c r="Q562" i="6" s="1"/>
  <c r="Q73" i="6"/>
  <c r="V73" i="6" s="1"/>
  <c r="W73" i="6" s="1"/>
  <c r="Y73" i="6" s="1"/>
  <c r="Q74" i="6"/>
  <c r="Q75" i="6"/>
  <c r="V75" i="6" s="1"/>
  <c r="W75" i="6" s="1"/>
  <c r="Y75" i="6" s="1"/>
  <c r="K103" i="6"/>
  <c r="N103" i="6" s="1"/>
  <c r="K102" i="6"/>
  <c r="K101" i="6"/>
  <c r="N101" i="6" s="1"/>
  <c r="K100" i="6"/>
  <c r="N100" i="6" s="1"/>
  <c r="K99" i="6"/>
  <c r="N99" i="6" s="1"/>
  <c r="N102" i="6"/>
  <c r="K98" i="6"/>
  <c r="K71" i="6"/>
  <c r="N71" i="6" s="1"/>
  <c r="K70" i="6"/>
  <c r="N70" i="6" s="1"/>
  <c r="K69" i="6"/>
  <c r="N69" i="6" s="1"/>
  <c r="K68" i="6"/>
  <c r="R71" i="6"/>
  <c r="R530" i="6" s="1"/>
  <c r="R70" i="6"/>
  <c r="R529" i="6" s="1"/>
  <c r="R69" i="6"/>
  <c r="R556" i="6" s="1"/>
  <c r="K44" i="6"/>
  <c r="N44" i="6" s="1"/>
  <c r="K45" i="6"/>
  <c r="N45" i="6" s="1"/>
  <c r="K43" i="6"/>
  <c r="R45" i="6"/>
  <c r="R44" i="6"/>
  <c r="K78" i="6"/>
  <c r="N78" i="6" s="1"/>
  <c r="K77" i="6"/>
  <c r="N77" i="6" s="1"/>
  <c r="K76" i="6"/>
  <c r="R78" i="6"/>
  <c r="R77" i="6"/>
  <c r="K49" i="6"/>
  <c r="N49" i="6" s="1"/>
  <c r="K48" i="6"/>
  <c r="N48" i="6" s="1"/>
  <c r="K47" i="6"/>
  <c r="N47" i="6" s="1"/>
  <c r="K46" i="6"/>
  <c r="R49" i="6"/>
  <c r="R48" i="6"/>
  <c r="R47" i="6"/>
  <c r="N114" i="6"/>
  <c r="K51" i="6"/>
  <c r="N51" i="6" s="1"/>
  <c r="K50" i="6"/>
  <c r="R51" i="6"/>
  <c r="K390" i="14"/>
  <c r="L390" i="14"/>
  <c r="M390" i="14"/>
  <c r="N390" i="14"/>
  <c r="H126" i="12" s="1"/>
  <c r="K383" i="14"/>
  <c r="L383" i="14"/>
  <c r="M383" i="14"/>
  <c r="N383" i="14"/>
  <c r="H119" i="12" s="1"/>
  <c r="K346" i="14"/>
  <c r="L346" i="14"/>
  <c r="M346" i="14"/>
  <c r="N346" i="14"/>
  <c r="H82" i="12" s="1"/>
  <c r="K534" i="3"/>
  <c r="L534" i="3"/>
  <c r="M534" i="3"/>
  <c r="N534" i="3"/>
  <c r="E126" i="12" s="1"/>
  <c r="K527" i="3"/>
  <c r="L527" i="3"/>
  <c r="M527" i="3"/>
  <c r="N527" i="3"/>
  <c r="E119" i="12" s="1"/>
  <c r="K490" i="3"/>
  <c r="L490" i="3"/>
  <c r="M490" i="3"/>
  <c r="N490" i="3"/>
  <c r="E82" i="12" s="1"/>
  <c r="K470" i="3"/>
  <c r="K598" i="3" s="1"/>
  <c r="L470" i="3"/>
  <c r="M470" i="3"/>
  <c r="M598" i="3" s="1"/>
  <c r="N470" i="3"/>
  <c r="K463" i="3"/>
  <c r="L463" i="3"/>
  <c r="M463" i="3"/>
  <c r="N463" i="3"/>
  <c r="K426" i="3"/>
  <c r="K554" i="3" s="1"/>
  <c r="L426" i="3"/>
  <c r="M426" i="3"/>
  <c r="M554" i="3" s="1"/>
  <c r="N426" i="3"/>
  <c r="K733" i="8"/>
  <c r="L733" i="8"/>
  <c r="M733" i="8"/>
  <c r="N733" i="8"/>
  <c r="G126" i="12" s="1"/>
  <c r="K726" i="8"/>
  <c r="L726" i="8"/>
  <c r="M726" i="8"/>
  <c r="N726" i="8"/>
  <c r="G119" i="12" s="1"/>
  <c r="K689" i="8"/>
  <c r="L689" i="8"/>
  <c r="M689" i="8"/>
  <c r="N689" i="8"/>
  <c r="G82" i="12" s="1"/>
  <c r="J470" i="9"/>
  <c r="K470" i="9"/>
  <c r="L470" i="9"/>
  <c r="M470" i="9"/>
  <c r="N470" i="9"/>
  <c r="O470" i="9"/>
  <c r="P470" i="9"/>
  <c r="F126" i="12" s="1"/>
  <c r="J463" i="9"/>
  <c r="K463" i="9"/>
  <c r="L463" i="9"/>
  <c r="M463" i="9"/>
  <c r="N463" i="9"/>
  <c r="O463" i="9"/>
  <c r="P463" i="9"/>
  <c r="F119" i="12" s="1"/>
  <c r="J426" i="9"/>
  <c r="K426" i="9"/>
  <c r="L426" i="9"/>
  <c r="M426" i="9"/>
  <c r="N426" i="9"/>
  <c r="O426" i="9"/>
  <c r="P426" i="9"/>
  <c r="F82" i="12" s="1"/>
  <c r="K108" i="6"/>
  <c r="N108" i="6" s="1"/>
  <c r="K107" i="6"/>
  <c r="N107" i="6" s="1"/>
  <c r="K106" i="6"/>
  <c r="N106" i="6" s="1"/>
  <c r="K105" i="6"/>
  <c r="N88" i="6"/>
  <c r="K87" i="6"/>
  <c r="N87" i="6" s="1"/>
  <c r="K86" i="6"/>
  <c r="N86" i="6" s="1"/>
  <c r="K85" i="6"/>
  <c r="N85" i="6" s="1"/>
  <c r="K84" i="6"/>
  <c r="N84" i="6" s="1"/>
  <c r="K83" i="6"/>
  <c r="N83" i="6" s="1"/>
  <c r="K82" i="6"/>
  <c r="N82" i="6" s="1"/>
  <c r="K81" i="6"/>
  <c r="N81" i="6" s="1"/>
  <c r="K80" i="6"/>
  <c r="N80" i="6" s="1"/>
  <c r="M591" i="3" l="1"/>
  <c r="K591" i="3"/>
  <c r="L591" i="3"/>
  <c r="L554" i="3"/>
  <c r="L598" i="3"/>
  <c r="R524" i="6"/>
  <c r="R559" i="6"/>
  <c r="I119" i="12"/>
  <c r="N591" i="3"/>
  <c r="D119" i="12" s="1"/>
  <c r="I82" i="12"/>
  <c r="N554" i="3"/>
  <c r="D82" i="12" s="1"/>
  <c r="I126" i="12"/>
  <c r="N598" i="3"/>
  <c r="D126" i="12" s="1"/>
  <c r="V59" i="6"/>
  <c r="W59" i="6" s="1"/>
  <c r="V74" i="6"/>
  <c r="W74" i="6" s="1"/>
  <c r="Y74" i="6" s="1"/>
  <c r="V65" i="6"/>
  <c r="W65" i="6" s="1"/>
  <c r="N553" i="6"/>
  <c r="P538" i="6"/>
  <c r="V54" i="6"/>
  <c r="W54" i="6" s="1"/>
  <c r="Y54" i="6" s="1"/>
  <c r="Q541" i="6"/>
  <c r="W61" i="6"/>
  <c r="P51" i="6"/>
  <c r="P45" i="6"/>
  <c r="N524" i="6"/>
  <c r="V42" i="6"/>
  <c r="P543" i="6"/>
  <c r="V63" i="6"/>
  <c r="Q538" i="6"/>
  <c r="N557" i="6"/>
  <c r="P48" i="6"/>
  <c r="P69" i="6"/>
  <c r="V56" i="6"/>
  <c r="P537" i="6"/>
  <c r="N550" i="6"/>
  <c r="Q539" i="6"/>
  <c r="Q536" i="6"/>
  <c r="P534" i="6"/>
  <c r="V543" i="6"/>
  <c r="P106" i="6"/>
  <c r="P542" i="6"/>
  <c r="V542" i="6"/>
  <c r="W57" i="6"/>
  <c r="V64" i="6"/>
  <c r="P539" i="6"/>
  <c r="W60" i="6"/>
  <c r="N547" i="6"/>
  <c r="N561" i="6"/>
  <c r="M126" i="12" s="1"/>
  <c r="P49" i="6"/>
  <c r="P77" i="6"/>
  <c r="P70" i="6"/>
  <c r="P99" i="6"/>
  <c r="P103" i="6"/>
  <c r="Q83" i="6"/>
  <c r="P87" i="6"/>
  <c r="Q107" i="6"/>
  <c r="P564" i="6"/>
  <c r="N564" i="6"/>
  <c r="P47" i="6"/>
  <c r="P44" i="6"/>
  <c r="P101" i="6"/>
  <c r="V55" i="6"/>
  <c r="V58" i="6"/>
  <c r="V67" i="6"/>
  <c r="N522" i="6"/>
  <c r="Q537" i="6"/>
  <c r="N525" i="6"/>
  <c r="P536" i="6"/>
  <c r="V62" i="6"/>
  <c r="P100" i="6"/>
  <c r="Q100" i="6"/>
  <c r="Q102" i="6"/>
  <c r="P102" i="6"/>
  <c r="Q99" i="6"/>
  <c r="Q103" i="6"/>
  <c r="Q101" i="6"/>
  <c r="P71" i="6"/>
  <c r="Q71" i="6"/>
  <c r="Q70" i="6"/>
  <c r="Q69" i="6"/>
  <c r="Q45" i="6"/>
  <c r="Q44" i="6"/>
  <c r="P78" i="6"/>
  <c r="Q78" i="6"/>
  <c r="Q77" i="6"/>
  <c r="Q48" i="6"/>
  <c r="Q49" i="6"/>
  <c r="Q47" i="6"/>
  <c r="P80" i="6"/>
  <c r="P88" i="6"/>
  <c r="Q114" i="6"/>
  <c r="P114" i="6"/>
  <c r="Q51" i="6"/>
  <c r="Q108" i="6"/>
  <c r="P108" i="6"/>
  <c r="P107" i="6"/>
  <c r="Q547" i="6"/>
  <c r="Q564" i="6"/>
  <c r="Q106" i="6"/>
  <c r="P557" i="6"/>
  <c r="Q557" i="6"/>
  <c r="Q87" i="6"/>
  <c r="Q88" i="6"/>
  <c r="Q86" i="6"/>
  <c r="Q85" i="6"/>
  <c r="P84" i="6"/>
  <c r="Q84" i="6"/>
  <c r="P83" i="6"/>
  <c r="Q82" i="6"/>
  <c r="Q81" i="6"/>
  <c r="Q80" i="6"/>
  <c r="P86" i="6"/>
  <c r="V86" i="6" s="1"/>
  <c r="W86" i="6" s="1"/>
  <c r="Y86" i="6" s="1"/>
  <c r="P82" i="6"/>
  <c r="P85" i="6"/>
  <c r="P81" i="6"/>
  <c r="K39" i="6"/>
  <c r="N39" i="6" s="1"/>
  <c r="K38" i="6"/>
  <c r="N38" i="6" s="1"/>
  <c r="K37" i="6"/>
  <c r="N37" i="6" s="1"/>
  <c r="K36" i="6"/>
  <c r="N36" i="6" s="1"/>
  <c r="K35" i="6"/>
  <c r="N35" i="6" s="1"/>
  <c r="K34" i="6"/>
  <c r="N34" i="6" s="1"/>
  <c r="K33" i="6"/>
  <c r="N33" i="6" s="1"/>
  <c r="K32" i="6"/>
  <c r="N32" i="6" s="1"/>
  <c r="P32" i="6" s="1"/>
  <c r="K31" i="6"/>
  <c r="R32" i="6"/>
  <c r="R33" i="6"/>
  <c r="R570" i="6" s="1"/>
  <c r="R34" i="6"/>
  <c r="R548" i="6" s="1"/>
  <c r="R35" i="6"/>
  <c r="R518" i="6" s="1"/>
  <c r="R36" i="6"/>
  <c r="R533" i="6" s="1"/>
  <c r="R37" i="6"/>
  <c r="R545" i="6" s="1"/>
  <c r="R38" i="6"/>
  <c r="R544" i="6" s="1"/>
  <c r="R39" i="6"/>
  <c r="V82" i="6" l="1"/>
  <c r="W82" i="6" s="1"/>
  <c r="Y82" i="6" s="1"/>
  <c r="O119" i="12"/>
  <c r="Z119" i="12"/>
  <c r="V537" i="6"/>
  <c r="V517" i="6"/>
  <c r="Q561" i="6"/>
  <c r="V83" i="6"/>
  <c r="W83" i="6" s="1"/>
  <c r="Y83" i="6" s="1"/>
  <c r="V80" i="6"/>
  <c r="W80" i="6" s="1"/>
  <c r="Y80" i="6" s="1"/>
  <c r="V44" i="6"/>
  <c r="W44" i="6" s="1"/>
  <c r="V48" i="6"/>
  <c r="W48" i="6" s="1"/>
  <c r="Y48" i="6" s="1"/>
  <c r="V108" i="6"/>
  <c r="W108" i="6" s="1"/>
  <c r="Y108" i="6" s="1"/>
  <c r="V547" i="6"/>
  <c r="V81" i="6"/>
  <c r="W81" i="6" s="1"/>
  <c r="Y81" i="6" s="1"/>
  <c r="Q525" i="6"/>
  <c r="V114" i="6"/>
  <c r="W114" i="6" s="1"/>
  <c r="Y114" i="6" s="1"/>
  <c r="P561" i="6"/>
  <c r="V78" i="6"/>
  <c r="W78" i="6" s="1"/>
  <c r="Y78" i="6" s="1"/>
  <c r="V99" i="6"/>
  <c r="W99" i="6" s="1"/>
  <c r="Y99" i="6" s="1"/>
  <c r="V100" i="6"/>
  <c r="W100" i="6" s="1"/>
  <c r="Y100" i="6" s="1"/>
  <c r="V103" i="6"/>
  <c r="W103" i="6" s="1"/>
  <c r="Y103" i="6" s="1"/>
  <c r="Q522" i="6"/>
  <c r="V102" i="6"/>
  <c r="W102" i="6" s="1"/>
  <c r="Y102" i="6" s="1"/>
  <c r="V101" i="6"/>
  <c r="W101" i="6" s="1"/>
  <c r="Y101" i="6" s="1"/>
  <c r="V47" i="6"/>
  <c r="W47" i="6" s="1"/>
  <c r="Y47" i="6" s="1"/>
  <c r="V564" i="6"/>
  <c r="Y542" i="6"/>
  <c r="V51" i="6"/>
  <c r="W51" i="6" s="1"/>
  <c r="Y51" i="6" s="1"/>
  <c r="Q550" i="6"/>
  <c r="V88" i="6"/>
  <c r="W88" i="6" s="1"/>
  <c r="Y88" i="6" s="1"/>
  <c r="Q553" i="6"/>
  <c r="V536" i="6"/>
  <c r="P525" i="6"/>
  <c r="V45" i="6"/>
  <c r="W45" i="6" s="1"/>
  <c r="Q33" i="6"/>
  <c r="N570" i="6"/>
  <c r="N572" i="6"/>
  <c r="V541" i="6"/>
  <c r="N569" i="6"/>
  <c r="N512" i="6"/>
  <c r="Y59" i="6"/>
  <c r="W64" i="6"/>
  <c r="V539" i="6"/>
  <c r="W542" i="6"/>
  <c r="W55" i="6"/>
  <c r="Q524" i="6"/>
  <c r="P550" i="6"/>
  <c r="V106" i="6"/>
  <c r="V84" i="6"/>
  <c r="W84" i="6" s="1"/>
  <c r="Y84" i="6" s="1"/>
  <c r="V70" i="6"/>
  <c r="N513" i="6"/>
  <c r="W62" i="6"/>
  <c r="V534" i="6"/>
  <c r="W42" i="6"/>
  <c r="P524" i="6"/>
  <c r="W56" i="6"/>
  <c r="W63" i="6"/>
  <c r="V538" i="6"/>
  <c r="Y61" i="6"/>
  <c r="N551" i="6"/>
  <c r="Q34" i="6"/>
  <c r="P547" i="6"/>
  <c r="W67" i="6"/>
  <c r="V562" i="6"/>
  <c r="W58" i="6"/>
  <c r="Y60" i="6"/>
  <c r="Y536" i="6" s="1"/>
  <c r="W536" i="6"/>
  <c r="Y57" i="6"/>
  <c r="Y65" i="6"/>
  <c r="P522" i="6"/>
  <c r="V107" i="6"/>
  <c r="V49" i="6"/>
  <c r="V85" i="6"/>
  <c r="W85" i="6" s="1"/>
  <c r="Y85" i="6" s="1"/>
  <c r="V69" i="6"/>
  <c r="N544" i="6"/>
  <c r="V87" i="6"/>
  <c r="W87" i="6" s="1"/>
  <c r="Y87" i="6" s="1"/>
  <c r="V77" i="6"/>
  <c r="W77" i="6" s="1"/>
  <c r="Y77" i="6" s="1"/>
  <c r="N563" i="6"/>
  <c r="V71" i="6"/>
  <c r="P553" i="6"/>
  <c r="Q551" i="6"/>
  <c r="Q512" i="6"/>
  <c r="P512" i="6"/>
  <c r="Q569" i="6"/>
  <c r="P569" i="6"/>
  <c r="Q513" i="6"/>
  <c r="P513" i="6"/>
  <c r="Q572" i="6"/>
  <c r="P572" i="6"/>
  <c r="Q563" i="6"/>
  <c r="P563" i="6"/>
  <c r="Q39" i="6"/>
  <c r="P39" i="6"/>
  <c r="Q38" i="6"/>
  <c r="P38" i="6"/>
  <c r="Q37" i="6"/>
  <c r="P37" i="6"/>
  <c r="Q36" i="6"/>
  <c r="P36" i="6"/>
  <c r="Q35" i="6"/>
  <c r="P35" i="6"/>
  <c r="P34" i="6"/>
  <c r="P33" i="6"/>
  <c r="Q32" i="6"/>
  <c r="V32" i="6" s="1"/>
  <c r="W32" i="6" s="1"/>
  <c r="Y32" i="6" s="1"/>
  <c r="N548" i="6"/>
  <c r="Y547" i="6" l="1"/>
  <c r="W517" i="6"/>
  <c r="Y517" i="6"/>
  <c r="C82" i="12" s="1"/>
  <c r="O82" i="12" s="1"/>
  <c r="V557" i="6"/>
  <c r="W537" i="6"/>
  <c r="V522" i="6"/>
  <c r="V553" i="6"/>
  <c r="Y553" i="6"/>
  <c r="Y537" i="6"/>
  <c r="W564" i="6"/>
  <c r="V524" i="6"/>
  <c r="Q544" i="6"/>
  <c r="V550" i="6"/>
  <c r="V525" i="6"/>
  <c r="W70" i="6"/>
  <c r="W107" i="6"/>
  <c r="Y67" i="6"/>
  <c r="Y562" i="6" s="1"/>
  <c r="W562" i="6"/>
  <c r="Y63" i="6"/>
  <c r="Y538" i="6" s="1"/>
  <c r="W538" i="6"/>
  <c r="W49" i="6"/>
  <c r="Y49" i="6" s="1"/>
  <c r="N533" i="6"/>
  <c r="Y550" i="6"/>
  <c r="Q570" i="6"/>
  <c r="N558" i="6"/>
  <c r="N530" i="6"/>
  <c r="P551" i="6"/>
  <c r="Y45" i="6"/>
  <c r="N529" i="6"/>
  <c r="W71" i="6"/>
  <c r="V561" i="6"/>
  <c r="Y58" i="6"/>
  <c r="Y522" i="6" s="1"/>
  <c r="W522" i="6"/>
  <c r="W547" i="6"/>
  <c r="Y56" i="6"/>
  <c r="Y525" i="6" s="1"/>
  <c r="W525" i="6"/>
  <c r="Y42" i="6"/>
  <c r="Y557" i="6"/>
  <c r="W557" i="6"/>
  <c r="Y62" i="6"/>
  <c r="Y534" i="6" s="1"/>
  <c r="W534" i="6"/>
  <c r="W543" i="6"/>
  <c r="Y543" i="6"/>
  <c r="W106" i="6"/>
  <c r="Y55" i="6"/>
  <c r="Y64" i="6"/>
  <c r="Y539" i="6" s="1"/>
  <c r="W539" i="6"/>
  <c r="Y541" i="6"/>
  <c r="W541" i="6"/>
  <c r="Y44" i="6"/>
  <c r="W69" i="6"/>
  <c r="W550" i="6"/>
  <c r="P570" i="6"/>
  <c r="P544" i="6"/>
  <c r="V563" i="6"/>
  <c r="V551" i="6"/>
  <c r="N516" i="6"/>
  <c r="P558" i="6"/>
  <c r="Q516" i="6"/>
  <c r="Q529" i="6"/>
  <c r="V39" i="6"/>
  <c r="V38" i="6"/>
  <c r="V37" i="6"/>
  <c r="V36" i="6"/>
  <c r="V35" i="6"/>
  <c r="V34" i="6"/>
  <c r="V33" i="6"/>
  <c r="P533" i="6"/>
  <c r="Q530" i="6"/>
  <c r="Q558" i="6"/>
  <c r="Q548" i="6"/>
  <c r="P516" i="6"/>
  <c r="J30" i="5"/>
  <c r="Z82" i="12" l="1"/>
  <c r="W553" i="6"/>
  <c r="Y563" i="6"/>
  <c r="Y564" i="6"/>
  <c r="V558" i="6"/>
  <c r="W35" i="6"/>
  <c r="W39" i="6"/>
  <c r="V512" i="6"/>
  <c r="Y69" i="6"/>
  <c r="Y71" i="6"/>
  <c r="V572" i="6"/>
  <c r="W524" i="6"/>
  <c r="Q533" i="6"/>
  <c r="Y524" i="6"/>
  <c r="W34" i="6"/>
  <c r="V548" i="6"/>
  <c r="W38" i="6"/>
  <c r="V544" i="6"/>
  <c r="P529" i="6"/>
  <c r="P530" i="6"/>
  <c r="W33" i="6"/>
  <c r="V570" i="6"/>
  <c r="W37" i="6"/>
  <c r="V569" i="6"/>
  <c r="W36" i="6"/>
  <c r="V513" i="6"/>
  <c r="Y106" i="6"/>
  <c r="Y561" i="6"/>
  <c r="C126" i="12" s="1"/>
  <c r="O126" i="12" s="1"/>
  <c r="W561" i="6"/>
  <c r="Y107" i="6"/>
  <c r="Y70" i="6"/>
  <c r="V516" i="6"/>
  <c r="P548" i="6"/>
  <c r="V529" i="6"/>
  <c r="V530" i="6"/>
  <c r="W516" i="6" l="1"/>
  <c r="W563" i="6"/>
  <c r="Y558" i="6"/>
  <c r="Y529" i="6"/>
  <c r="V533" i="6"/>
  <c r="Y530" i="6"/>
  <c r="Y39" i="6"/>
  <c r="Y551" i="6"/>
  <c r="W551" i="6"/>
  <c r="Y36" i="6"/>
  <c r="Y533" i="6" s="1"/>
  <c r="W533" i="6"/>
  <c r="Y37" i="6"/>
  <c r="Y38" i="6"/>
  <c r="Y544" i="6" s="1"/>
  <c r="W544" i="6"/>
  <c r="Y513" i="6"/>
  <c r="W513" i="6"/>
  <c r="Y569" i="6"/>
  <c r="W569" i="6"/>
  <c r="Y33" i="6"/>
  <c r="Y570" i="6" s="1"/>
  <c r="W570" i="6"/>
  <c r="Y34" i="6"/>
  <c r="Y548" i="6" s="1"/>
  <c r="W548" i="6"/>
  <c r="Y572" i="6"/>
  <c r="W572" i="6"/>
  <c r="Y512" i="6"/>
  <c r="W512" i="6"/>
  <c r="Y35" i="6"/>
  <c r="W529" i="6"/>
  <c r="X79" i="4"/>
  <c r="X25" i="4"/>
  <c r="U25" i="4"/>
  <c r="R25" i="4"/>
  <c r="O25" i="4"/>
  <c r="L25" i="4"/>
  <c r="N462" i="6"/>
  <c r="R462" i="6" s="1"/>
  <c r="V126" i="4"/>
  <c r="X126" i="4" s="1"/>
  <c r="S126" i="4"/>
  <c r="U126" i="4" s="1"/>
  <c r="P126" i="4"/>
  <c r="M126" i="4"/>
  <c r="L467" i="6" l="1"/>
  <c r="L463" i="6"/>
  <c r="L571" i="6"/>
  <c r="Y25" i="4"/>
  <c r="Y516" i="6"/>
  <c r="W558" i="6"/>
  <c r="W530" i="6"/>
  <c r="P462" i="6"/>
  <c r="Q462" i="6"/>
  <c r="O126" i="4"/>
  <c r="R126" i="4"/>
  <c r="M91" i="4"/>
  <c r="P91" i="4"/>
  <c r="S91" i="4"/>
  <c r="V91" i="4"/>
  <c r="N43" i="3"/>
  <c r="Y126" i="4" l="1"/>
  <c r="V462" i="6"/>
  <c r="W462" i="6" s="1"/>
  <c r="Y462" i="6" s="1"/>
  <c r="M52" i="10"/>
  <c r="T520" i="6" l="1"/>
  <c r="S520" i="6"/>
  <c r="U540" i="6"/>
  <c r="D61" i="15"/>
  <c r="D27" i="17"/>
  <c r="G25" i="14"/>
  <c r="G24" i="14"/>
  <c r="G23" i="14"/>
  <c r="G22" i="14"/>
  <c r="G21" i="14"/>
  <c r="G20" i="14"/>
  <c r="G18" i="14"/>
  <c r="G17" i="14"/>
  <c r="G15" i="14"/>
  <c r="G14" i="14"/>
  <c r="G13" i="14"/>
  <c r="G12" i="14"/>
  <c r="G10" i="14"/>
  <c r="G9" i="14"/>
  <c r="G8" i="14"/>
  <c r="G7" i="14"/>
  <c r="G6" i="14"/>
  <c r="G5" i="14"/>
  <c r="G27" i="17"/>
  <c r="C55" i="16"/>
  <c r="H54" i="16"/>
  <c r="F53" i="16"/>
  <c r="E53" i="16"/>
  <c r="D53" i="16"/>
  <c r="B53" i="16"/>
  <c r="G52" i="16"/>
  <c r="G51" i="16"/>
  <c r="E50" i="16"/>
  <c r="G50" i="16" s="1"/>
  <c r="F49" i="16"/>
  <c r="E49" i="16"/>
  <c r="D49" i="16"/>
  <c r="G48" i="16"/>
  <c r="G47" i="16"/>
  <c r="E46" i="16"/>
  <c r="G46" i="16" s="1"/>
  <c r="D46" i="16"/>
  <c r="E45" i="16"/>
  <c r="G45" i="16" s="1"/>
  <c r="D45" i="16"/>
  <c r="G44" i="16"/>
  <c r="E43" i="16"/>
  <c r="G43" i="16" s="1"/>
  <c r="D43" i="16"/>
  <c r="G42" i="16"/>
  <c r="G41" i="16"/>
  <c r="D41" i="16"/>
  <c r="G40" i="16"/>
  <c r="G39" i="16"/>
  <c r="D39" i="16"/>
  <c r="G38" i="16"/>
  <c r="D38" i="16"/>
  <c r="G37" i="16"/>
  <c r="D37" i="16"/>
  <c r="G36" i="16"/>
  <c r="G35" i="16"/>
  <c r="D35" i="16"/>
  <c r="G34" i="16"/>
  <c r="D34" i="16"/>
  <c r="G33" i="16"/>
  <c r="D33" i="16"/>
  <c r="F32" i="16"/>
  <c r="D32" i="16"/>
  <c r="G31" i="16"/>
  <c r="D31" i="16"/>
  <c r="G30" i="16"/>
  <c r="E29" i="16"/>
  <c r="G29" i="16" s="1"/>
  <c r="G28" i="16"/>
  <c r="E27" i="16"/>
  <c r="G27" i="16" s="1"/>
  <c r="D27" i="16"/>
  <c r="G26" i="16"/>
  <c r="G25" i="16"/>
  <c r="G24" i="16"/>
  <c r="G23" i="16"/>
  <c r="D23" i="16"/>
  <c r="G22" i="16"/>
  <c r="H21" i="16"/>
  <c r="E21" i="16"/>
  <c r="G21" i="16" s="1"/>
  <c r="D21" i="16"/>
  <c r="G20" i="16"/>
  <c r="G19" i="16"/>
  <c r="D19" i="16"/>
  <c r="G18" i="16"/>
  <c r="G17" i="16"/>
  <c r="G16" i="16"/>
  <c r="G15" i="16"/>
  <c r="D15" i="16"/>
  <c r="G14" i="16"/>
  <c r="G13" i="16"/>
  <c r="D13" i="16"/>
  <c r="G12" i="16"/>
  <c r="G11" i="16"/>
  <c r="G10" i="16"/>
  <c r="D10" i="16"/>
  <c r="G9" i="16"/>
  <c r="D9" i="16"/>
  <c r="G8" i="16"/>
  <c r="G7" i="16"/>
  <c r="D7" i="16"/>
  <c r="G6" i="16"/>
  <c r="B6" i="16"/>
  <c r="D55" i="16" l="1"/>
  <c r="G53" i="16"/>
  <c r="B55" i="16"/>
  <c r="G49" i="16"/>
  <c r="N520" i="6"/>
  <c r="P520" i="6"/>
  <c r="H55" i="16"/>
  <c r="F55" i="16"/>
  <c r="G16" i="14"/>
  <c r="G11" i="14"/>
  <c r="G4" i="14"/>
  <c r="G19" i="14"/>
  <c r="Q520" i="6"/>
  <c r="G32" i="16"/>
  <c r="G55" i="16" s="1"/>
  <c r="E55" i="16"/>
  <c r="I64" i="4"/>
  <c r="J38" i="4"/>
  <c r="I38" i="4"/>
  <c r="I37" i="4"/>
  <c r="G3" i="14" l="1"/>
  <c r="J37" i="4"/>
  <c r="H38" i="4"/>
  <c r="H37" i="4"/>
  <c r="V520" i="6" l="1"/>
  <c r="X134" i="4"/>
  <c r="U134" i="4"/>
  <c r="R134" i="4"/>
  <c r="O134" i="4"/>
  <c r="L134" i="4"/>
  <c r="J52" i="4"/>
  <c r="I52" i="4"/>
  <c r="H52" i="4"/>
  <c r="G6" i="5"/>
  <c r="H33" i="4"/>
  <c r="A43" i="3"/>
  <c r="A42" i="3"/>
  <c r="A41" i="3"/>
  <c r="A40" i="3"/>
  <c r="A39" i="3"/>
  <c r="A38" i="3"/>
  <c r="A37" i="3"/>
  <c r="A36" i="3"/>
  <c r="A35" i="3"/>
  <c r="A34" i="3"/>
  <c r="A33" i="3"/>
  <c r="A32" i="3"/>
  <c r="A31" i="3"/>
  <c r="A30" i="3"/>
  <c r="A29" i="3"/>
  <c r="A28" i="3"/>
  <c r="A64" i="10"/>
  <c r="A63" i="10"/>
  <c r="A62" i="10"/>
  <c r="A61" i="10"/>
  <c r="A60" i="10"/>
  <c r="A59" i="10"/>
  <c r="A58" i="10"/>
  <c r="A57" i="10"/>
  <c r="A66" i="10"/>
  <c r="P110" i="9"/>
  <c r="P109" i="9"/>
  <c r="P130" i="9"/>
  <c r="P129" i="9"/>
  <c r="P128" i="9"/>
  <c r="P127" i="9"/>
  <c r="P126" i="9"/>
  <c r="P125" i="9"/>
  <c r="P124" i="9"/>
  <c r="P123" i="9"/>
  <c r="P122" i="9"/>
  <c r="P121" i="9"/>
  <c r="P117" i="9"/>
  <c r="P116" i="9"/>
  <c r="P115" i="9"/>
  <c r="P114" i="9"/>
  <c r="P113" i="9"/>
  <c r="P112" i="9"/>
  <c r="P111" i="9"/>
  <c r="Y520" i="6" l="1"/>
  <c r="W520" i="6"/>
  <c r="Y134" i="4"/>
  <c r="J74" i="4"/>
  <c r="J34" i="4"/>
  <c r="J64" i="4"/>
  <c r="J28" i="4"/>
  <c r="J67" i="4"/>
  <c r="J30" i="4"/>
  <c r="X17" i="4"/>
  <c r="U17" i="4"/>
  <c r="R17" i="4"/>
  <c r="O17" i="4"/>
  <c r="Y17" i="4" l="1"/>
  <c r="G16" i="5"/>
  <c r="L6" i="4"/>
  <c r="K6" i="4"/>
  <c r="K5" i="5" s="1"/>
  <c r="I6" i="4"/>
  <c r="H6" i="4"/>
  <c r="F14" i="12" l="1"/>
  <c r="K463" i="6"/>
  <c r="J15" i="4"/>
  <c r="J6" i="4" s="1"/>
  <c r="K125" i="4"/>
  <c r="K130" i="4"/>
  <c r="V131" i="4" l="1"/>
  <c r="V129" i="4"/>
  <c r="P83" i="9" l="1"/>
  <c r="P84" i="9"/>
  <c r="P85" i="9"/>
  <c r="P86" i="9"/>
  <c r="P81" i="9"/>
  <c r="P80" i="9"/>
  <c r="P79" i="9"/>
  <c r="P78" i="9"/>
  <c r="P77" i="9"/>
  <c r="P76" i="9"/>
  <c r="P75" i="9"/>
  <c r="P74" i="9"/>
  <c r="P73" i="9"/>
  <c r="P72" i="9"/>
  <c r="P71" i="9"/>
  <c r="P70" i="9"/>
  <c r="P69" i="9"/>
  <c r="P68" i="9"/>
  <c r="P67" i="9"/>
  <c r="P66" i="9"/>
  <c r="P65" i="9"/>
  <c r="P64" i="9"/>
  <c r="P63" i="9"/>
  <c r="P62" i="9"/>
  <c r="P61" i="9"/>
  <c r="P107" i="9"/>
  <c r="P108" i="9"/>
  <c r="P106" i="9"/>
  <c r="P105" i="9"/>
  <c r="N139" i="12"/>
  <c r="N138" i="12"/>
  <c r="N137" i="12"/>
  <c r="N135" i="12"/>
  <c r="N134" i="12"/>
  <c r="N133" i="12"/>
  <c r="N132" i="12"/>
  <c r="N131" i="12"/>
  <c r="N130" i="12"/>
  <c r="N129" i="12"/>
  <c r="N128" i="12"/>
  <c r="N127" i="12"/>
  <c r="N125" i="12"/>
  <c r="N124" i="12"/>
  <c r="N123" i="12"/>
  <c r="N122" i="12"/>
  <c r="N121" i="12"/>
  <c r="N120" i="12"/>
  <c r="N118" i="12"/>
  <c r="N117" i="12"/>
  <c r="N116" i="12"/>
  <c r="N115" i="12"/>
  <c r="N114" i="12"/>
  <c r="N113" i="12"/>
  <c r="N112" i="12"/>
  <c r="N111" i="12"/>
  <c r="N110" i="12"/>
  <c r="N109" i="12"/>
  <c r="N108" i="12"/>
  <c r="N107" i="12"/>
  <c r="N106" i="12"/>
  <c r="N105" i="12"/>
  <c r="N104" i="12"/>
  <c r="N103" i="12"/>
  <c r="N102" i="12"/>
  <c r="N101" i="12"/>
  <c r="N100" i="12"/>
  <c r="N99" i="12"/>
  <c r="N98" i="12"/>
  <c r="N97" i="12"/>
  <c r="N96" i="12"/>
  <c r="N95" i="12"/>
  <c r="N94" i="12"/>
  <c r="N93" i="12"/>
  <c r="N92" i="12"/>
  <c r="N91" i="12"/>
  <c r="N90" i="12"/>
  <c r="N89" i="12"/>
  <c r="N88" i="12"/>
  <c r="N87" i="12"/>
  <c r="N86" i="12"/>
  <c r="N85" i="12"/>
  <c r="N84" i="12"/>
  <c r="N83" i="12"/>
  <c r="N81" i="12"/>
  <c r="N80" i="12"/>
  <c r="N79" i="12"/>
  <c r="N78" i="12"/>
  <c r="N77" i="12"/>
  <c r="N76" i="12"/>
  <c r="N136" i="12" l="1"/>
  <c r="Q43" i="10"/>
  <c r="G138" i="4" l="1"/>
  <c r="G136" i="4"/>
  <c r="S131" i="4" l="1"/>
  <c r="S129" i="4"/>
  <c r="M101" i="4"/>
  <c r="R43" i="4"/>
  <c r="R42" i="4"/>
  <c r="K19" i="4"/>
  <c r="K6" i="5" s="1"/>
  <c r="I19" i="4"/>
  <c r="H19" i="4"/>
  <c r="J123" i="4"/>
  <c r="I123" i="4"/>
  <c r="H123" i="4"/>
  <c r="L81" i="4"/>
  <c r="H64" i="4"/>
  <c r="H61" i="4"/>
  <c r="L60" i="4"/>
  <c r="Y110" i="12"/>
  <c r="X140" i="12"/>
  <c r="Y140" i="12" l="1"/>
  <c r="N140" i="12"/>
  <c r="L139" i="4" l="1"/>
  <c r="L138" i="4"/>
  <c r="L137" i="4"/>
  <c r="L136" i="4"/>
  <c r="L135" i="4"/>
  <c r="L133" i="4"/>
  <c r="G132" i="4"/>
  <c r="L132" i="4" s="1"/>
  <c r="G130" i="4"/>
  <c r="G125" i="4"/>
  <c r="L125" i="4" s="1"/>
  <c r="G124" i="4"/>
  <c r="L124" i="4" l="1"/>
  <c r="G123" i="4"/>
  <c r="L130" i="4"/>
  <c r="L120" i="4"/>
  <c r="G119" i="4"/>
  <c r="L119" i="4" s="1"/>
  <c r="L108" i="4"/>
  <c r="L107" i="4"/>
  <c r="L123" i="4" l="1"/>
  <c r="K123" i="4"/>
  <c r="K16" i="5" s="1"/>
  <c r="L106" i="4"/>
  <c r="L105" i="4"/>
  <c r="H118" i="4" l="1"/>
  <c r="I118" i="4"/>
  <c r="J118" i="4"/>
  <c r="Y114" i="4"/>
  <c r="Y110" i="4"/>
  <c r="Y111" i="4"/>
  <c r="L101" i="4" l="1"/>
  <c r="G100" i="4"/>
  <c r="L100" i="4" s="1"/>
  <c r="G99" i="4"/>
  <c r="L99" i="4" s="1"/>
  <c r="G98" i="4"/>
  <c r="L98" i="4" s="1"/>
  <c r="G97" i="4"/>
  <c r="L97" i="4" s="1"/>
  <c r="G96" i="4"/>
  <c r="L96" i="4" s="1"/>
  <c r="G95" i="4"/>
  <c r="L95" i="4" s="1"/>
  <c r="G104" i="4"/>
  <c r="L104" i="4" s="1"/>
  <c r="H103" i="4" l="1"/>
  <c r="I103" i="4"/>
  <c r="J103" i="4"/>
  <c r="H94" i="4"/>
  <c r="I94" i="4"/>
  <c r="J94" i="4"/>
  <c r="H84" i="4"/>
  <c r="I84" i="4"/>
  <c r="J84" i="4"/>
  <c r="L91" i="4"/>
  <c r="L90" i="4"/>
  <c r="G89" i="4"/>
  <c r="L89" i="4" s="1"/>
  <c r="G88" i="4"/>
  <c r="L88" i="4" s="1"/>
  <c r="L87" i="4"/>
  <c r="L86" i="4"/>
  <c r="G85" i="4"/>
  <c r="L85" i="4" s="1"/>
  <c r="J56" i="4" l="1"/>
  <c r="I56" i="4"/>
  <c r="H56" i="4"/>
  <c r="V74" i="4"/>
  <c r="X74" i="4" s="1"/>
  <c r="S74" i="4"/>
  <c r="U74" i="4" s="1"/>
  <c r="P74" i="4"/>
  <c r="R74" i="4" s="1"/>
  <c r="M74" i="4"/>
  <c r="O74" i="4" s="1"/>
  <c r="H79" i="4"/>
  <c r="H77" i="4" s="1"/>
  <c r="I79" i="4"/>
  <c r="I77" i="4" s="1"/>
  <c r="J79" i="4"/>
  <c r="J77" i="4" s="1"/>
  <c r="L49" i="4"/>
  <c r="L50" i="4"/>
  <c r="L47" i="4"/>
  <c r="L48" i="4"/>
  <c r="J40" i="4"/>
  <c r="L45" i="4"/>
  <c r="L43" i="4"/>
  <c r="L42" i="4"/>
  <c r="L46" i="4"/>
  <c r="G44" i="4"/>
  <c r="L44" i="4" s="1"/>
  <c r="G41" i="4"/>
  <c r="L41" i="4" s="1"/>
  <c r="I40" i="4"/>
  <c r="H40" i="4"/>
  <c r="J36" i="4"/>
  <c r="I36" i="4"/>
  <c r="H36" i="4"/>
  <c r="H142" i="4" l="1"/>
  <c r="I142" i="4"/>
  <c r="J19" i="4"/>
  <c r="J142" i="4" s="1"/>
  <c r="Y74" i="4"/>
  <c r="M61" i="15"/>
  <c r="L61" i="15"/>
  <c r="K61" i="15"/>
  <c r="N61" i="15"/>
  <c r="N472" i="6"/>
  <c r="N41" i="10"/>
  <c r="N38" i="10"/>
  <c r="P472" i="6" l="1"/>
  <c r="A42" i="10"/>
  <c r="A43" i="10"/>
  <c r="A44" i="10"/>
  <c r="A46" i="10"/>
  <c r="A48" i="10"/>
  <c r="A50" i="10"/>
  <c r="A51" i="10"/>
  <c r="A52" i="10"/>
  <c r="A53" i="10"/>
  <c r="A54" i="10"/>
  <c r="A55" i="10"/>
  <c r="A38" i="10"/>
  <c r="A39" i="10"/>
  <c r="A40" i="10"/>
  <c r="A41" i="10"/>
  <c r="A30" i="15"/>
  <c r="A28" i="15"/>
  <c r="A41" i="14"/>
  <c r="A40" i="14"/>
  <c r="A39" i="14"/>
  <c r="A38" i="14"/>
  <c r="A37" i="14"/>
  <c r="A36" i="14"/>
  <c r="A35" i="14"/>
  <c r="A34" i="14"/>
  <c r="A33" i="14"/>
  <c r="A50" i="14"/>
  <c r="A49" i="14"/>
  <c r="A51" i="14"/>
  <c r="A52" i="14"/>
  <c r="A45" i="14"/>
  <c r="A53" i="14"/>
  <c r="A32" i="14"/>
  <c r="A31" i="14"/>
  <c r="A30" i="14"/>
  <c r="A29" i="14"/>
  <c r="A28" i="14"/>
  <c r="A43" i="14"/>
  <c r="A44" i="14"/>
  <c r="A58" i="14"/>
  <c r="A91" i="10"/>
  <c r="A90" i="10"/>
  <c r="A89" i="10"/>
  <c r="A88" i="10"/>
  <c r="A87" i="10"/>
  <c r="A86" i="10"/>
  <c r="A85" i="10"/>
  <c r="A84" i="10"/>
  <c r="A83" i="10"/>
  <c r="A82" i="10"/>
  <c r="A81" i="10"/>
  <c r="A80" i="10"/>
  <c r="A79" i="10"/>
  <c r="A78" i="10"/>
  <c r="A77" i="10"/>
  <c r="A76" i="10"/>
  <c r="A75" i="10"/>
  <c r="A74" i="10"/>
  <c r="A73" i="10"/>
  <c r="A72" i="10"/>
  <c r="A71" i="10"/>
  <c r="A70" i="10"/>
  <c r="A69" i="10"/>
  <c r="A68" i="10"/>
  <c r="A67" i="10"/>
  <c r="A65" i="10"/>
  <c r="A37" i="10"/>
  <c r="A36" i="10"/>
  <c r="A35" i="10"/>
  <c r="A34" i="10"/>
  <c r="A33" i="10"/>
  <c r="A32" i="10"/>
  <c r="A31" i="10"/>
  <c r="A30" i="10"/>
  <c r="A29" i="10"/>
  <c r="A28" i="10"/>
  <c r="Q472" i="6" l="1"/>
  <c r="V82" i="4"/>
  <c r="S82" i="4"/>
  <c r="P82" i="4"/>
  <c r="M82" i="4"/>
  <c r="V472" i="6" l="1"/>
  <c r="M36" i="9"/>
  <c r="J37" i="9"/>
  <c r="P37" i="9" s="1"/>
  <c r="J36" i="9"/>
  <c r="J35" i="9"/>
  <c r="P35" i="9" s="1"/>
  <c r="J34" i="9"/>
  <c r="P34" i="9" s="1"/>
  <c r="P104" i="9"/>
  <c r="P103" i="9"/>
  <c r="P102" i="9"/>
  <c r="P101" i="9"/>
  <c r="P60" i="9"/>
  <c r="P59" i="9"/>
  <c r="P58" i="9"/>
  <c r="P57" i="9"/>
  <c r="P56" i="9"/>
  <c r="P55" i="9"/>
  <c r="P54" i="9"/>
  <c r="P53" i="9"/>
  <c r="P52" i="9"/>
  <c r="P51" i="9"/>
  <c r="P50" i="9"/>
  <c r="P49" i="9"/>
  <c r="P48" i="9"/>
  <c r="P47" i="9"/>
  <c r="P46" i="9"/>
  <c r="P45" i="9"/>
  <c r="P44" i="9"/>
  <c r="P43" i="9"/>
  <c r="P42" i="9"/>
  <c r="P41" i="9"/>
  <c r="P40" i="9"/>
  <c r="P39" i="9"/>
  <c r="P38" i="9"/>
  <c r="P33" i="9"/>
  <c r="P32" i="9"/>
  <c r="P31" i="9"/>
  <c r="P30" i="9"/>
  <c r="P29" i="9"/>
  <c r="P28" i="9"/>
  <c r="P89" i="9"/>
  <c r="P88" i="9"/>
  <c r="P87" i="9"/>
  <c r="P94" i="9"/>
  <c r="P100" i="9"/>
  <c r="P99" i="9"/>
  <c r="P98" i="9"/>
  <c r="P97" i="9"/>
  <c r="P96" i="9"/>
  <c r="P95" i="9"/>
  <c r="Y472" i="6" l="1"/>
  <c r="W472" i="6"/>
  <c r="P36" i="9"/>
  <c r="W30" i="12" l="1"/>
  <c r="C13" i="12"/>
  <c r="N59" i="12"/>
  <c r="N68" i="12" s="1"/>
  <c r="M43" i="12"/>
  <c r="M42" i="12"/>
  <c r="M41" i="12"/>
  <c r="M40" i="12"/>
  <c r="M39" i="12"/>
  <c r="M38" i="12"/>
  <c r="M36" i="12"/>
  <c r="M35" i="12"/>
  <c r="U15" i="12"/>
  <c r="S15" i="12"/>
  <c r="Q15" i="12"/>
  <c r="O15" i="12"/>
  <c r="M15" i="12"/>
  <c r="K15" i="12"/>
  <c r="I15" i="12"/>
  <c r="G15" i="12"/>
  <c r="B14" i="12"/>
  <c r="M37" i="12" l="1"/>
  <c r="M44" i="12" s="1"/>
  <c r="M46" i="12" s="1"/>
  <c r="R90" i="4"/>
  <c r="R79" i="4"/>
  <c r="N71" i="12" l="1"/>
  <c r="G56" i="4"/>
  <c r="K56" i="4"/>
  <c r="K10" i="5" s="1"/>
  <c r="O135" i="4" l="1"/>
  <c r="R135" i="4"/>
  <c r="U135" i="4"/>
  <c r="X135" i="4"/>
  <c r="Y135" i="4" l="1"/>
  <c r="O30" i="5"/>
  <c r="P30" i="5" s="1"/>
  <c r="L31" i="5" l="1"/>
  <c r="K31" i="5"/>
  <c r="I30" i="5"/>
  <c r="H30" i="5"/>
  <c r="C31" i="5"/>
  <c r="B31" i="5"/>
  <c r="M116" i="4" l="1"/>
  <c r="O116" i="4" s="1"/>
  <c r="V48" i="4"/>
  <c r="S48" i="4"/>
  <c r="P48" i="4"/>
  <c r="M48" i="4"/>
  <c r="X29" i="4"/>
  <c r="X28" i="4"/>
  <c r="X27" i="4"/>
  <c r="X26" i="4"/>
  <c r="R29" i="4"/>
  <c r="R28" i="4"/>
  <c r="R27" i="4"/>
  <c r="R26" i="4"/>
  <c r="U27" i="4"/>
  <c r="U28" i="4"/>
  <c r="U29" i="4"/>
  <c r="O27" i="4"/>
  <c r="O28" i="4"/>
  <c r="O29" i="4"/>
  <c r="U26" i="4"/>
  <c r="O26" i="4"/>
  <c r="O22" i="4"/>
  <c r="O23" i="4"/>
  <c r="O21" i="4"/>
  <c r="X54" i="4"/>
  <c r="X53" i="4"/>
  <c r="U54" i="4"/>
  <c r="U53" i="4"/>
  <c r="R54" i="4"/>
  <c r="R53" i="4"/>
  <c r="O54" i="4"/>
  <c r="O53" i="4"/>
  <c r="X31" i="4"/>
  <c r="X30" i="4"/>
  <c r="U31" i="4"/>
  <c r="U30" i="4"/>
  <c r="R31" i="4"/>
  <c r="R30" i="4"/>
  <c r="O31" i="4"/>
  <c r="O30" i="4"/>
  <c r="V33" i="4"/>
  <c r="X33" i="4" s="1"/>
  <c r="S33" i="4"/>
  <c r="U33" i="4" s="1"/>
  <c r="P33" i="4"/>
  <c r="R33" i="4" s="1"/>
  <c r="M33" i="4"/>
  <c r="O33" i="4" s="1"/>
  <c r="V45" i="4"/>
  <c r="S45" i="4"/>
  <c r="P45" i="4"/>
  <c r="M45" i="4"/>
  <c r="V38" i="4"/>
  <c r="V37" i="4"/>
  <c r="S38" i="4"/>
  <c r="S37" i="4"/>
  <c r="P38" i="4"/>
  <c r="P37" i="4"/>
  <c r="M38" i="4"/>
  <c r="M37" i="4"/>
  <c r="V49" i="4"/>
  <c r="S49" i="4"/>
  <c r="P49" i="4"/>
  <c r="M49" i="4"/>
  <c r="X138" i="4"/>
  <c r="X137" i="4"/>
  <c r="X133" i="4"/>
  <c r="X136" i="4"/>
  <c r="X132" i="4"/>
  <c r="X131" i="4"/>
  <c r="U131" i="4"/>
  <c r="P131" i="4"/>
  <c r="R131" i="4" s="1"/>
  <c r="M131" i="4"/>
  <c r="O131" i="4" s="1"/>
  <c r="X130" i="4"/>
  <c r="X129" i="4"/>
  <c r="U129" i="4"/>
  <c r="P129" i="4"/>
  <c r="R129" i="4" s="1"/>
  <c r="M129" i="4"/>
  <c r="O129" i="4" s="1"/>
  <c r="P120" i="4"/>
  <c r="V120" i="4"/>
  <c r="X116" i="4"/>
  <c r="U116" i="4"/>
  <c r="R116" i="4"/>
  <c r="V108" i="4"/>
  <c r="P108" i="4"/>
  <c r="S108" i="4"/>
  <c r="M108" i="4"/>
  <c r="X82" i="4"/>
  <c r="U82" i="4"/>
  <c r="R82" i="4"/>
  <c r="X57" i="4"/>
  <c r="U57" i="4"/>
  <c r="R57" i="4"/>
  <c r="V73" i="4"/>
  <c r="X73" i="4" s="1"/>
  <c r="S73" i="4"/>
  <c r="U73" i="4" s="1"/>
  <c r="P73" i="4"/>
  <c r="R73" i="4" s="1"/>
  <c r="M73" i="4"/>
  <c r="V72" i="4"/>
  <c r="X72" i="4" s="1"/>
  <c r="S72" i="4"/>
  <c r="U72" i="4" s="1"/>
  <c r="P72" i="4"/>
  <c r="R72" i="4" s="1"/>
  <c r="M72" i="4"/>
  <c r="U91" i="4" l="1"/>
  <c r="U90" i="4"/>
  <c r="X91" i="4"/>
  <c r="R91" i="4"/>
  <c r="O91" i="4"/>
  <c r="U130" i="4"/>
  <c r="R130" i="4"/>
  <c r="O130" i="4"/>
  <c r="Y129" i="4"/>
  <c r="X125" i="4"/>
  <c r="U125" i="4"/>
  <c r="O125" i="4"/>
  <c r="R125" i="4"/>
  <c r="Y91" i="4" l="1"/>
  <c r="Y125" i="4"/>
  <c r="Y130" i="4"/>
  <c r="L24" i="4"/>
  <c r="L36" i="4"/>
  <c r="F33" i="4" l="1"/>
  <c r="G23" i="4"/>
  <c r="L23" i="4" s="1"/>
  <c r="A69" i="8" l="1"/>
  <c r="A68" i="8"/>
  <c r="A67" i="8"/>
  <c r="A66" i="8"/>
  <c r="A65" i="8"/>
  <c r="S60" i="4"/>
  <c r="V60" i="4"/>
  <c r="M60" i="4"/>
  <c r="O60" i="4" s="1"/>
  <c r="P60" i="4"/>
  <c r="M59" i="4"/>
  <c r="O59" i="4" s="1"/>
  <c r="N547" i="3" l="1"/>
  <c r="E139" i="12" s="1"/>
  <c r="M547" i="3"/>
  <c r="L547" i="3"/>
  <c r="K547" i="3"/>
  <c r="N546" i="3"/>
  <c r="E138" i="12" s="1"/>
  <c r="M546" i="3"/>
  <c r="L546" i="3"/>
  <c r="K546" i="3"/>
  <c r="N545" i="3"/>
  <c r="E137" i="12" s="1"/>
  <c r="M545" i="3"/>
  <c r="L545" i="3"/>
  <c r="K545" i="3"/>
  <c r="N544" i="3"/>
  <c r="E136" i="12" s="1"/>
  <c r="M544" i="3"/>
  <c r="L544" i="3"/>
  <c r="K544" i="3"/>
  <c r="N543" i="3"/>
  <c r="E135" i="12" s="1"/>
  <c r="M543" i="3"/>
  <c r="L543" i="3"/>
  <c r="K543" i="3"/>
  <c r="N542" i="3"/>
  <c r="E134" i="12" s="1"/>
  <c r="M542" i="3"/>
  <c r="L542" i="3"/>
  <c r="K542" i="3"/>
  <c r="N541" i="3"/>
  <c r="E133" i="12" s="1"/>
  <c r="M541" i="3"/>
  <c r="L541" i="3"/>
  <c r="K541" i="3"/>
  <c r="N540" i="3"/>
  <c r="E132" i="12" s="1"/>
  <c r="M540" i="3"/>
  <c r="L540" i="3"/>
  <c r="K540" i="3"/>
  <c r="N539" i="3"/>
  <c r="E131" i="12" s="1"/>
  <c r="M539" i="3"/>
  <c r="L539" i="3"/>
  <c r="K539" i="3"/>
  <c r="N538" i="3"/>
  <c r="E130" i="12" s="1"/>
  <c r="M538" i="3"/>
  <c r="L538" i="3"/>
  <c r="K538" i="3"/>
  <c r="N537" i="3"/>
  <c r="E129" i="12" s="1"/>
  <c r="M537" i="3"/>
  <c r="L537" i="3"/>
  <c r="K537" i="3"/>
  <c r="N536" i="3"/>
  <c r="E128" i="12" s="1"/>
  <c r="M536" i="3"/>
  <c r="L536" i="3"/>
  <c r="K536" i="3"/>
  <c r="N535" i="3"/>
  <c r="E127" i="12" s="1"/>
  <c r="M535" i="3"/>
  <c r="L535" i="3"/>
  <c r="K535" i="3"/>
  <c r="N533" i="3"/>
  <c r="E125" i="12" s="1"/>
  <c r="M533" i="3"/>
  <c r="L533" i="3"/>
  <c r="K533" i="3"/>
  <c r="N532" i="3"/>
  <c r="E124" i="12" s="1"/>
  <c r="M532" i="3"/>
  <c r="L532" i="3"/>
  <c r="K532" i="3"/>
  <c r="N531" i="3"/>
  <c r="E123" i="12" s="1"/>
  <c r="M531" i="3"/>
  <c r="L531" i="3"/>
  <c r="K531" i="3"/>
  <c r="N530" i="3"/>
  <c r="E122" i="12" s="1"/>
  <c r="M530" i="3"/>
  <c r="L530" i="3"/>
  <c r="K530" i="3"/>
  <c r="N529" i="3"/>
  <c r="E121" i="12" s="1"/>
  <c r="M529" i="3"/>
  <c r="L529" i="3"/>
  <c r="K529" i="3"/>
  <c r="N528" i="3"/>
  <c r="E120" i="12" s="1"/>
  <c r="M528" i="3"/>
  <c r="L528" i="3"/>
  <c r="K528" i="3"/>
  <c r="N526" i="3"/>
  <c r="E118" i="12" s="1"/>
  <c r="M526" i="3"/>
  <c r="L526" i="3"/>
  <c r="K526" i="3"/>
  <c r="N525" i="3"/>
  <c r="E117" i="12" s="1"/>
  <c r="M525" i="3"/>
  <c r="L525" i="3"/>
  <c r="K525" i="3"/>
  <c r="N524" i="3"/>
  <c r="E116" i="12" s="1"/>
  <c r="M524" i="3"/>
  <c r="L524" i="3"/>
  <c r="K524" i="3"/>
  <c r="N523" i="3"/>
  <c r="E115" i="12" s="1"/>
  <c r="M523" i="3"/>
  <c r="L523" i="3"/>
  <c r="K523" i="3"/>
  <c r="N522" i="3"/>
  <c r="E114" i="12" s="1"/>
  <c r="M522" i="3"/>
  <c r="L522" i="3"/>
  <c r="K522" i="3"/>
  <c r="N521" i="3"/>
  <c r="E113" i="12" s="1"/>
  <c r="M521" i="3"/>
  <c r="L521" i="3"/>
  <c r="K521" i="3"/>
  <c r="N520" i="3"/>
  <c r="E112" i="12" s="1"/>
  <c r="M520" i="3"/>
  <c r="L520" i="3"/>
  <c r="K520" i="3"/>
  <c r="N519" i="3"/>
  <c r="E111" i="12" s="1"/>
  <c r="M519" i="3"/>
  <c r="L519" i="3"/>
  <c r="K519" i="3"/>
  <c r="N518" i="3"/>
  <c r="E110" i="12" s="1"/>
  <c r="M518" i="3"/>
  <c r="L518" i="3"/>
  <c r="K518" i="3"/>
  <c r="N517" i="3"/>
  <c r="E109" i="12" s="1"/>
  <c r="M517" i="3"/>
  <c r="L517" i="3"/>
  <c r="K517" i="3"/>
  <c r="N516" i="3"/>
  <c r="E108" i="12" s="1"/>
  <c r="M516" i="3"/>
  <c r="L516" i="3"/>
  <c r="K516" i="3"/>
  <c r="N515" i="3"/>
  <c r="E107" i="12" s="1"/>
  <c r="M515" i="3"/>
  <c r="L515" i="3"/>
  <c r="K515" i="3"/>
  <c r="N514" i="3"/>
  <c r="E106" i="12" s="1"/>
  <c r="M514" i="3"/>
  <c r="L514" i="3"/>
  <c r="K514" i="3"/>
  <c r="N513" i="3"/>
  <c r="E105" i="12" s="1"/>
  <c r="M513" i="3"/>
  <c r="L513" i="3"/>
  <c r="K513" i="3"/>
  <c r="N512" i="3"/>
  <c r="E104" i="12" s="1"/>
  <c r="M512" i="3"/>
  <c r="L512" i="3"/>
  <c r="K512" i="3"/>
  <c r="N511" i="3"/>
  <c r="E103" i="12" s="1"/>
  <c r="M511" i="3"/>
  <c r="L511" i="3"/>
  <c r="K511" i="3"/>
  <c r="N510" i="3"/>
  <c r="E102" i="12" s="1"/>
  <c r="M510" i="3"/>
  <c r="L510" i="3"/>
  <c r="K510" i="3"/>
  <c r="N509" i="3"/>
  <c r="E101" i="12" s="1"/>
  <c r="M509" i="3"/>
  <c r="L509" i="3"/>
  <c r="K509" i="3"/>
  <c r="N508" i="3"/>
  <c r="E100" i="12" s="1"/>
  <c r="M508" i="3"/>
  <c r="L508" i="3"/>
  <c r="K508" i="3"/>
  <c r="N507" i="3"/>
  <c r="E99" i="12" s="1"/>
  <c r="M507" i="3"/>
  <c r="L507" i="3"/>
  <c r="K507" i="3"/>
  <c r="N506" i="3"/>
  <c r="E98" i="12" s="1"/>
  <c r="M506" i="3"/>
  <c r="L506" i="3"/>
  <c r="K506" i="3"/>
  <c r="N505" i="3"/>
  <c r="E97" i="12" s="1"/>
  <c r="M505" i="3"/>
  <c r="L505" i="3"/>
  <c r="K505" i="3"/>
  <c r="N504" i="3"/>
  <c r="E96" i="12" s="1"/>
  <c r="M504" i="3"/>
  <c r="L504" i="3"/>
  <c r="K504" i="3"/>
  <c r="N503" i="3"/>
  <c r="E95" i="12" s="1"/>
  <c r="M503" i="3"/>
  <c r="L503" i="3"/>
  <c r="K503" i="3"/>
  <c r="N502" i="3"/>
  <c r="E94" i="12" s="1"/>
  <c r="M502" i="3"/>
  <c r="L502" i="3"/>
  <c r="K502" i="3"/>
  <c r="N501" i="3"/>
  <c r="E93" i="12" s="1"/>
  <c r="M501" i="3"/>
  <c r="L501" i="3"/>
  <c r="K501" i="3"/>
  <c r="N500" i="3"/>
  <c r="E92" i="12" s="1"/>
  <c r="M500" i="3"/>
  <c r="L500" i="3"/>
  <c r="K500" i="3"/>
  <c r="N499" i="3"/>
  <c r="E91" i="12" s="1"/>
  <c r="M499" i="3"/>
  <c r="L499" i="3"/>
  <c r="K499" i="3"/>
  <c r="N498" i="3"/>
  <c r="E90" i="12" s="1"/>
  <c r="M498" i="3"/>
  <c r="L498" i="3"/>
  <c r="K498" i="3"/>
  <c r="N497" i="3"/>
  <c r="E89" i="12" s="1"/>
  <c r="M497" i="3"/>
  <c r="L497" i="3"/>
  <c r="K497" i="3"/>
  <c r="N496" i="3"/>
  <c r="E88" i="12" s="1"/>
  <c r="M496" i="3"/>
  <c r="L496" i="3"/>
  <c r="K496" i="3"/>
  <c r="N495" i="3"/>
  <c r="E87" i="12" s="1"/>
  <c r="M495" i="3"/>
  <c r="L495" i="3"/>
  <c r="K495" i="3"/>
  <c r="N494" i="3"/>
  <c r="E86" i="12" s="1"/>
  <c r="M494" i="3"/>
  <c r="L494" i="3"/>
  <c r="K494" i="3"/>
  <c r="N493" i="3"/>
  <c r="E85" i="12" s="1"/>
  <c r="M493" i="3"/>
  <c r="L493" i="3"/>
  <c r="K493" i="3"/>
  <c r="N492" i="3"/>
  <c r="E84" i="12" s="1"/>
  <c r="M492" i="3"/>
  <c r="L492" i="3"/>
  <c r="K492" i="3"/>
  <c r="N491" i="3"/>
  <c r="E83" i="12" s="1"/>
  <c r="M491" i="3"/>
  <c r="L491" i="3"/>
  <c r="K491" i="3"/>
  <c r="N489" i="3"/>
  <c r="E81" i="12" s="1"/>
  <c r="M489" i="3"/>
  <c r="L489" i="3"/>
  <c r="K489" i="3"/>
  <c r="N488" i="3"/>
  <c r="E80" i="12" s="1"/>
  <c r="M488" i="3"/>
  <c r="L488" i="3"/>
  <c r="K488" i="3"/>
  <c r="N487" i="3"/>
  <c r="E79" i="12" s="1"/>
  <c r="M487" i="3"/>
  <c r="L487" i="3"/>
  <c r="K487" i="3"/>
  <c r="N486" i="3"/>
  <c r="E78" i="12" s="1"/>
  <c r="M486" i="3"/>
  <c r="L486" i="3"/>
  <c r="K486" i="3"/>
  <c r="N485" i="3"/>
  <c r="E77" i="12" s="1"/>
  <c r="M485" i="3"/>
  <c r="L485" i="3"/>
  <c r="K485" i="3"/>
  <c r="N484" i="3"/>
  <c r="E76" i="12" s="1"/>
  <c r="M484" i="3"/>
  <c r="L484" i="3"/>
  <c r="K484" i="3"/>
  <c r="N483" i="3"/>
  <c r="N611" i="3" s="1"/>
  <c r="D139" i="12" s="1"/>
  <c r="M483" i="3"/>
  <c r="M611" i="3" s="1"/>
  <c r="L483" i="3"/>
  <c r="K483" i="3"/>
  <c r="N482" i="3"/>
  <c r="M482" i="3"/>
  <c r="L482" i="3"/>
  <c r="L610" i="3" s="1"/>
  <c r="K482" i="3"/>
  <c r="K610" i="3" s="1"/>
  <c r="N481" i="3"/>
  <c r="N609" i="3" s="1"/>
  <c r="D137" i="12" s="1"/>
  <c r="M481" i="3"/>
  <c r="M609" i="3" s="1"/>
  <c r="L481" i="3"/>
  <c r="K481" i="3"/>
  <c r="N480" i="3"/>
  <c r="I136" i="12" s="1"/>
  <c r="M480" i="3"/>
  <c r="L480" i="3"/>
  <c r="L608" i="3" s="1"/>
  <c r="K480" i="3"/>
  <c r="K608" i="3" s="1"/>
  <c r="N479" i="3"/>
  <c r="N607" i="3" s="1"/>
  <c r="D135" i="12" s="1"/>
  <c r="M479" i="3"/>
  <c r="M607" i="3" s="1"/>
  <c r="L479" i="3"/>
  <c r="K479" i="3"/>
  <c r="N478" i="3"/>
  <c r="M478" i="3"/>
  <c r="L478" i="3"/>
  <c r="K478" i="3"/>
  <c r="K606" i="3" s="1"/>
  <c r="N477" i="3"/>
  <c r="N605" i="3" s="1"/>
  <c r="D133" i="12" s="1"/>
  <c r="M477" i="3"/>
  <c r="M605" i="3" s="1"/>
  <c r="L477" i="3"/>
  <c r="K477" i="3"/>
  <c r="N476" i="3"/>
  <c r="I132" i="12" s="1"/>
  <c r="M476" i="3"/>
  <c r="L476" i="3"/>
  <c r="L604" i="3" s="1"/>
  <c r="K476" i="3"/>
  <c r="K604" i="3" s="1"/>
  <c r="N475" i="3"/>
  <c r="I131" i="12" s="1"/>
  <c r="M475" i="3"/>
  <c r="M603" i="3" s="1"/>
  <c r="L475" i="3"/>
  <c r="K475" i="3"/>
  <c r="N474" i="3"/>
  <c r="I130" i="12" s="1"/>
  <c r="M474" i="3"/>
  <c r="L474" i="3"/>
  <c r="L602" i="3" s="1"/>
  <c r="K474" i="3"/>
  <c r="K602" i="3" s="1"/>
  <c r="N473" i="3"/>
  <c r="N601" i="3" s="1"/>
  <c r="D129" i="12" s="1"/>
  <c r="M473" i="3"/>
  <c r="M601" i="3" s="1"/>
  <c r="L473" i="3"/>
  <c r="K473" i="3"/>
  <c r="N472" i="3"/>
  <c r="I128" i="12" s="1"/>
  <c r="M472" i="3"/>
  <c r="L472" i="3"/>
  <c r="L600" i="3" s="1"/>
  <c r="K472" i="3"/>
  <c r="K600" i="3" s="1"/>
  <c r="N471" i="3"/>
  <c r="N599" i="3" s="1"/>
  <c r="D127" i="12" s="1"/>
  <c r="M471" i="3"/>
  <c r="M599" i="3" s="1"/>
  <c r="L471" i="3"/>
  <c r="K471" i="3"/>
  <c r="N469" i="3"/>
  <c r="M469" i="3"/>
  <c r="L469" i="3"/>
  <c r="L597" i="3" s="1"/>
  <c r="K469" i="3"/>
  <c r="K597" i="3" s="1"/>
  <c r="N468" i="3"/>
  <c r="N596" i="3" s="1"/>
  <c r="D124" i="12" s="1"/>
  <c r="M468" i="3"/>
  <c r="M596" i="3" s="1"/>
  <c r="L468" i="3"/>
  <c r="K468" i="3"/>
  <c r="N467" i="3"/>
  <c r="I123" i="12" s="1"/>
  <c r="M467" i="3"/>
  <c r="L467" i="3"/>
  <c r="L595" i="3" s="1"/>
  <c r="K467" i="3"/>
  <c r="K595" i="3" s="1"/>
  <c r="N466" i="3"/>
  <c r="N594" i="3" s="1"/>
  <c r="D122" i="12" s="1"/>
  <c r="M466" i="3"/>
  <c r="M594" i="3" s="1"/>
  <c r="L466" i="3"/>
  <c r="K466" i="3"/>
  <c r="N465" i="3"/>
  <c r="I121" i="12" s="1"/>
  <c r="M465" i="3"/>
  <c r="L465" i="3"/>
  <c r="L593" i="3" s="1"/>
  <c r="K465" i="3"/>
  <c r="K593" i="3" s="1"/>
  <c r="N464" i="3"/>
  <c r="N592" i="3" s="1"/>
  <c r="D120" i="12" s="1"/>
  <c r="M464" i="3"/>
  <c r="M592" i="3" s="1"/>
  <c r="L464" i="3"/>
  <c r="K464" i="3"/>
  <c r="N462" i="3"/>
  <c r="I118" i="12" s="1"/>
  <c r="M462" i="3"/>
  <c r="L462" i="3"/>
  <c r="L590" i="3" s="1"/>
  <c r="K462" i="3"/>
  <c r="K590" i="3" s="1"/>
  <c r="N461" i="3"/>
  <c r="N589" i="3" s="1"/>
  <c r="D117" i="12" s="1"/>
  <c r="M461" i="3"/>
  <c r="M589" i="3" s="1"/>
  <c r="L461" i="3"/>
  <c r="K461" i="3"/>
  <c r="N460" i="3"/>
  <c r="M460" i="3"/>
  <c r="L460" i="3"/>
  <c r="L588" i="3" s="1"/>
  <c r="K460" i="3"/>
  <c r="K588" i="3" s="1"/>
  <c r="N459" i="3"/>
  <c r="N587" i="3" s="1"/>
  <c r="D115" i="12" s="1"/>
  <c r="M459" i="3"/>
  <c r="M587" i="3" s="1"/>
  <c r="L459" i="3"/>
  <c r="K459" i="3"/>
  <c r="N458" i="3"/>
  <c r="I114" i="12" s="1"/>
  <c r="M458" i="3"/>
  <c r="L458" i="3"/>
  <c r="L586" i="3" s="1"/>
  <c r="K458" i="3"/>
  <c r="K586" i="3" s="1"/>
  <c r="N457" i="3"/>
  <c r="N585" i="3" s="1"/>
  <c r="D113" i="12" s="1"/>
  <c r="M457" i="3"/>
  <c r="M585" i="3" s="1"/>
  <c r="L457" i="3"/>
  <c r="K457" i="3"/>
  <c r="N456" i="3"/>
  <c r="I112" i="12" s="1"/>
  <c r="M456" i="3"/>
  <c r="L456" i="3"/>
  <c r="L584" i="3" s="1"/>
  <c r="K456" i="3"/>
  <c r="K584" i="3" s="1"/>
  <c r="N455" i="3"/>
  <c r="N583" i="3" s="1"/>
  <c r="D111" i="12" s="1"/>
  <c r="M455" i="3"/>
  <c r="M583" i="3" s="1"/>
  <c r="L455" i="3"/>
  <c r="K455" i="3"/>
  <c r="N454" i="3"/>
  <c r="I110" i="12" s="1"/>
  <c r="M454" i="3"/>
  <c r="L454" i="3"/>
  <c r="L582" i="3" s="1"/>
  <c r="K454" i="3"/>
  <c r="K582" i="3" s="1"/>
  <c r="N453" i="3"/>
  <c r="N581" i="3" s="1"/>
  <c r="D109" i="12" s="1"/>
  <c r="M453" i="3"/>
  <c r="M581" i="3" s="1"/>
  <c r="L453" i="3"/>
  <c r="K453" i="3"/>
  <c r="N452" i="3"/>
  <c r="M452" i="3"/>
  <c r="L452" i="3"/>
  <c r="L580" i="3" s="1"/>
  <c r="K452" i="3"/>
  <c r="K580" i="3" s="1"/>
  <c r="N451" i="3"/>
  <c r="N579" i="3" s="1"/>
  <c r="D107" i="12" s="1"/>
  <c r="M451" i="3"/>
  <c r="M579" i="3" s="1"/>
  <c r="L451" i="3"/>
  <c r="K451" i="3"/>
  <c r="N450" i="3"/>
  <c r="I106" i="12" s="1"/>
  <c r="M450" i="3"/>
  <c r="L450" i="3"/>
  <c r="K450" i="3"/>
  <c r="K578" i="3" s="1"/>
  <c r="N449" i="3"/>
  <c r="N577" i="3" s="1"/>
  <c r="D105" i="12" s="1"/>
  <c r="M449" i="3"/>
  <c r="M577" i="3" s="1"/>
  <c r="L449" i="3"/>
  <c r="K449" i="3"/>
  <c r="N448" i="3"/>
  <c r="I104" i="12" s="1"/>
  <c r="M448" i="3"/>
  <c r="L448" i="3"/>
  <c r="L576" i="3" s="1"/>
  <c r="K448" i="3"/>
  <c r="K576" i="3" s="1"/>
  <c r="N447" i="3"/>
  <c r="N575" i="3" s="1"/>
  <c r="D103" i="12" s="1"/>
  <c r="M447" i="3"/>
  <c r="M575" i="3" s="1"/>
  <c r="L447" i="3"/>
  <c r="K447" i="3"/>
  <c r="N446" i="3"/>
  <c r="I102" i="12" s="1"/>
  <c r="M446" i="3"/>
  <c r="L446" i="3"/>
  <c r="L574" i="3" s="1"/>
  <c r="K446" i="3"/>
  <c r="K574" i="3" s="1"/>
  <c r="N445" i="3"/>
  <c r="N573" i="3" s="1"/>
  <c r="D101" i="12" s="1"/>
  <c r="M445" i="3"/>
  <c r="M573" i="3" s="1"/>
  <c r="L445" i="3"/>
  <c r="K445" i="3"/>
  <c r="N444" i="3"/>
  <c r="M444" i="3"/>
  <c r="L444" i="3"/>
  <c r="L572" i="3" s="1"/>
  <c r="K444" i="3"/>
  <c r="K572" i="3" s="1"/>
  <c r="N443" i="3"/>
  <c r="N571" i="3" s="1"/>
  <c r="D99" i="12" s="1"/>
  <c r="M443" i="3"/>
  <c r="M571" i="3" s="1"/>
  <c r="L443" i="3"/>
  <c r="K443" i="3"/>
  <c r="N442" i="3"/>
  <c r="I98" i="12" s="1"/>
  <c r="M442" i="3"/>
  <c r="L442" i="3"/>
  <c r="L570" i="3" s="1"/>
  <c r="K442" i="3"/>
  <c r="K570" i="3" s="1"/>
  <c r="N441" i="3"/>
  <c r="N569" i="3" s="1"/>
  <c r="D97" i="12" s="1"/>
  <c r="M441" i="3"/>
  <c r="M569" i="3" s="1"/>
  <c r="L441" i="3"/>
  <c r="K441" i="3"/>
  <c r="N440" i="3"/>
  <c r="I96" i="12" s="1"/>
  <c r="M440" i="3"/>
  <c r="L440" i="3"/>
  <c r="L568" i="3" s="1"/>
  <c r="K440" i="3"/>
  <c r="K568" i="3" s="1"/>
  <c r="N439" i="3"/>
  <c r="N567" i="3" s="1"/>
  <c r="D95" i="12" s="1"/>
  <c r="M439" i="3"/>
  <c r="M567" i="3" s="1"/>
  <c r="L439" i="3"/>
  <c r="K439" i="3"/>
  <c r="N438" i="3"/>
  <c r="I94" i="12" s="1"/>
  <c r="M438" i="3"/>
  <c r="L438" i="3"/>
  <c r="L566" i="3" s="1"/>
  <c r="K438" i="3"/>
  <c r="K566" i="3" s="1"/>
  <c r="N437" i="3"/>
  <c r="N565" i="3" s="1"/>
  <c r="D93" i="12" s="1"/>
  <c r="M437" i="3"/>
  <c r="M565" i="3" s="1"/>
  <c r="L437" i="3"/>
  <c r="K437" i="3"/>
  <c r="N436" i="3"/>
  <c r="M436" i="3"/>
  <c r="L436" i="3"/>
  <c r="L564" i="3" s="1"/>
  <c r="K436" i="3"/>
  <c r="K564" i="3" s="1"/>
  <c r="N435" i="3"/>
  <c r="N563" i="3" s="1"/>
  <c r="D91" i="12" s="1"/>
  <c r="M435" i="3"/>
  <c r="M563" i="3" s="1"/>
  <c r="L435" i="3"/>
  <c r="K435" i="3"/>
  <c r="N434" i="3"/>
  <c r="I90" i="12" s="1"/>
  <c r="M434" i="3"/>
  <c r="L434" i="3"/>
  <c r="L562" i="3" s="1"/>
  <c r="K434" i="3"/>
  <c r="K562" i="3" s="1"/>
  <c r="N433" i="3"/>
  <c r="N561" i="3" s="1"/>
  <c r="D89" i="12" s="1"/>
  <c r="M433" i="3"/>
  <c r="M561" i="3" s="1"/>
  <c r="L433" i="3"/>
  <c r="K433" i="3"/>
  <c r="N432" i="3"/>
  <c r="I88" i="12" s="1"/>
  <c r="M432" i="3"/>
  <c r="L432" i="3"/>
  <c r="L560" i="3" s="1"/>
  <c r="K432" i="3"/>
  <c r="K560" i="3" s="1"/>
  <c r="N431" i="3"/>
  <c r="N559" i="3" s="1"/>
  <c r="D87" i="12" s="1"/>
  <c r="M431" i="3"/>
  <c r="M559" i="3" s="1"/>
  <c r="L431" i="3"/>
  <c r="K431" i="3"/>
  <c r="N430" i="3"/>
  <c r="I86" i="12" s="1"/>
  <c r="M430" i="3"/>
  <c r="L430" i="3"/>
  <c r="L558" i="3" s="1"/>
  <c r="K430" i="3"/>
  <c r="K558" i="3" s="1"/>
  <c r="N429" i="3"/>
  <c r="N557" i="3" s="1"/>
  <c r="D85" i="12" s="1"/>
  <c r="M429" i="3"/>
  <c r="M557" i="3" s="1"/>
  <c r="L429" i="3"/>
  <c r="K429" i="3"/>
  <c r="N428" i="3"/>
  <c r="M428" i="3"/>
  <c r="L428" i="3"/>
  <c r="L556" i="3" s="1"/>
  <c r="K428" i="3"/>
  <c r="K556" i="3" s="1"/>
  <c r="N427" i="3"/>
  <c r="N555" i="3" s="1"/>
  <c r="D83" i="12" s="1"/>
  <c r="M427" i="3"/>
  <c r="M555" i="3" s="1"/>
  <c r="L427" i="3"/>
  <c r="K427" i="3"/>
  <c r="N425" i="3"/>
  <c r="I81" i="12" s="1"/>
  <c r="M425" i="3"/>
  <c r="L425" i="3"/>
  <c r="L553" i="3" s="1"/>
  <c r="K425" i="3"/>
  <c r="K553" i="3" s="1"/>
  <c r="N424" i="3"/>
  <c r="N552" i="3" s="1"/>
  <c r="D80" i="12" s="1"/>
  <c r="M424" i="3"/>
  <c r="M552" i="3" s="1"/>
  <c r="L424" i="3"/>
  <c r="K424" i="3"/>
  <c r="N423" i="3"/>
  <c r="I79" i="12" s="1"/>
  <c r="M423" i="3"/>
  <c r="L423" i="3"/>
  <c r="L551" i="3" s="1"/>
  <c r="K423" i="3"/>
  <c r="K551" i="3" s="1"/>
  <c r="N422" i="3"/>
  <c r="N550" i="3" s="1"/>
  <c r="D78" i="12" s="1"/>
  <c r="M422" i="3"/>
  <c r="M550" i="3" s="1"/>
  <c r="L422" i="3"/>
  <c r="K422" i="3"/>
  <c r="N421" i="3"/>
  <c r="I77" i="12" s="1"/>
  <c r="M421" i="3"/>
  <c r="L421" i="3"/>
  <c r="L549" i="3" s="1"/>
  <c r="K421" i="3"/>
  <c r="K549" i="3" s="1"/>
  <c r="N420" i="3"/>
  <c r="N548" i="3" s="1"/>
  <c r="D76" i="12" s="1"/>
  <c r="M420" i="3"/>
  <c r="M548" i="3" s="1"/>
  <c r="L420" i="3"/>
  <c r="K420" i="3"/>
  <c r="P483" i="9"/>
  <c r="F139" i="12" s="1"/>
  <c r="O483" i="9"/>
  <c r="N483" i="9"/>
  <c r="M483" i="9"/>
  <c r="L483" i="9"/>
  <c r="K483" i="9"/>
  <c r="J483" i="9"/>
  <c r="O482" i="9"/>
  <c r="N482" i="9"/>
  <c r="M482" i="9"/>
  <c r="L482" i="9"/>
  <c r="K482" i="9"/>
  <c r="J482" i="9"/>
  <c r="O481" i="9"/>
  <c r="N481" i="9"/>
  <c r="M481" i="9"/>
  <c r="L481" i="9"/>
  <c r="K481" i="9"/>
  <c r="J481" i="9"/>
  <c r="O480" i="9"/>
  <c r="N480" i="9"/>
  <c r="M480" i="9"/>
  <c r="L480" i="9"/>
  <c r="K480" i="9"/>
  <c r="J480" i="9"/>
  <c r="O479" i="9"/>
  <c r="N479" i="9"/>
  <c r="M479" i="9"/>
  <c r="L479" i="9"/>
  <c r="K479" i="9"/>
  <c r="J479" i="9"/>
  <c r="P478" i="9"/>
  <c r="F134" i="12" s="1"/>
  <c r="O478" i="9"/>
  <c r="N478" i="9"/>
  <c r="M478" i="9"/>
  <c r="L478" i="9"/>
  <c r="K478" i="9"/>
  <c r="J478" i="9"/>
  <c r="O477" i="9"/>
  <c r="N477" i="9"/>
  <c r="M477" i="9"/>
  <c r="L477" i="9"/>
  <c r="K477" i="9"/>
  <c r="J477" i="9"/>
  <c r="P476" i="9"/>
  <c r="F132" i="12" s="1"/>
  <c r="O476" i="9"/>
  <c r="N476" i="9"/>
  <c r="M476" i="9"/>
  <c r="L476" i="9"/>
  <c r="K476" i="9"/>
  <c r="J476" i="9"/>
  <c r="P475" i="9"/>
  <c r="F131" i="12" s="1"/>
  <c r="O475" i="9"/>
  <c r="N475" i="9"/>
  <c r="M475" i="9"/>
  <c r="L475" i="9"/>
  <c r="K475" i="9"/>
  <c r="J475" i="9"/>
  <c r="O474" i="9"/>
  <c r="N474" i="9"/>
  <c r="M474" i="9"/>
  <c r="L474" i="9"/>
  <c r="K474" i="9"/>
  <c r="J474" i="9"/>
  <c r="P473" i="9"/>
  <c r="F129" i="12" s="1"/>
  <c r="O473" i="9"/>
  <c r="N473" i="9"/>
  <c r="M473" i="9"/>
  <c r="L473" i="9"/>
  <c r="K473" i="9"/>
  <c r="J473" i="9"/>
  <c r="P472" i="9"/>
  <c r="F128" i="12" s="1"/>
  <c r="O472" i="9"/>
  <c r="N472" i="9"/>
  <c r="M472" i="9"/>
  <c r="L472" i="9"/>
  <c r="K472" i="9"/>
  <c r="J472" i="9"/>
  <c r="P471" i="9"/>
  <c r="F127" i="12" s="1"/>
  <c r="O471" i="9"/>
  <c r="N471" i="9"/>
  <c r="M471" i="9"/>
  <c r="L471" i="9"/>
  <c r="K471" i="9"/>
  <c r="J471" i="9"/>
  <c r="P469" i="9"/>
  <c r="F125" i="12" s="1"/>
  <c r="O469" i="9"/>
  <c r="N469" i="9"/>
  <c r="M469" i="9"/>
  <c r="L469" i="9"/>
  <c r="K469" i="9"/>
  <c r="J469" i="9"/>
  <c r="O468" i="9"/>
  <c r="N468" i="9"/>
  <c r="M468" i="9"/>
  <c r="L468" i="9"/>
  <c r="K468" i="9"/>
  <c r="J468" i="9"/>
  <c r="P467" i="9"/>
  <c r="F123" i="12" s="1"/>
  <c r="O467" i="9"/>
  <c r="N467" i="9"/>
  <c r="M467" i="9"/>
  <c r="L467" i="9"/>
  <c r="K467" i="9"/>
  <c r="J467" i="9"/>
  <c r="P466" i="9"/>
  <c r="F122" i="12" s="1"/>
  <c r="O466" i="9"/>
  <c r="N466" i="9"/>
  <c r="M466" i="9"/>
  <c r="L466" i="9"/>
  <c r="K466" i="9"/>
  <c r="J466" i="9"/>
  <c r="O465" i="9"/>
  <c r="N465" i="9"/>
  <c r="M465" i="9"/>
  <c r="L465" i="9"/>
  <c r="K465" i="9"/>
  <c r="J465" i="9"/>
  <c r="O464" i="9"/>
  <c r="N464" i="9"/>
  <c r="M464" i="9"/>
  <c r="L464" i="9"/>
  <c r="K464" i="9"/>
  <c r="J464" i="9"/>
  <c r="P462" i="9"/>
  <c r="F118" i="12" s="1"/>
  <c r="O462" i="9"/>
  <c r="N462" i="9"/>
  <c r="M462" i="9"/>
  <c r="L462" i="9"/>
  <c r="K462" i="9"/>
  <c r="J462" i="9"/>
  <c r="P461" i="9"/>
  <c r="F117" i="12" s="1"/>
  <c r="O461" i="9"/>
  <c r="N461" i="9"/>
  <c r="M461" i="9"/>
  <c r="L461" i="9"/>
  <c r="K461" i="9"/>
  <c r="J461" i="9"/>
  <c r="P460" i="9"/>
  <c r="F116" i="12" s="1"/>
  <c r="O460" i="9"/>
  <c r="N460" i="9"/>
  <c r="M460" i="9"/>
  <c r="L460" i="9"/>
  <c r="K460" i="9"/>
  <c r="J460" i="9"/>
  <c r="P459" i="9"/>
  <c r="F115" i="12" s="1"/>
  <c r="O459" i="9"/>
  <c r="N459" i="9"/>
  <c r="M459" i="9"/>
  <c r="L459" i="9"/>
  <c r="K459" i="9"/>
  <c r="J459" i="9"/>
  <c r="P458" i="9"/>
  <c r="F114" i="12" s="1"/>
  <c r="O458" i="9"/>
  <c r="N458" i="9"/>
  <c r="M458" i="9"/>
  <c r="L458" i="9"/>
  <c r="K458" i="9"/>
  <c r="J458" i="9"/>
  <c r="O457" i="9"/>
  <c r="N457" i="9"/>
  <c r="M457" i="9"/>
  <c r="L457" i="9"/>
  <c r="K457" i="9"/>
  <c r="J457" i="9"/>
  <c r="P456" i="9"/>
  <c r="F112" i="12" s="1"/>
  <c r="O456" i="9"/>
  <c r="N456" i="9"/>
  <c r="M456" i="9"/>
  <c r="L456" i="9"/>
  <c r="K456" i="9"/>
  <c r="J456" i="9"/>
  <c r="P455" i="9"/>
  <c r="F111" i="12" s="1"/>
  <c r="O455" i="9"/>
  <c r="N455" i="9"/>
  <c r="M455" i="9"/>
  <c r="L455" i="9"/>
  <c r="K455" i="9"/>
  <c r="J455" i="9"/>
  <c r="O454" i="9"/>
  <c r="N454" i="9"/>
  <c r="M454" i="9"/>
  <c r="L454" i="9"/>
  <c r="K454" i="9"/>
  <c r="J454" i="9"/>
  <c r="P453" i="9"/>
  <c r="F109" i="12" s="1"/>
  <c r="O453" i="9"/>
  <c r="N453" i="9"/>
  <c r="M453" i="9"/>
  <c r="L453" i="9"/>
  <c r="K453" i="9"/>
  <c r="J453" i="9"/>
  <c r="P452" i="9"/>
  <c r="F108" i="12" s="1"/>
  <c r="O452" i="9"/>
  <c r="N452" i="9"/>
  <c r="M452" i="9"/>
  <c r="L452" i="9"/>
  <c r="K452" i="9"/>
  <c r="J452" i="9"/>
  <c r="P451" i="9"/>
  <c r="F107" i="12" s="1"/>
  <c r="O451" i="9"/>
  <c r="N451" i="9"/>
  <c r="M451" i="9"/>
  <c r="L451" i="9"/>
  <c r="K451" i="9"/>
  <c r="J451" i="9"/>
  <c r="O450" i="9"/>
  <c r="N450" i="9"/>
  <c r="M450" i="9"/>
  <c r="L450" i="9"/>
  <c r="K450" i="9"/>
  <c r="J450" i="9"/>
  <c r="P449" i="9"/>
  <c r="F105" i="12" s="1"/>
  <c r="O449" i="9"/>
  <c r="N449" i="9"/>
  <c r="M449" i="9"/>
  <c r="L449" i="9"/>
  <c r="K449" i="9"/>
  <c r="J449" i="9"/>
  <c r="P448" i="9"/>
  <c r="F104" i="12" s="1"/>
  <c r="O448" i="9"/>
  <c r="N448" i="9"/>
  <c r="M448" i="9"/>
  <c r="L448" i="9"/>
  <c r="K448" i="9"/>
  <c r="J448" i="9"/>
  <c r="P447" i="9"/>
  <c r="O447" i="9"/>
  <c r="N447" i="9"/>
  <c r="M447" i="9"/>
  <c r="L447" i="9"/>
  <c r="K447" i="9"/>
  <c r="J447" i="9"/>
  <c r="P446" i="9"/>
  <c r="F102" i="12" s="1"/>
  <c r="O446" i="9"/>
  <c r="N446" i="9"/>
  <c r="M446" i="9"/>
  <c r="L446" i="9"/>
  <c r="K446" i="9"/>
  <c r="J446" i="9"/>
  <c r="P445" i="9"/>
  <c r="F101" i="12" s="1"/>
  <c r="O445" i="9"/>
  <c r="N445" i="9"/>
  <c r="M445" i="9"/>
  <c r="L445" i="9"/>
  <c r="K445" i="9"/>
  <c r="J445" i="9"/>
  <c r="P444" i="9"/>
  <c r="F100" i="12" s="1"/>
  <c r="O444" i="9"/>
  <c r="N444" i="9"/>
  <c r="M444" i="9"/>
  <c r="L444" i="9"/>
  <c r="K444" i="9"/>
  <c r="J444" i="9"/>
  <c r="P443" i="9"/>
  <c r="F99" i="12" s="1"/>
  <c r="O443" i="9"/>
  <c r="N443" i="9"/>
  <c r="M443" i="9"/>
  <c r="L443" i="9"/>
  <c r="K443" i="9"/>
  <c r="J443" i="9"/>
  <c r="P442" i="9"/>
  <c r="F98" i="12" s="1"/>
  <c r="O442" i="9"/>
  <c r="N442" i="9"/>
  <c r="M442" i="9"/>
  <c r="L442" i="9"/>
  <c r="K442" i="9"/>
  <c r="J442" i="9"/>
  <c r="P441" i="9"/>
  <c r="F97" i="12" s="1"/>
  <c r="O441" i="9"/>
  <c r="N441" i="9"/>
  <c r="M441" i="9"/>
  <c r="L441" i="9"/>
  <c r="K441" i="9"/>
  <c r="J441" i="9"/>
  <c r="P440" i="9"/>
  <c r="F96" i="12" s="1"/>
  <c r="O440" i="9"/>
  <c r="N440" i="9"/>
  <c r="M440" i="9"/>
  <c r="L440" i="9"/>
  <c r="K440" i="9"/>
  <c r="J440" i="9"/>
  <c r="P439" i="9"/>
  <c r="F95" i="12" s="1"/>
  <c r="O439" i="9"/>
  <c r="N439" i="9"/>
  <c r="M439" i="9"/>
  <c r="L439" i="9"/>
  <c r="K439" i="9"/>
  <c r="J439" i="9"/>
  <c r="P438" i="9"/>
  <c r="F94" i="12" s="1"/>
  <c r="O438" i="9"/>
  <c r="N438" i="9"/>
  <c r="M438" i="9"/>
  <c r="L438" i="9"/>
  <c r="K438" i="9"/>
  <c r="J438" i="9"/>
  <c r="P437" i="9"/>
  <c r="F93" i="12" s="1"/>
  <c r="O437" i="9"/>
  <c r="N437" i="9"/>
  <c r="M437" i="9"/>
  <c r="L437" i="9"/>
  <c r="K437" i="9"/>
  <c r="J437" i="9"/>
  <c r="P436" i="9"/>
  <c r="F92" i="12" s="1"/>
  <c r="O436" i="9"/>
  <c r="N436" i="9"/>
  <c r="M436" i="9"/>
  <c r="L436" i="9"/>
  <c r="K436" i="9"/>
  <c r="J436" i="9"/>
  <c r="O435" i="9"/>
  <c r="N435" i="9"/>
  <c r="M435" i="9"/>
  <c r="L435" i="9"/>
  <c r="K435" i="9"/>
  <c r="J435" i="9"/>
  <c r="P434" i="9"/>
  <c r="F90" i="12" s="1"/>
  <c r="O434" i="9"/>
  <c r="N434" i="9"/>
  <c r="M434" i="9"/>
  <c r="L434" i="9"/>
  <c r="K434" i="9"/>
  <c r="J434" i="9"/>
  <c r="P433" i="9"/>
  <c r="F89" i="12" s="1"/>
  <c r="O433" i="9"/>
  <c r="N433" i="9"/>
  <c r="M433" i="9"/>
  <c r="L433" i="9"/>
  <c r="K433" i="9"/>
  <c r="J433" i="9"/>
  <c r="P432" i="9"/>
  <c r="F88" i="12" s="1"/>
  <c r="O432" i="9"/>
  <c r="N432" i="9"/>
  <c r="M432" i="9"/>
  <c r="L432" i="9"/>
  <c r="K432" i="9"/>
  <c r="J432" i="9"/>
  <c r="O431" i="9"/>
  <c r="N431" i="9"/>
  <c r="M431" i="9"/>
  <c r="L431" i="9"/>
  <c r="K431" i="9"/>
  <c r="J431" i="9"/>
  <c r="P430" i="9"/>
  <c r="F86" i="12" s="1"/>
  <c r="O430" i="9"/>
  <c r="N430" i="9"/>
  <c r="M430" i="9"/>
  <c r="L430" i="9"/>
  <c r="K430" i="9"/>
  <c r="J430" i="9"/>
  <c r="O429" i="9"/>
  <c r="N429" i="9"/>
  <c r="M429" i="9"/>
  <c r="L429" i="9"/>
  <c r="K429" i="9"/>
  <c r="J429" i="9"/>
  <c r="P428" i="9"/>
  <c r="F84" i="12" s="1"/>
  <c r="O428" i="9"/>
  <c r="N428" i="9"/>
  <c r="M428" i="9"/>
  <c r="L428" i="9"/>
  <c r="K428" i="9"/>
  <c r="J428" i="9"/>
  <c r="O427" i="9"/>
  <c r="N427" i="9"/>
  <c r="M427" i="9"/>
  <c r="L427" i="9"/>
  <c r="K427" i="9"/>
  <c r="J427" i="9"/>
  <c r="P425" i="9"/>
  <c r="F81" i="12" s="1"/>
  <c r="O425" i="9"/>
  <c r="N425" i="9"/>
  <c r="M425" i="9"/>
  <c r="L425" i="9"/>
  <c r="K425" i="9"/>
  <c r="J425" i="9"/>
  <c r="P424" i="9"/>
  <c r="F80" i="12" s="1"/>
  <c r="O424" i="9"/>
  <c r="N424" i="9"/>
  <c r="M424" i="9"/>
  <c r="L424" i="9"/>
  <c r="K424" i="9"/>
  <c r="J424" i="9"/>
  <c r="P423" i="9"/>
  <c r="F79" i="12" s="1"/>
  <c r="O423" i="9"/>
  <c r="N423" i="9"/>
  <c r="M423" i="9"/>
  <c r="L423" i="9"/>
  <c r="K423" i="9"/>
  <c r="J423" i="9"/>
  <c r="P422" i="9"/>
  <c r="F78" i="12" s="1"/>
  <c r="O422" i="9"/>
  <c r="N422" i="9"/>
  <c r="M422" i="9"/>
  <c r="L422" i="9"/>
  <c r="K422" i="9"/>
  <c r="J422" i="9"/>
  <c r="P421" i="9"/>
  <c r="F77" i="12" s="1"/>
  <c r="O421" i="9"/>
  <c r="N421" i="9"/>
  <c r="M421" i="9"/>
  <c r="L421" i="9"/>
  <c r="K421" i="9"/>
  <c r="J421" i="9"/>
  <c r="O420" i="9"/>
  <c r="N420" i="9"/>
  <c r="M420" i="9"/>
  <c r="L420" i="9"/>
  <c r="K420" i="9"/>
  <c r="J420" i="9"/>
  <c r="F103" i="12"/>
  <c r="N403" i="14"/>
  <c r="H139" i="12" s="1"/>
  <c r="M403" i="14"/>
  <c r="L403" i="14"/>
  <c r="K403" i="14"/>
  <c r="N402" i="14"/>
  <c r="H138" i="12" s="1"/>
  <c r="M402" i="14"/>
  <c r="L402" i="14"/>
  <c r="K402" i="14"/>
  <c r="N401" i="14"/>
  <c r="H137" i="12" s="1"/>
  <c r="M401" i="14"/>
  <c r="L401" i="14"/>
  <c r="K401" i="14"/>
  <c r="M400" i="14"/>
  <c r="L400" i="14"/>
  <c r="K400" i="14"/>
  <c r="N399" i="14"/>
  <c r="H135" i="12" s="1"/>
  <c r="M399" i="14"/>
  <c r="L399" i="14"/>
  <c r="K399" i="14"/>
  <c r="N398" i="14"/>
  <c r="H134" i="12" s="1"/>
  <c r="M398" i="14"/>
  <c r="L398" i="14"/>
  <c r="K398" i="14"/>
  <c r="N397" i="14"/>
  <c r="H133" i="12" s="1"/>
  <c r="M397" i="14"/>
  <c r="L397" i="14"/>
  <c r="K397" i="14"/>
  <c r="N396" i="14"/>
  <c r="H132" i="12" s="1"/>
  <c r="M396" i="14"/>
  <c r="L396" i="14"/>
  <c r="K396" i="14"/>
  <c r="N395" i="14"/>
  <c r="H131" i="12" s="1"/>
  <c r="M395" i="14"/>
  <c r="L395" i="14"/>
  <c r="K395" i="14"/>
  <c r="N394" i="14"/>
  <c r="H130" i="12" s="1"/>
  <c r="M394" i="14"/>
  <c r="L394" i="14"/>
  <c r="K394" i="14"/>
  <c r="N393" i="14"/>
  <c r="H129" i="12" s="1"/>
  <c r="M393" i="14"/>
  <c r="L393" i="14"/>
  <c r="K393" i="14"/>
  <c r="N392" i="14"/>
  <c r="H128" i="12" s="1"/>
  <c r="M392" i="14"/>
  <c r="L392" i="14"/>
  <c r="K392" i="14"/>
  <c r="N391" i="14"/>
  <c r="H127" i="12" s="1"/>
  <c r="M391" i="14"/>
  <c r="L391" i="14"/>
  <c r="K391" i="14"/>
  <c r="N389" i="14"/>
  <c r="H125" i="12" s="1"/>
  <c r="M389" i="14"/>
  <c r="L389" i="14"/>
  <c r="K389" i="14"/>
  <c r="N388" i="14"/>
  <c r="H124" i="12" s="1"/>
  <c r="M388" i="14"/>
  <c r="L388" i="14"/>
  <c r="K388" i="14"/>
  <c r="N387" i="14"/>
  <c r="H123" i="12" s="1"/>
  <c r="M387" i="14"/>
  <c r="L387" i="14"/>
  <c r="K387" i="14"/>
  <c r="N386" i="14"/>
  <c r="H122" i="12" s="1"/>
  <c r="M386" i="14"/>
  <c r="L386" i="14"/>
  <c r="K386" i="14"/>
  <c r="N385" i="14"/>
  <c r="H121" i="12" s="1"/>
  <c r="M385" i="14"/>
  <c r="L385" i="14"/>
  <c r="K385" i="14"/>
  <c r="N384" i="14"/>
  <c r="H120" i="12" s="1"/>
  <c r="M384" i="14"/>
  <c r="L384" i="14"/>
  <c r="K384" i="14"/>
  <c r="N382" i="14"/>
  <c r="H118" i="12" s="1"/>
  <c r="M382" i="14"/>
  <c r="L382" i="14"/>
  <c r="K382" i="14"/>
  <c r="N381" i="14"/>
  <c r="H117" i="12" s="1"/>
  <c r="M381" i="14"/>
  <c r="L381" i="14"/>
  <c r="K381" i="14"/>
  <c r="N380" i="14"/>
  <c r="H116" i="12" s="1"/>
  <c r="M380" i="14"/>
  <c r="L380" i="14"/>
  <c r="K380" i="14"/>
  <c r="N379" i="14"/>
  <c r="H115" i="12" s="1"/>
  <c r="M379" i="14"/>
  <c r="L379" i="14"/>
  <c r="K379" i="14"/>
  <c r="N378" i="14"/>
  <c r="H114" i="12" s="1"/>
  <c r="M378" i="14"/>
  <c r="L378" i="14"/>
  <c r="K378" i="14"/>
  <c r="N377" i="14"/>
  <c r="H113" i="12" s="1"/>
  <c r="M377" i="14"/>
  <c r="L377" i="14"/>
  <c r="K377" i="14"/>
  <c r="N376" i="14"/>
  <c r="H112" i="12" s="1"/>
  <c r="M376" i="14"/>
  <c r="L376" i="14"/>
  <c r="K376" i="14"/>
  <c r="N375" i="14"/>
  <c r="H111" i="12" s="1"/>
  <c r="M375" i="14"/>
  <c r="L375" i="14"/>
  <c r="K375" i="14"/>
  <c r="N374" i="14"/>
  <c r="H110" i="12" s="1"/>
  <c r="M374" i="14"/>
  <c r="L374" i="14"/>
  <c r="K374" i="14"/>
  <c r="N373" i="14"/>
  <c r="H109" i="12" s="1"/>
  <c r="M373" i="14"/>
  <c r="L373" i="14"/>
  <c r="K373" i="14"/>
  <c r="N372" i="14"/>
  <c r="H108" i="12" s="1"/>
  <c r="M372" i="14"/>
  <c r="L372" i="14"/>
  <c r="K372" i="14"/>
  <c r="N371" i="14"/>
  <c r="H107" i="12" s="1"/>
  <c r="M371" i="14"/>
  <c r="L371" i="14"/>
  <c r="K371" i="14"/>
  <c r="N370" i="14"/>
  <c r="H106" i="12" s="1"/>
  <c r="M370" i="14"/>
  <c r="L370" i="14"/>
  <c r="K370" i="14"/>
  <c r="N369" i="14"/>
  <c r="H105" i="12" s="1"/>
  <c r="M369" i="14"/>
  <c r="L369" i="14"/>
  <c r="K369" i="14"/>
  <c r="N368" i="14"/>
  <c r="H104" i="12" s="1"/>
  <c r="M368" i="14"/>
  <c r="L368" i="14"/>
  <c r="K368" i="14"/>
  <c r="N367" i="14"/>
  <c r="H103" i="12" s="1"/>
  <c r="M367" i="14"/>
  <c r="L367" i="14"/>
  <c r="K367" i="14"/>
  <c r="N366" i="14"/>
  <c r="H102" i="12" s="1"/>
  <c r="M366" i="14"/>
  <c r="L366" i="14"/>
  <c r="K366" i="14"/>
  <c r="N365" i="14"/>
  <c r="H101" i="12" s="1"/>
  <c r="M365" i="14"/>
  <c r="L365" i="14"/>
  <c r="K365" i="14"/>
  <c r="N364" i="14"/>
  <c r="H100" i="12" s="1"/>
  <c r="M364" i="14"/>
  <c r="L364" i="14"/>
  <c r="K364" i="14"/>
  <c r="N363" i="14"/>
  <c r="H99" i="12" s="1"/>
  <c r="M363" i="14"/>
  <c r="L363" i="14"/>
  <c r="K363" i="14"/>
  <c r="N362" i="14"/>
  <c r="H98" i="12" s="1"/>
  <c r="M362" i="14"/>
  <c r="L362" i="14"/>
  <c r="K362" i="14"/>
  <c r="N361" i="14"/>
  <c r="H97" i="12" s="1"/>
  <c r="M361" i="14"/>
  <c r="L361" i="14"/>
  <c r="K361" i="14"/>
  <c r="N360" i="14"/>
  <c r="H96" i="12" s="1"/>
  <c r="M360" i="14"/>
  <c r="L360" i="14"/>
  <c r="K360" i="14"/>
  <c r="N359" i="14"/>
  <c r="H95" i="12" s="1"/>
  <c r="M359" i="14"/>
  <c r="L359" i="14"/>
  <c r="K359" i="14"/>
  <c r="N358" i="14"/>
  <c r="H94" i="12" s="1"/>
  <c r="M358" i="14"/>
  <c r="L358" i="14"/>
  <c r="K358" i="14"/>
  <c r="N357" i="14"/>
  <c r="H93" i="12" s="1"/>
  <c r="M357" i="14"/>
  <c r="L357" i="14"/>
  <c r="K357" i="14"/>
  <c r="N356" i="14"/>
  <c r="H92" i="12" s="1"/>
  <c r="M356" i="14"/>
  <c r="L356" i="14"/>
  <c r="K356" i="14"/>
  <c r="N355" i="14"/>
  <c r="H91" i="12" s="1"/>
  <c r="M355" i="14"/>
  <c r="L355" i="14"/>
  <c r="K355" i="14"/>
  <c r="N354" i="14"/>
  <c r="H90" i="12" s="1"/>
  <c r="M354" i="14"/>
  <c r="L354" i="14"/>
  <c r="K354" i="14"/>
  <c r="N353" i="14"/>
  <c r="H89" i="12" s="1"/>
  <c r="M353" i="14"/>
  <c r="L353" i="14"/>
  <c r="K353" i="14"/>
  <c r="N352" i="14"/>
  <c r="H88" i="12" s="1"/>
  <c r="M352" i="14"/>
  <c r="L352" i="14"/>
  <c r="K352" i="14"/>
  <c r="N351" i="14"/>
  <c r="H87" i="12" s="1"/>
  <c r="M351" i="14"/>
  <c r="L351" i="14"/>
  <c r="K351" i="14"/>
  <c r="N350" i="14"/>
  <c r="H86" i="12" s="1"/>
  <c r="M350" i="14"/>
  <c r="L350" i="14"/>
  <c r="K350" i="14"/>
  <c r="N349" i="14"/>
  <c r="H85" i="12" s="1"/>
  <c r="M349" i="14"/>
  <c r="L349" i="14"/>
  <c r="K349" i="14"/>
  <c r="N348" i="14"/>
  <c r="H84" i="12" s="1"/>
  <c r="M348" i="14"/>
  <c r="L348" i="14"/>
  <c r="K348" i="14"/>
  <c r="N347" i="14"/>
  <c r="H83" i="12" s="1"/>
  <c r="M347" i="14"/>
  <c r="L347" i="14"/>
  <c r="K347" i="14"/>
  <c r="N345" i="14"/>
  <c r="H81" i="12" s="1"/>
  <c r="M345" i="14"/>
  <c r="L345" i="14"/>
  <c r="K345" i="14"/>
  <c r="N344" i="14"/>
  <c r="H80" i="12" s="1"/>
  <c r="M344" i="14"/>
  <c r="L344" i="14"/>
  <c r="K344" i="14"/>
  <c r="N343" i="14"/>
  <c r="H79" i="12" s="1"/>
  <c r="M343" i="14"/>
  <c r="L343" i="14"/>
  <c r="K343" i="14"/>
  <c r="N342" i="14"/>
  <c r="H78" i="12" s="1"/>
  <c r="M342" i="14"/>
  <c r="L342" i="14"/>
  <c r="K342" i="14"/>
  <c r="N341" i="14"/>
  <c r="H77" i="12" s="1"/>
  <c r="M341" i="14"/>
  <c r="L341" i="14"/>
  <c r="K341" i="14"/>
  <c r="M340" i="14"/>
  <c r="L340" i="14"/>
  <c r="K340" i="14"/>
  <c r="N746" i="8"/>
  <c r="G139" i="12" s="1"/>
  <c r="M746" i="8"/>
  <c r="L746" i="8"/>
  <c r="K746" i="8"/>
  <c r="N745" i="8"/>
  <c r="G138" i="12" s="1"/>
  <c r="M745" i="8"/>
  <c r="L745" i="8"/>
  <c r="K745" i="8"/>
  <c r="N744" i="8"/>
  <c r="G137" i="12" s="1"/>
  <c r="M744" i="8"/>
  <c r="L744" i="8"/>
  <c r="K744" i="8"/>
  <c r="M743" i="8"/>
  <c r="L743" i="8"/>
  <c r="K743" i="8"/>
  <c r="N742" i="8"/>
  <c r="G135" i="12" s="1"/>
  <c r="M742" i="8"/>
  <c r="L742" i="8"/>
  <c r="K742" i="8"/>
  <c r="N741" i="8"/>
  <c r="G134" i="12" s="1"/>
  <c r="M741" i="8"/>
  <c r="L741" i="8"/>
  <c r="K741" i="8"/>
  <c r="N740" i="8"/>
  <c r="G133" i="12" s="1"/>
  <c r="M740" i="8"/>
  <c r="L740" i="8"/>
  <c r="K740" i="8"/>
  <c r="N739" i="8"/>
  <c r="G132" i="12" s="1"/>
  <c r="M739" i="8"/>
  <c r="L739" i="8"/>
  <c r="K739" i="8"/>
  <c r="N738" i="8"/>
  <c r="G131" i="12" s="1"/>
  <c r="M738" i="8"/>
  <c r="L738" i="8"/>
  <c r="K738" i="8"/>
  <c r="N737" i="8"/>
  <c r="G130" i="12" s="1"/>
  <c r="M737" i="8"/>
  <c r="L737" i="8"/>
  <c r="K737" i="8"/>
  <c r="N736" i="8"/>
  <c r="G129" i="12" s="1"/>
  <c r="M736" i="8"/>
  <c r="L736" i="8"/>
  <c r="K736" i="8"/>
  <c r="N735" i="8"/>
  <c r="G128" i="12" s="1"/>
  <c r="M735" i="8"/>
  <c r="L735" i="8"/>
  <c r="K735" i="8"/>
  <c r="N734" i="8"/>
  <c r="G127" i="12" s="1"/>
  <c r="M734" i="8"/>
  <c r="L734" i="8"/>
  <c r="K734" i="8"/>
  <c r="N732" i="8"/>
  <c r="G125" i="12" s="1"/>
  <c r="M732" i="8"/>
  <c r="L732" i="8"/>
  <c r="K732" i="8"/>
  <c r="N731" i="8"/>
  <c r="G124" i="12" s="1"/>
  <c r="M731" i="8"/>
  <c r="L731" i="8"/>
  <c r="K731" i="8"/>
  <c r="N730" i="8"/>
  <c r="G123" i="12" s="1"/>
  <c r="M730" i="8"/>
  <c r="L730" i="8"/>
  <c r="K730" i="8"/>
  <c r="N729" i="8"/>
  <c r="G122" i="12" s="1"/>
  <c r="M729" i="8"/>
  <c r="L729" i="8"/>
  <c r="K729" i="8"/>
  <c r="N728" i="8"/>
  <c r="G121" i="12" s="1"/>
  <c r="M728" i="8"/>
  <c r="L728" i="8"/>
  <c r="K728" i="8"/>
  <c r="N727" i="8"/>
  <c r="G120" i="12" s="1"/>
  <c r="M727" i="8"/>
  <c r="L727" i="8"/>
  <c r="K727" i="8"/>
  <c r="N725" i="8"/>
  <c r="G118" i="12" s="1"/>
  <c r="M725" i="8"/>
  <c r="L725" i="8"/>
  <c r="K725" i="8"/>
  <c r="N724" i="8"/>
  <c r="G117" i="12" s="1"/>
  <c r="M724" i="8"/>
  <c r="L724" i="8"/>
  <c r="K724" i="8"/>
  <c r="N723" i="8"/>
  <c r="G116" i="12" s="1"/>
  <c r="M723" i="8"/>
  <c r="L723" i="8"/>
  <c r="K723" i="8"/>
  <c r="N722" i="8"/>
  <c r="G115" i="12" s="1"/>
  <c r="M722" i="8"/>
  <c r="L722" i="8"/>
  <c r="K722" i="8"/>
  <c r="N721" i="8"/>
  <c r="G114" i="12" s="1"/>
  <c r="M721" i="8"/>
  <c r="L721" i="8"/>
  <c r="K721" i="8"/>
  <c r="N720" i="8"/>
  <c r="G113" i="12" s="1"/>
  <c r="M720" i="8"/>
  <c r="L720" i="8"/>
  <c r="K720" i="8"/>
  <c r="N719" i="8"/>
  <c r="G112" i="12" s="1"/>
  <c r="M719" i="8"/>
  <c r="L719" i="8"/>
  <c r="K719" i="8"/>
  <c r="N718" i="8"/>
  <c r="G111" i="12" s="1"/>
  <c r="M718" i="8"/>
  <c r="L718" i="8"/>
  <c r="K718" i="8"/>
  <c r="N717" i="8"/>
  <c r="G110" i="12" s="1"/>
  <c r="M717" i="8"/>
  <c r="L717" i="8"/>
  <c r="K717" i="8"/>
  <c r="N716" i="8"/>
  <c r="G109" i="12" s="1"/>
  <c r="M716" i="8"/>
  <c r="L716" i="8"/>
  <c r="K716" i="8"/>
  <c r="N715" i="8"/>
  <c r="G108" i="12" s="1"/>
  <c r="M715" i="8"/>
  <c r="L715" i="8"/>
  <c r="K715" i="8"/>
  <c r="N714" i="8"/>
  <c r="G107" i="12" s="1"/>
  <c r="M714" i="8"/>
  <c r="L714" i="8"/>
  <c r="K714" i="8"/>
  <c r="N713" i="8"/>
  <c r="G106" i="12" s="1"/>
  <c r="M713" i="8"/>
  <c r="L713" i="8"/>
  <c r="K713" i="8"/>
  <c r="N712" i="8"/>
  <c r="G105" i="12" s="1"/>
  <c r="M712" i="8"/>
  <c r="L712" i="8"/>
  <c r="K712" i="8"/>
  <c r="N711" i="8"/>
  <c r="G104" i="12" s="1"/>
  <c r="M711" i="8"/>
  <c r="L711" i="8"/>
  <c r="K711" i="8"/>
  <c r="N710" i="8"/>
  <c r="G103" i="12" s="1"/>
  <c r="M710" i="8"/>
  <c r="L710" i="8"/>
  <c r="K710" i="8"/>
  <c r="N709" i="8"/>
  <c r="G102" i="12" s="1"/>
  <c r="M709" i="8"/>
  <c r="L709" i="8"/>
  <c r="K709" i="8"/>
  <c r="N708" i="8"/>
  <c r="G101" i="12" s="1"/>
  <c r="M708" i="8"/>
  <c r="L708" i="8"/>
  <c r="K708" i="8"/>
  <c r="N707" i="8"/>
  <c r="G100" i="12" s="1"/>
  <c r="M707" i="8"/>
  <c r="L707" i="8"/>
  <c r="K707" i="8"/>
  <c r="N706" i="8"/>
  <c r="G99" i="12" s="1"/>
  <c r="M706" i="8"/>
  <c r="L706" i="8"/>
  <c r="K706" i="8"/>
  <c r="N705" i="8"/>
  <c r="G98" i="12" s="1"/>
  <c r="M705" i="8"/>
  <c r="L705" i="8"/>
  <c r="K705" i="8"/>
  <c r="N704" i="8"/>
  <c r="G97" i="12" s="1"/>
  <c r="M704" i="8"/>
  <c r="L704" i="8"/>
  <c r="K704" i="8"/>
  <c r="N703" i="8"/>
  <c r="G96" i="12" s="1"/>
  <c r="M703" i="8"/>
  <c r="L703" i="8"/>
  <c r="K703" i="8"/>
  <c r="N702" i="8"/>
  <c r="G95" i="12" s="1"/>
  <c r="M702" i="8"/>
  <c r="L702" i="8"/>
  <c r="K702" i="8"/>
  <c r="N701" i="8"/>
  <c r="G94" i="12" s="1"/>
  <c r="M701" i="8"/>
  <c r="L701" i="8"/>
  <c r="K701" i="8"/>
  <c r="N700" i="8"/>
  <c r="G93" i="12" s="1"/>
  <c r="M700" i="8"/>
  <c r="L700" i="8"/>
  <c r="K700" i="8"/>
  <c r="N699" i="8"/>
  <c r="G92" i="12" s="1"/>
  <c r="M699" i="8"/>
  <c r="L699" i="8"/>
  <c r="K699" i="8"/>
  <c r="N698" i="8"/>
  <c r="G91" i="12" s="1"/>
  <c r="M698" i="8"/>
  <c r="L698" i="8"/>
  <c r="K698" i="8"/>
  <c r="N697" i="8"/>
  <c r="G90" i="12" s="1"/>
  <c r="M697" i="8"/>
  <c r="L697" i="8"/>
  <c r="K697" i="8"/>
  <c r="N696" i="8"/>
  <c r="G89" i="12" s="1"/>
  <c r="M696" i="8"/>
  <c r="L696" i="8"/>
  <c r="K696" i="8"/>
  <c r="N695" i="8"/>
  <c r="G88" i="12" s="1"/>
  <c r="M695" i="8"/>
  <c r="L695" i="8"/>
  <c r="K695" i="8"/>
  <c r="N694" i="8"/>
  <c r="G87" i="12" s="1"/>
  <c r="M694" i="8"/>
  <c r="L694" i="8"/>
  <c r="K694" i="8"/>
  <c r="N693" i="8"/>
  <c r="G86" i="12" s="1"/>
  <c r="M693" i="8"/>
  <c r="L693" i="8"/>
  <c r="K693" i="8"/>
  <c r="N692" i="8"/>
  <c r="G85" i="12" s="1"/>
  <c r="M692" i="8"/>
  <c r="L692" i="8"/>
  <c r="K692" i="8"/>
  <c r="N691" i="8"/>
  <c r="G84" i="12" s="1"/>
  <c r="M691" i="8"/>
  <c r="L691" i="8"/>
  <c r="K691" i="8"/>
  <c r="N690" i="8"/>
  <c r="G83" i="12" s="1"/>
  <c r="M690" i="8"/>
  <c r="L690" i="8"/>
  <c r="K690" i="8"/>
  <c r="N688" i="8"/>
  <c r="G81" i="12" s="1"/>
  <c r="M688" i="8"/>
  <c r="L688" i="8"/>
  <c r="K688" i="8"/>
  <c r="N687" i="8"/>
  <c r="G80" i="12" s="1"/>
  <c r="M687" i="8"/>
  <c r="L687" i="8"/>
  <c r="K687" i="8"/>
  <c r="N686" i="8"/>
  <c r="G79" i="12" s="1"/>
  <c r="M686" i="8"/>
  <c r="L686" i="8"/>
  <c r="K686" i="8"/>
  <c r="N685" i="8"/>
  <c r="G78" i="12" s="1"/>
  <c r="M685" i="8"/>
  <c r="L685" i="8"/>
  <c r="K685" i="8"/>
  <c r="N684" i="8"/>
  <c r="G77" i="12" s="1"/>
  <c r="M684" i="8"/>
  <c r="L684" i="8"/>
  <c r="K684" i="8"/>
  <c r="N683" i="8"/>
  <c r="M683" i="8"/>
  <c r="L683" i="8"/>
  <c r="K683" i="8"/>
  <c r="C139" i="12"/>
  <c r="M139" i="12"/>
  <c r="C137" i="12"/>
  <c r="M137" i="12"/>
  <c r="C135" i="12"/>
  <c r="M135" i="12"/>
  <c r="C134" i="12"/>
  <c r="M134" i="12"/>
  <c r="C132" i="12"/>
  <c r="C131" i="12"/>
  <c r="M131" i="12"/>
  <c r="C129" i="12"/>
  <c r="M129" i="12"/>
  <c r="C128" i="12"/>
  <c r="M128" i="12"/>
  <c r="C127" i="12"/>
  <c r="M127" i="12"/>
  <c r="C125" i="12"/>
  <c r="M125" i="12"/>
  <c r="C123" i="12"/>
  <c r="M123" i="12"/>
  <c r="C122" i="12"/>
  <c r="M122" i="12"/>
  <c r="C118" i="12"/>
  <c r="M118" i="12"/>
  <c r="C116" i="12"/>
  <c r="M116" i="12"/>
  <c r="C115" i="12"/>
  <c r="M115" i="12"/>
  <c r="C113" i="12"/>
  <c r="M113" i="12"/>
  <c r="C112" i="12"/>
  <c r="M112" i="12"/>
  <c r="C109" i="12"/>
  <c r="M109" i="12"/>
  <c r="C108" i="12"/>
  <c r="M108" i="12"/>
  <c r="C107" i="12"/>
  <c r="M107" i="12"/>
  <c r="C106" i="12"/>
  <c r="M106" i="12"/>
  <c r="C104" i="12"/>
  <c r="M104" i="12"/>
  <c r="C103" i="12"/>
  <c r="M103" i="12"/>
  <c r="C102" i="12"/>
  <c r="M102" i="12"/>
  <c r="C101" i="12"/>
  <c r="M101" i="12"/>
  <c r="C99" i="12"/>
  <c r="M99" i="12"/>
  <c r="C98" i="12"/>
  <c r="M98" i="12"/>
  <c r="C95" i="12"/>
  <c r="M95" i="12"/>
  <c r="C94" i="12"/>
  <c r="M94" i="12"/>
  <c r="C93" i="12"/>
  <c r="M93" i="12"/>
  <c r="C90" i="12"/>
  <c r="M90" i="12"/>
  <c r="C89" i="12"/>
  <c r="M89" i="12"/>
  <c r="C88" i="12"/>
  <c r="M88" i="12"/>
  <c r="C87" i="12"/>
  <c r="M87" i="12"/>
  <c r="C85" i="12"/>
  <c r="M85" i="12"/>
  <c r="C81" i="12"/>
  <c r="M81" i="12"/>
  <c r="C79" i="12"/>
  <c r="M79" i="12"/>
  <c r="C78" i="12"/>
  <c r="M78" i="12"/>
  <c r="C77" i="12"/>
  <c r="M77" i="12"/>
  <c r="M551" i="3" l="1"/>
  <c r="M558" i="3"/>
  <c r="M562" i="3"/>
  <c r="M566" i="3"/>
  <c r="M570" i="3"/>
  <c r="M574" i="3"/>
  <c r="M578" i="3"/>
  <c r="M582" i="3"/>
  <c r="M586" i="3"/>
  <c r="M590" i="3"/>
  <c r="M595" i="3"/>
  <c r="M600" i="3"/>
  <c r="M604" i="3"/>
  <c r="M606" i="3"/>
  <c r="M610" i="3"/>
  <c r="K548" i="3"/>
  <c r="K550" i="3"/>
  <c r="K552" i="3"/>
  <c r="K555" i="3"/>
  <c r="K557" i="3"/>
  <c r="K559" i="3"/>
  <c r="K561" i="3"/>
  <c r="K563" i="3"/>
  <c r="K565" i="3"/>
  <c r="K567" i="3"/>
  <c r="K569" i="3"/>
  <c r="K571" i="3"/>
  <c r="K573" i="3"/>
  <c r="K575" i="3"/>
  <c r="K577" i="3"/>
  <c r="K579" i="3"/>
  <c r="K581" i="3"/>
  <c r="K583" i="3"/>
  <c r="K585" i="3"/>
  <c r="K587" i="3"/>
  <c r="K589" i="3"/>
  <c r="K592" i="3"/>
  <c r="K594" i="3"/>
  <c r="K596" i="3"/>
  <c r="K599" i="3"/>
  <c r="K601" i="3"/>
  <c r="K603" i="3"/>
  <c r="K605" i="3"/>
  <c r="K607" i="3"/>
  <c r="K609" i="3"/>
  <c r="L548" i="3"/>
  <c r="L550" i="3"/>
  <c r="L552" i="3"/>
  <c r="L555" i="3"/>
  <c r="L557" i="3"/>
  <c r="L559" i="3"/>
  <c r="L561" i="3"/>
  <c r="L563" i="3"/>
  <c r="L565" i="3"/>
  <c r="L567" i="3"/>
  <c r="L569" i="3"/>
  <c r="L571" i="3"/>
  <c r="L573" i="3"/>
  <c r="L575" i="3"/>
  <c r="L577" i="3"/>
  <c r="L579" i="3"/>
  <c r="L581" i="3"/>
  <c r="L583" i="3"/>
  <c r="L585" i="3"/>
  <c r="L587" i="3"/>
  <c r="L589" i="3"/>
  <c r="L592" i="3"/>
  <c r="L594" i="3"/>
  <c r="L596" i="3"/>
  <c r="L599" i="3"/>
  <c r="L601" i="3"/>
  <c r="L603" i="3"/>
  <c r="L607" i="3"/>
  <c r="L609" i="3"/>
  <c r="M549" i="3"/>
  <c r="M553" i="3"/>
  <c r="M556" i="3"/>
  <c r="M560" i="3"/>
  <c r="M564" i="3"/>
  <c r="M568" i="3"/>
  <c r="M572" i="3"/>
  <c r="M576" i="3"/>
  <c r="M580" i="3"/>
  <c r="M584" i="3"/>
  <c r="M588" i="3"/>
  <c r="M593" i="3"/>
  <c r="M597" i="3"/>
  <c r="M602" i="3"/>
  <c r="M608" i="3"/>
  <c r="I139" i="12"/>
  <c r="N556" i="3"/>
  <c r="D84" i="12" s="1"/>
  <c r="N564" i="3"/>
  <c r="D92" i="12" s="1"/>
  <c r="N572" i="3"/>
  <c r="D100" i="12" s="1"/>
  <c r="N580" i="3"/>
  <c r="D108" i="12" s="1"/>
  <c r="N588" i="3"/>
  <c r="D116" i="12" s="1"/>
  <c r="N597" i="3"/>
  <c r="D125" i="12" s="1"/>
  <c r="N606" i="3"/>
  <c r="D134" i="12" s="1"/>
  <c r="N610" i="3"/>
  <c r="D138" i="12" s="1"/>
  <c r="O139" i="12"/>
  <c r="L606" i="3"/>
  <c r="L605" i="3"/>
  <c r="L578" i="3"/>
  <c r="L611" i="3"/>
  <c r="K611" i="3"/>
  <c r="G76" i="12"/>
  <c r="I122" i="12"/>
  <c r="O122" i="12" s="1"/>
  <c r="I105" i="12"/>
  <c r="I89" i="12"/>
  <c r="Z89" i="12" s="1"/>
  <c r="N551" i="3"/>
  <c r="D79" i="12" s="1"/>
  <c r="O79" i="12" s="1"/>
  <c r="N560" i="3"/>
  <c r="D88" i="12" s="1"/>
  <c r="O88" i="12" s="1"/>
  <c r="N568" i="3"/>
  <c r="D96" i="12" s="1"/>
  <c r="N576" i="3"/>
  <c r="D104" i="12" s="1"/>
  <c r="Z104" i="12" s="1"/>
  <c r="N584" i="3"/>
  <c r="D112" i="12" s="1"/>
  <c r="Z112" i="12" s="1"/>
  <c r="N593" i="3"/>
  <c r="D121" i="12" s="1"/>
  <c r="N603" i="3"/>
  <c r="D131" i="12" s="1"/>
  <c r="O131" i="12" s="1"/>
  <c r="I138" i="12"/>
  <c r="I80" i="12"/>
  <c r="I97" i="12"/>
  <c r="I113" i="12"/>
  <c r="N602" i="3"/>
  <c r="D130" i="12" s="1"/>
  <c r="I76" i="12"/>
  <c r="I85" i="12"/>
  <c r="I93" i="12"/>
  <c r="O93" i="12" s="1"/>
  <c r="I101" i="12"/>
  <c r="Z101" i="12" s="1"/>
  <c r="I109" i="12"/>
  <c r="Z109" i="12" s="1"/>
  <c r="I117" i="12"/>
  <c r="I127" i="12"/>
  <c r="O127" i="12" s="1"/>
  <c r="I135" i="12"/>
  <c r="I84" i="12"/>
  <c r="I92" i="12"/>
  <c r="I100" i="12"/>
  <c r="I108" i="12"/>
  <c r="Z108" i="12" s="1"/>
  <c r="I116" i="12"/>
  <c r="I125" i="12"/>
  <c r="I134" i="12"/>
  <c r="O134" i="12" s="1"/>
  <c r="I78" i="12"/>
  <c r="O78" i="12" s="1"/>
  <c r="I83" i="12"/>
  <c r="I87" i="12"/>
  <c r="I91" i="12"/>
  <c r="I95" i="12"/>
  <c r="O95" i="12" s="1"/>
  <c r="I99" i="12"/>
  <c r="O99" i="12" s="1"/>
  <c r="I103" i="12"/>
  <c r="O103" i="12" s="1"/>
  <c r="I107" i="12"/>
  <c r="Z107" i="12" s="1"/>
  <c r="I111" i="12"/>
  <c r="I115" i="12"/>
  <c r="Z115" i="12" s="1"/>
  <c r="I120" i="12"/>
  <c r="I124" i="12"/>
  <c r="I129" i="12"/>
  <c r="Z129" i="12" s="1"/>
  <c r="I133" i="12"/>
  <c r="I137" i="12"/>
  <c r="N549" i="3"/>
  <c r="D77" i="12" s="1"/>
  <c r="O77" i="12" s="1"/>
  <c r="N553" i="3"/>
  <c r="D81" i="12" s="1"/>
  <c r="O81" i="12" s="1"/>
  <c r="N558" i="3"/>
  <c r="D86" i="12" s="1"/>
  <c r="N562" i="3"/>
  <c r="D90" i="12" s="1"/>
  <c r="Z90" i="12" s="1"/>
  <c r="N566" i="3"/>
  <c r="D94" i="12" s="1"/>
  <c r="O94" i="12" s="1"/>
  <c r="N570" i="3"/>
  <c r="D98" i="12" s="1"/>
  <c r="Z98" i="12" s="1"/>
  <c r="N574" i="3"/>
  <c r="D102" i="12" s="1"/>
  <c r="Z102" i="12" s="1"/>
  <c r="N578" i="3"/>
  <c r="D106" i="12" s="1"/>
  <c r="N582" i="3"/>
  <c r="D110" i="12" s="1"/>
  <c r="N586" i="3"/>
  <c r="D114" i="12" s="1"/>
  <c r="N590" i="3"/>
  <c r="D118" i="12" s="1"/>
  <c r="O118" i="12" s="1"/>
  <c r="N595" i="3"/>
  <c r="D123" i="12" s="1"/>
  <c r="O123" i="12" s="1"/>
  <c r="N600" i="3"/>
  <c r="D128" i="12" s="1"/>
  <c r="O128" i="12" s="1"/>
  <c r="N604" i="3"/>
  <c r="D132" i="12" s="1"/>
  <c r="O132" i="12" s="1"/>
  <c r="N608" i="3"/>
  <c r="D136" i="12" s="1"/>
  <c r="X66" i="4"/>
  <c r="U66" i="4"/>
  <c r="R66" i="4"/>
  <c r="R67" i="4"/>
  <c r="O66" i="4"/>
  <c r="X63" i="4"/>
  <c r="U63" i="4"/>
  <c r="R63" i="4"/>
  <c r="O63" i="4"/>
  <c r="X60" i="4"/>
  <c r="U60" i="4"/>
  <c r="R60" i="4"/>
  <c r="I10" i="6"/>
  <c r="I17" i="6"/>
  <c r="X8" i="4"/>
  <c r="U8" i="4"/>
  <c r="R8" i="4"/>
  <c r="O8" i="4"/>
  <c r="X92" i="4"/>
  <c r="U92" i="4"/>
  <c r="R92" i="4"/>
  <c r="O92" i="4"/>
  <c r="X100" i="4"/>
  <c r="U100" i="4"/>
  <c r="R100" i="4"/>
  <c r="O100" i="4"/>
  <c r="X99" i="4"/>
  <c r="U99" i="4"/>
  <c r="R99" i="4"/>
  <c r="O99" i="4"/>
  <c r="Y28" i="4"/>
  <c r="F22" i="4"/>
  <c r="F23" i="4"/>
  <c r="F24" i="4"/>
  <c r="F21" i="4"/>
  <c r="G22" i="4"/>
  <c r="L22" i="4" s="1"/>
  <c r="G21" i="4"/>
  <c r="O116" i="12" l="1"/>
  <c r="O125" i="12"/>
  <c r="O109" i="12"/>
  <c r="O90" i="12"/>
  <c r="O107" i="12"/>
  <c r="O108" i="12"/>
  <c r="O102" i="12"/>
  <c r="O89" i="12"/>
  <c r="O112" i="12"/>
  <c r="O98" i="12"/>
  <c r="O104" i="12"/>
  <c r="O129" i="12"/>
  <c r="O115" i="12"/>
  <c r="O101" i="12"/>
  <c r="Z127" i="12"/>
  <c r="Z103" i="12"/>
  <c r="Z99" i="12"/>
  <c r="Z116" i="12"/>
  <c r="Z128" i="12"/>
  <c r="I19" i="6"/>
  <c r="I4" i="6"/>
  <c r="I11" i="6"/>
  <c r="I16" i="6"/>
  <c r="L21" i="4"/>
  <c r="L19" i="4" s="1"/>
  <c r="G19" i="4"/>
  <c r="Y60" i="4"/>
  <c r="Y66" i="4"/>
  <c r="Y63" i="4"/>
  <c r="Y8" i="4"/>
  <c r="I3" i="6" l="1"/>
  <c r="M39" i="5" s="1"/>
  <c r="O39" i="5" s="1"/>
  <c r="P39" i="5" s="1"/>
  <c r="P454" i="9"/>
  <c r="F110" i="12" s="1"/>
  <c r="O58" i="4" l="1"/>
  <c r="R58" i="4"/>
  <c r="U58" i="4"/>
  <c r="X58" i="4"/>
  <c r="R59" i="4"/>
  <c r="U59" i="4"/>
  <c r="X59" i="4"/>
  <c r="O61" i="4"/>
  <c r="R61" i="4"/>
  <c r="U61" i="4"/>
  <c r="X61" i="4"/>
  <c r="O62" i="4"/>
  <c r="R62" i="4"/>
  <c r="U62" i="4"/>
  <c r="X62" i="4"/>
  <c r="O64" i="4"/>
  <c r="R64" i="4"/>
  <c r="U64" i="4"/>
  <c r="X64" i="4"/>
  <c r="O65" i="4"/>
  <c r="R65" i="4"/>
  <c r="U65" i="4"/>
  <c r="X65" i="4"/>
  <c r="O67" i="4"/>
  <c r="U67" i="4"/>
  <c r="X67" i="4"/>
  <c r="O68" i="4"/>
  <c r="R68" i="4"/>
  <c r="U68" i="4"/>
  <c r="X68" i="4"/>
  <c r="O69" i="4"/>
  <c r="R69" i="4"/>
  <c r="U69" i="4"/>
  <c r="X69" i="4"/>
  <c r="O70" i="4"/>
  <c r="R70" i="4"/>
  <c r="U70" i="4"/>
  <c r="X70" i="4"/>
  <c r="O71" i="4"/>
  <c r="R71" i="4"/>
  <c r="U71" i="4"/>
  <c r="X71" i="4"/>
  <c r="O72" i="4"/>
  <c r="L73" i="4"/>
  <c r="O73" i="4"/>
  <c r="L57" i="4"/>
  <c r="O57" i="4"/>
  <c r="L56" i="4" l="1"/>
  <c r="L94" i="4"/>
  <c r="L103" i="4"/>
  <c r="Y71" i="4"/>
  <c r="Y64" i="4"/>
  <c r="Y58" i="4"/>
  <c r="Y67" i="4"/>
  <c r="Y73" i="4"/>
  <c r="Y68" i="4"/>
  <c r="Y61" i="4"/>
  <c r="Y69" i="4"/>
  <c r="Y62" i="4"/>
  <c r="Y57" i="4"/>
  <c r="Y70" i="4"/>
  <c r="Y72" i="4"/>
  <c r="Y65" i="4"/>
  <c r="Y59" i="4"/>
  <c r="S532" i="6"/>
  <c r="S552" i="6"/>
  <c r="S556" i="6"/>
  <c r="U521" i="6"/>
  <c r="S521" i="6"/>
  <c r="S111" i="6"/>
  <c r="S549" i="6" s="1"/>
  <c r="S105" i="6"/>
  <c r="S104" i="6"/>
  <c r="S98" i="6"/>
  <c r="S89" i="6"/>
  <c r="S30" i="6"/>
  <c r="U532" i="6"/>
  <c r="U477" i="6"/>
  <c r="U110" i="6"/>
  <c r="U76" i="6"/>
  <c r="U531" i="6" s="1"/>
  <c r="U511" i="6"/>
  <c r="U559" i="6"/>
  <c r="U555" i="6"/>
  <c r="U474" i="6"/>
  <c r="U466" i="6"/>
  <c r="U545" i="6"/>
  <c r="U515" i="6"/>
  <c r="U109" i="6"/>
  <c r="U104" i="6"/>
  <c r="U79" i="6"/>
  <c r="U53" i="6"/>
  <c r="U46" i="6"/>
  <c r="U41" i="6"/>
  <c r="U31" i="6"/>
  <c r="U29" i="6"/>
  <c r="T545" i="6"/>
  <c r="T105" i="6"/>
  <c r="T110" i="6"/>
  <c r="T556" i="6"/>
  <c r="T111" i="6"/>
  <c r="T549" i="6" s="1"/>
  <c r="T104" i="6"/>
  <c r="T532" i="6"/>
  <c r="T89" i="6"/>
  <c r="T79" i="6"/>
  <c r="T468" i="6"/>
  <c r="T76" i="6"/>
  <c r="T531" i="6" s="1"/>
  <c r="T511" i="6"/>
  <c r="T552" i="6"/>
  <c r="T527" i="6"/>
  <c r="T98" i="6"/>
  <c r="T72" i="6"/>
  <c r="T109" i="6"/>
  <c r="T68" i="6"/>
  <c r="T50" i="6"/>
  <c r="T46" i="6"/>
  <c r="T535" i="6" s="1"/>
  <c r="T43" i="6"/>
  <c r="T41" i="6"/>
  <c r="T31" i="6"/>
  <c r="T30" i="6"/>
  <c r="T29" i="6"/>
  <c r="S511" i="6"/>
  <c r="S76" i="6"/>
  <c r="S531" i="6" s="1"/>
  <c r="S110" i="6"/>
  <c r="S53" i="6"/>
  <c r="S50" i="6"/>
  <c r="S46" i="6"/>
  <c r="S535" i="6" s="1"/>
  <c r="S31" i="6"/>
  <c r="S466" i="6"/>
  <c r="S527" i="6"/>
  <c r="S109" i="6"/>
  <c r="S79" i="6"/>
  <c r="S72" i="6"/>
  <c r="S519" i="6" s="1"/>
  <c r="S68" i="6"/>
  <c r="S43" i="6"/>
  <c r="S41" i="6"/>
  <c r="S29" i="6"/>
  <c r="N113" i="6"/>
  <c r="N112" i="6"/>
  <c r="N111" i="6"/>
  <c r="N549" i="6" s="1"/>
  <c r="M114" i="12" s="1"/>
  <c r="N110" i="6"/>
  <c r="N109" i="6"/>
  <c r="N105" i="6"/>
  <c r="N104" i="6"/>
  <c r="N98" i="6"/>
  <c r="N89" i="6"/>
  <c r="N79" i="6"/>
  <c r="N76" i="6"/>
  <c r="N72" i="6"/>
  <c r="N68" i="6"/>
  <c r="N53" i="6"/>
  <c r="N52" i="6"/>
  <c r="N50" i="6"/>
  <c r="N46" i="6"/>
  <c r="N43" i="6"/>
  <c r="N41" i="6"/>
  <c r="N31" i="6"/>
  <c r="N30" i="6"/>
  <c r="N40" i="6"/>
  <c r="N29" i="6"/>
  <c r="U471" i="6" l="1"/>
  <c r="S471" i="6"/>
  <c r="S474" i="6"/>
  <c r="N466" i="6"/>
  <c r="N463" i="6"/>
  <c r="N476" i="6"/>
  <c r="N471" i="6"/>
  <c r="T464" i="6"/>
  <c r="T480" i="6"/>
  <c r="T473" i="6"/>
  <c r="U464" i="6"/>
  <c r="U467" i="6"/>
  <c r="U478" i="6"/>
  <c r="S546" i="6"/>
  <c r="S469" i="6"/>
  <c r="S540" i="6"/>
  <c r="S481" i="6"/>
  <c r="T519" i="6"/>
  <c r="T469" i="6"/>
  <c r="T573" i="6"/>
  <c r="T466" i="6"/>
  <c r="U552" i="6"/>
  <c r="U470" i="6"/>
  <c r="U546" i="6"/>
  <c r="U469" i="6"/>
  <c r="U535" i="6"/>
  <c r="U481" i="6"/>
  <c r="S464" i="6"/>
  <c r="N464" i="6"/>
  <c r="N480" i="6"/>
  <c r="S480" i="6"/>
  <c r="T467" i="6"/>
  <c r="T470" i="6"/>
  <c r="S478" i="6"/>
  <c r="N473" i="6"/>
  <c r="N474" i="6"/>
  <c r="N475" i="6"/>
  <c r="S476" i="6"/>
  <c r="S467" i="6"/>
  <c r="T463" i="6"/>
  <c r="T481" i="6"/>
  <c r="T478" i="6"/>
  <c r="T471" i="6"/>
  <c r="U463" i="6"/>
  <c r="U480" i="6"/>
  <c r="N465" i="6"/>
  <c r="N481" i="6"/>
  <c r="N469" i="6"/>
  <c r="N467" i="6"/>
  <c r="N470" i="6"/>
  <c r="N477" i="6"/>
  <c r="N468" i="6"/>
  <c r="N478" i="6"/>
  <c r="S463" i="6"/>
  <c r="S477" i="6"/>
  <c r="T476" i="6"/>
  <c r="T474" i="6"/>
  <c r="U473" i="6"/>
  <c r="S475" i="6"/>
  <c r="S468" i="6"/>
  <c r="T475" i="6"/>
  <c r="T477" i="6"/>
  <c r="U476" i="6"/>
  <c r="U468" i="6"/>
  <c r="S473" i="6"/>
  <c r="S470" i="6"/>
  <c r="S545" i="6"/>
  <c r="N568" i="6"/>
  <c r="M133" i="12" s="1"/>
  <c r="S565" i="6"/>
  <c r="T565" i="6"/>
  <c r="T526" i="6"/>
  <c r="U568" i="6"/>
  <c r="U571" i="6"/>
  <c r="N531" i="6"/>
  <c r="M96" i="12" s="1"/>
  <c r="N515" i="6"/>
  <c r="M80" i="12" s="1"/>
  <c r="N559" i="6"/>
  <c r="M124" i="12" s="1"/>
  <c r="N526" i="6"/>
  <c r="M91" i="12" s="1"/>
  <c r="N519" i="6"/>
  <c r="M84" i="12" s="1"/>
  <c r="N518" i="6"/>
  <c r="M83" i="12" s="1"/>
  <c r="N573" i="6"/>
  <c r="M138" i="12" s="1"/>
  <c r="U565" i="6"/>
  <c r="U573" i="6"/>
  <c r="N535" i="6"/>
  <c r="M100" i="12" s="1"/>
  <c r="N521" i="6"/>
  <c r="M86" i="12" s="1"/>
  <c r="N555" i="6"/>
  <c r="M120" i="12" s="1"/>
  <c r="N545" i="6"/>
  <c r="M110" i="12" s="1"/>
  <c r="N527" i="6"/>
  <c r="M92" i="12" s="1"/>
  <c r="N532" i="6"/>
  <c r="M97" i="12" s="1"/>
  <c r="N540" i="6"/>
  <c r="M105" i="12" s="1"/>
  <c r="N546" i="6"/>
  <c r="M111" i="12" s="1"/>
  <c r="N556" i="6"/>
  <c r="M121" i="12" s="1"/>
  <c r="N552" i="6"/>
  <c r="M117" i="12" s="1"/>
  <c r="S573" i="6"/>
  <c r="T518" i="6"/>
  <c r="S571" i="6"/>
  <c r="S559" i="6"/>
  <c r="N565" i="6"/>
  <c r="M130" i="12" s="1"/>
  <c r="S526" i="6"/>
  <c r="T571" i="6"/>
  <c r="U526" i="6"/>
  <c r="S518" i="6"/>
  <c r="S515" i="6"/>
  <c r="N571" i="6"/>
  <c r="S568" i="6"/>
  <c r="S555" i="6"/>
  <c r="T540" i="6"/>
  <c r="T515" i="6"/>
  <c r="N511" i="6"/>
  <c r="M76" i="12" s="1"/>
  <c r="T568" i="6"/>
  <c r="T559" i="6"/>
  <c r="T555" i="6"/>
  <c r="U518" i="6"/>
  <c r="X48" i="4"/>
  <c r="U48" i="4"/>
  <c r="R48" i="4"/>
  <c r="O48" i="4"/>
  <c r="Y131" i="4"/>
  <c r="O42" i="4"/>
  <c r="U42" i="4"/>
  <c r="X42" i="4"/>
  <c r="O43" i="4"/>
  <c r="U43" i="4"/>
  <c r="X43" i="4"/>
  <c r="O44" i="4"/>
  <c r="R44" i="4"/>
  <c r="U44" i="4"/>
  <c r="X44" i="4"/>
  <c r="O45" i="4"/>
  <c r="R45" i="4"/>
  <c r="U45" i="4"/>
  <c r="X45" i="4"/>
  <c r="M136" i="12" l="1"/>
  <c r="M140" i="12" s="1"/>
  <c r="Y48" i="4"/>
  <c r="Y45" i="4"/>
  <c r="Y44" i="4"/>
  <c r="E19" i="10" l="1"/>
  <c r="N45" i="14" l="1"/>
  <c r="N340" i="14" s="1"/>
  <c r="P295" i="9"/>
  <c r="J25" i="9" s="1"/>
  <c r="L277" i="14"/>
  <c r="L405" i="14" s="1"/>
  <c r="M277" i="14"/>
  <c r="M405" i="14" s="1"/>
  <c r="K277" i="14"/>
  <c r="K405" i="14" s="1"/>
  <c r="D277" i="14"/>
  <c r="O576" i="6"/>
  <c r="P427" i="9"/>
  <c r="F83" i="12" s="1"/>
  <c r="P457" i="9"/>
  <c r="F113" i="12" s="1"/>
  <c r="O113" i="12" s="1"/>
  <c r="P311" i="9"/>
  <c r="P285" i="9"/>
  <c r="J13" i="9" s="1"/>
  <c r="P429" i="9"/>
  <c r="F85" i="12" s="1"/>
  <c r="O85" i="12" s="1"/>
  <c r="P348" i="9"/>
  <c r="O9" i="9" s="1"/>
  <c r="P288" i="9"/>
  <c r="J18" i="9" s="1"/>
  <c r="P378" i="9"/>
  <c r="P181" i="9"/>
  <c r="P182" i="9"/>
  <c r="P183" i="9"/>
  <c r="P184" i="9"/>
  <c r="P185" i="9"/>
  <c r="P186" i="9"/>
  <c r="P187" i="9"/>
  <c r="P188" i="9"/>
  <c r="P189" i="9"/>
  <c r="P190" i="9"/>
  <c r="P191" i="9"/>
  <c r="P192" i="9"/>
  <c r="P193" i="9"/>
  <c r="P194" i="9"/>
  <c r="P195" i="9"/>
  <c r="P196" i="9"/>
  <c r="P197" i="9"/>
  <c r="P198" i="9"/>
  <c r="P199" i="9"/>
  <c r="P200" i="9"/>
  <c r="P201" i="9"/>
  <c r="P202" i="9"/>
  <c r="P203" i="9"/>
  <c r="P204" i="9"/>
  <c r="P205" i="9"/>
  <c r="P206" i="9"/>
  <c r="P207" i="9"/>
  <c r="P208" i="9"/>
  <c r="P209" i="9"/>
  <c r="P210" i="9"/>
  <c r="P211" i="9"/>
  <c r="P212" i="9"/>
  <c r="P213" i="9"/>
  <c r="P214" i="9"/>
  <c r="P215" i="9"/>
  <c r="P216" i="9"/>
  <c r="P217" i="9"/>
  <c r="P218" i="9"/>
  <c r="P219" i="9"/>
  <c r="P220" i="9"/>
  <c r="P221" i="9"/>
  <c r="P222" i="9"/>
  <c r="P223" i="9"/>
  <c r="P224" i="9"/>
  <c r="P225" i="9"/>
  <c r="P226" i="9"/>
  <c r="P227" i="9"/>
  <c r="P228" i="9"/>
  <c r="P229" i="9"/>
  <c r="P230" i="9"/>
  <c r="P231" i="9"/>
  <c r="P232" i="9"/>
  <c r="P233" i="9"/>
  <c r="P234" i="9"/>
  <c r="P235" i="9"/>
  <c r="P236" i="9"/>
  <c r="P237" i="9"/>
  <c r="P238" i="9"/>
  <c r="P239" i="9"/>
  <c r="P240" i="9"/>
  <c r="P241" i="9"/>
  <c r="P242" i="9"/>
  <c r="P243" i="9"/>
  <c r="P244" i="9"/>
  <c r="P245" i="9"/>
  <c r="P246" i="9"/>
  <c r="P247" i="9"/>
  <c r="P248" i="9"/>
  <c r="P249" i="9"/>
  <c r="P250" i="9"/>
  <c r="P251" i="9"/>
  <c r="P252" i="9"/>
  <c r="P253" i="9"/>
  <c r="P254" i="9"/>
  <c r="P255" i="9"/>
  <c r="P256" i="9"/>
  <c r="P257" i="9"/>
  <c r="P258" i="9"/>
  <c r="P259" i="9"/>
  <c r="P260" i="9"/>
  <c r="P261" i="9"/>
  <c r="P262" i="9"/>
  <c r="P263" i="9"/>
  <c r="P264" i="9"/>
  <c r="P265" i="9"/>
  <c r="P266" i="9"/>
  <c r="P267" i="9"/>
  <c r="P268" i="9"/>
  <c r="P269" i="9"/>
  <c r="P270" i="9"/>
  <c r="P271" i="9"/>
  <c r="P272" i="9"/>
  <c r="P273" i="9"/>
  <c r="P274" i="9"/>
  <c r="P275" i="9"/>
  <c r="P292" i="9"/>
  <c r="J23" i="9" s="1"/>
  <c r="P314" i="9"/>
  <c r="D388" i="9"/>
  <c r="D387" i="9"/>
  <c r="D386" i="9"/>
  <c r="D385" i="9"/>
  <c r="D384" i="9"/>
  <c r="D383" i="9"/>
  <c r="D382" i="9"/>
  <c r="D381" i="9"/>
  <c r="D380" i="9"/>
  <c r="D379" i="9"/>
  <c r="D378" i="9"/>
  <c r="D377" i="9"/>
  <c r="D376" i="9"/>
  <c r="D375" i="9"/>
  <c r="D374" i="9"/>
  <c r="D373" i="9"/>
  <c r="D372" i="9"/>
  <c r="D370" i="9"/>
  <c r="D369" i="9"/>
  <c r="D368" i="9"/>
  <c r="D367" i="9"/>
  <c r="D366" i="9"/>
  <c r="D365" i="9"/>
  <c r="D364" i="9"/>
  <c r="D363" i="9"/>
  <c r="D362" i="9"/>
  <c r="D361" i="9"/>
  <c r="D360" i="9"/>
  <c r="D359" i="9"/>
  <c r="D358" i="9"/>
  <c r="D357" i="9"/>
  <c r="D356" i="9"/>
  <c r="D355" i="9"/>
  <c r="D354" i="9"/>
  <c r="D353" i="9"/>
  <c r="D352" i="9"/>
  <c r="D351" i="9"/>
  <c r="D350" i="9"/>
  <c r="D349" i="9"/>
  <c r="D348" i="9"/>
  <c r="D347" i="9"/>
  <c r="D346" i="9"/>
  <c r="D345" i="9"/>
  <c r="D344" i="9"/>
  <c r="D343" i="9"/>
  <c r="D342" i="9"/>
  <c r="D341" i="9"/>
  <c r="D340" i="9"/>
  <c r="D339" i="9"/>
  <c r="D338" i="9"/>
  <c r="D337" i="9"/>
  <c r="D336" i="9"/>
  <c r="D335" i="9"/>
  <c r="D334" i="9"/>
  <c r="D333" i="9"/>
  <c r="D332" i="9"/>
  <c r="D331" i="9"/>
  <c r="D330" i="9"/>
  <c r="D329" i="9"/>
  <c r="D328" i="9"/>
  <c r="D327" i="9"/>
  <c r="D326" i="9"/>
  <c r="D325" i="9"/>
  <c r="D324" i="9"/>
  <c r="D323" i="9"/>
  <c r="D322" i="9"/>
  <c r="D321" i="9"/>
  <c r="D320" i="9"/>
  <c r="D319" i="9"/>
  <c r="D318" i="9"/>
  <c r="D317" i="9"/>
  <c r="D316" i="9"/>
  <c r="D315" i="9"/>
  <c r="D314" i="9"/>
  <c r="D313" i="9"/>
  <c r="D312" i="9"/>
  <c r="D311" i="9"/>
  <c r="D310" i="9"/>
  <c r="D309" i="9"/>
  <c r="D308" i="9"/>
  <c r="D307" i="9"/>
  <c r="D306" i="9"/>
  <c r="D305" i="9"/>
  <c r="D304" i="9"/>
  <c r="D303" i="9"/>
  <c r="D302" i="9"/>
  <c r="D301" i="9"/>
  <c r="D300" i="9"/>
  <c r="D299" i="9"/>
  <c r="D298" i="9"/>
  <c r="D297" i="9"/>
  <c r="D296" i="9"/>
  <c r="D295" i="9"/>
  <c r="D294" i="9"/>
  <c r="D293" i="9"/>
  <c r="D292" i="9"/>
  <c r="D291" i="9"/>
  <c r="D290" i="9"/>
  <c r="D289" i="9"/>
  <c r="D288" i="9"/>
  <c r="D287" i="9"/>
  <c r="D286" i="9"/>
  <c r="D285" i="9"/>
  <c r="D284" i="9"/>
  <c r="D283" i="9"/>
  <c r="D282" i="9"/>
  <c r="D281" i="9"/>
  <c r="D371" i="9"/>
  <c r="L281" i="8"/>
  <c r="L748" i="8" s="1"/>
  <c r="M281" i="8"/>
  <c r="M748" i="8" s="1"/>
  <c r="K281" i="8"/>
  <c r="K748" i="8" s="1"/>
  <c r="E25" i="5"/>
  <c r="E31" i="5" s="1"/>
  <c r="R43" i="6"/>
  <c r="Q46" i="6"/>
  <c r="Q535" i="6" s="1"/>
  <c r="P46" i="6"/>
  <c r="R46" i="6"/>
  <c r="R535" i="6" s="1"/>
  <c r="R76" i="6"/>
  <c r="R531" i="6" s="1"/>
  <c r="Q29" i="6"/>
  <c r="R29" i="6"/>
  <c r="P30" i="6"/>
  <c r="R30" i="6"/>
  <c r="R473" i="6" s="1"/>
  <c r="R31" i="6"/>
  <c r="R565" i="6" s="1"/>
  <c r="R41" i="6"/>
  <c r="R568" i="6" s="1"/>
  <c r="P50" i="6"/>
  <c r="R50" i="6"/>
  <c r="Q52" i="6"/>
  <c r="R52" i="6"/>
  <c r="R53" i="6"/>
  <c r="Q68" i="6"/>
  <c r="R68" i="6"/>
  <c r="R474" i="6" s="1"/>
  <c r="P72" i="6"/>
  <c r="R72" i="6"/>
  <c r="R519" i="6" s="1"/>
  <c r="Q89" i="6"/>
  <c r="P98" i="6"/>
  <c r="Q98" i="6"/>
  <c r="P104" i="6"/>
  <c r="Q109" i="6"/>
  <c r="P110" i="6"/>
  <c r="P112" i="6"/>
  <c r="Q556" i="6"/>
  <c r="Q552" i="6"/>
  <c r="Q532" i="6"/>
  <c r="A56" i="8"/>
  <c r="A57" i="8"/>
  <c r="A58" i="8"/>
  <c r="A59" i="8"/>
  <c r="A60" i="8"/>
  <c r="A202" i="8"/>
  <c r="A203" i="8"/>
  <c r="A204" i="8"/>
  <c r="A205"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232" i="8"/>
  <c r="A233" i="8"/>
  <c r="A234" i="8"/>
  <c r="A235" i="8"/>
  <c r="A236" i="8"/>
  <c r="A237" i="8"/>
  <c r="A238" i="8"/>
  <c r="A239" i="8"/>
  <c r="A240" i="8"/>
  <c r="A241" i="8"/>
  <c r="A242" i="8"/>
  <c r="A243" i="8"/>
  <c r="A244" i="8"/>
  <c r="A245" i="8"/>
  <c r="A246" i="8"/>
  <c r="A247" i="8"/>
  <c r="A248" i="8"/>
  <c r="A249" i="8"/>
  <c r="A250" i="8"/>
  <c r="A251" i="8"/>
  <c r="A252" i="8"/>
  <c r="A253" i="8"/>
  <c r="A254" i="8"/>
  <c r="A255" i="8"/>
  <c r="A256" i="8"/>
  <c r="A257" i="8"/>
  <c r="A258" i="8"/>
  <c r="A259" i="8"/>
  <c r="A260" i="8"/>
  <c r="A261" i="8"/>
  <c r="A262" i="8"/>
  <c r="A263" i="8"/>
  <c r="A264" i="8"/>
  <c r="A265" i="8"/>
  <c r="A266" i="8"/>
  <c r="A267" i="8"/>
  <c r="A268" i="8"/>
  <c r="A269" i="8"/>
  <c r="A270" i="8"/>
  <c r="A271" i="8"/>
  <c r="A272" i="8"/>
  <c r="A273" i="8"/>
  <c r="A274" i="8"/>
  <c r="A275" i="8"/>
  <c r="A276" i="8"/>
  <c r="A277" i="8"/>
  <c r="A278" i="8"/>
  <c r="A279" i="8"/>
  <c r="A280" i="8"/>
  <c r="N400" i="14"/>
  <c r="H136" i="12" s="1"/>
  <c r="P363" i="9"/>
  <c r="E8" i="12"/>
  <c r="M21" i="12" s="1"/>
  <c r="E5" i="12"/>
  <c r="I39" i="5"/>
  <c r="H39" i="5"/>
  <c r="C10" i="13"/>
  <c r="F9" i="13"/>
  <c r="F10" i="13" s="1"/>
  <c r="A60" i="15"/>
  <c r="A59" i="15"/>
  <c r="A58" i="15"/>
  <c r="A57" i="15"/>
  <c r="A56" i="15"/>
  <c r="A55" i="15"/>
  <c r="A54" i="15"/>
  <c r="A53" i="15"/>
  <c r="A52" i="15"/>
  <c r="A51" i="15"/>
  <c r="A50" i="15"/>
  <c r="A49" i="15"/>
  <c r="A48" i="15"/>
  <c r="A47" i="15"/>
  <c r="A46" i="15"/>
  <c r="A45" i="15"/>
  <c r="A44" i="15"/>
  <c r="A43" i="15"/>
  <c r="A42" i="15"/>
  <c r="A41" i="15"/>
  <c r="A40" i="15"/>
  <c r="A39" i="15"/>
  <c r="A38" i="15"/>
  <c r="A37" i="15"/>
  <c r="A36" i="15"/>
  <c r="A35" i="15"/>
  <c r="A34" i="15"/>
  <c r="A33" i="15"/>
  <c r="A29" i="15"/>
  <c r="A32" i="15"/>
  <c r="T28" i="12"/>
  <c r="K42" i="12" s="1"/>
  <c r="J14" i="5"/>
  <c r="I14" i="5"/>
  <c r="J16" i="5"/>
  <c r="F16" i="5"/>
  <c r="H16" i="5" s="1"/>
  <c r="E12" i="5"/>
  <c r="I12" i="5" s="1"/>
  <c r="K77" i="4"/>
  <c r="K11" i="5" s="1"/>
  <c r="G77" i="4"/>
  <c r="O301" i="10"/>
  <c r="N25" i="10" s="1"/>
  <c r="N301" i="10"/>
  <c r="M301" i="10"/>
  <c r="L301" i="10"/>
  <c r="O300" i="10"/>
  <c r="N24" i="10" s="1"/>
  <c r="N300" i="10"/>
  <c r="M300" i="10"/>
  <c r="L300" i="10"/>
  <c r="O299" i="10"/>
  <c r="N23" i="10" s="1"/>
  <c r="N299" i="10"/>
  <c r="M299" i="10"/>
  <c r="L299" i="10"/>
  <c r="O298" i="10"/>
  <c r="N22" i="10" s="1"/>
  <c r="N298" i="10"/>
  <c r="M298" i="10"/>
  <c r="L298" i="10"/>
  <c r="O297" i="10"/>
  <c r="N21" i="10" s="1"/>
  <c r="N297" i="10"/>
  <c r="M297" i="10"/>
  <c r="L297" i="10"/>
  <c r="O296" i="10"/>
  <c r="N20" i="10" s="1"/>
  <c r="N296" i="10"/>
  <c r="M296" i="10"/>
  <c r="L296" i="10"/>
  <c r="O295" i="10"/>
  <c r="N19" i="10" s="1"/>
  <c r="N295" i="10"/>
  <c r="M295" i="10"/>
  <c r="L295" i="10"/>
  <c r="O294" i="10"/>
  <c r="N18" i="10" s="1"/>
  <c r="N294" i="10"/>
  <c r="M294" i="10"/>
  <c r="L294" i="10"/>
  <c r="O293" i="10"/>
  <c r="N17" i="10" s="1"/>
  <c r="N293" i="10"/>
  <c r="M293" i="10"/>
  <c r="L293" i="10"/>
  <c r="O292" i="10"/>
  <c r="N16" i="10" s="1"/>
  <c r="N292" i="10"/>
  <c r="M292" i="10"/>
  <c r="L292" i="10"/>
  <c r="O291" i="10"/>
  <c r="N15" i="10" s="1"/>
  <c r="N291" i="10"/>
  <c r="M291" i="10"/>
  <c r="L291" i="10"/>
  <c r="O290" i="10"/>
  <c r="N14" i="10" s="1"/>
  <c r="N290" i="10"/>
  <c r="M290" i="10"/>
  <c r="L290" i="10"/>
  <c r="O289" i="10"/>
  <c r="N13" i="10" s="1"/>
  <c r="N289" i="10"/>
  <c r="M289" i="10"/>
  <c r="L289" i="10"/>
  <c r="O288" i="10"/>
  <c r="N12" i="10" s="1"/>
  <c r="N288" i="10"/>
  <c r="M288" i="10"/>
  <c r="L288" i="10"/>
  <c r="O287" i="10"/>
  <c r="N11" i="10" s="1"/>
  <c r="N287" i="10"/>
  <c r="M287" i="10"/>
  <c r="L287" i="10"/>
  <c r="O286" i="10"/>
  <c r="N10" i="10" s="1"/>
  <c r="N286" i="10"/>
  <c r="M286" i="10"/>
  <c r="L286" i="10"/>
  <c r="O285" i="10"/>
  <c r="N9" i="10" s="1"/>
  <c r="N285" i="10"/>
  <c r="M285" i="10"/>
  <c r="L285" i="10"/>
  <c r="O284" i="10"/>
  <c r="N8" i="10" s="1"/>
  <c r="N284" i="10"/>
  <c r="M284" i="10"/>
  <c r="L284" i="10"/>
  <c r="O283" i="10"/>
  <c r="N7" i="10" s="1"/>
  <c r="N283" i="10"/>
  <c r="M283" i="10"/>
  <c r="L283" i="10"/>
  <c r="O282" i="10"/>
  <c r="N6" i="10" s="1"/>
  <c r="N282" i="10"/>
  <c r="M282" i="10"/>
  <c r="L282" i="10"/>
  <c r="O281" i="10"/>
  <c r="N5" i="10" s="1"/>
  <c r="N281" i="10"/>
  <c r="M281" i="10"/>
  <c r="L281" i="10"/>
  <c r="O280" i="10"/>
  <c r="N4" i="10" s="1"/>
  <c r="N280" i="10"/>
  <c r="M280" i="10"/>
  <c r="L280" i="10"/>
  <c r="P388" i="9"/>
  <c r="O388" i="9"/>
  <c r="N388" i="9"/>
  <c r="M388" i="9"/>
  <c r="L388" i="9"/>
  <c r="K388" i="9"/>
  <c r="J388" i="9"/>
  <c r="O387" i="9"/>
  <c r="N387" i="9"/>
  <c r="M387" i="9"/>
  <c r="L387" i="9"/>
  <c r="K387" i="9"/>
  <c r="J387" i="9"/>
  <c r="O386" i="9"/>
  <c r="N386" i="9"/>
  <c r="M386" i="9"/>
  <c r="L386" i="9"/>
  <c r="K386" i="9"/>
  <c r="J386" i="9"/>
  <c r="O385" i="9"/>
  <c r="N385" i="9"/>
  <c r="M385" i="9"/>
  <c r="L385" i="9"/>
  <c r="K385" i="9"/>
  <c r="J385" i="9"/>
  <c r="P384" i="9"/>
  <c r="O384" i="9"/>
  <c r="N384" i="9"/>
  <c r="M384" i="9"/>
  <c r="L384" i="9"/>
  <c r="K384" i="9"/>
  <c r="J384" i="9"/>
  <c r="P383" i="9"/>
  <c r="O383" i="9"/>
  <c r="N383" i="9"/>
  <c r="M383" i="9"/>
  <c r="L383" i="9"/>
  <c r="K383" i="9"/>
  <c r="J383" i="9"/>
  <c r="P382" i="9"/>
  <c r="O382" i="9"/>
  <c r="N382" i="9"/>
  <c r="M382" i="9"/>
  <c r="L382" i="9"/>
  <c r="K382" i="9"/>
  <c r="J382" i="9"/>
  <c r="O381" i="9"/>
  <c r="N381" i="9"/>
  <c r="M381" i="9"/>
  <c r="L381" i="9"/>
  <c r="K381" i="9"/>
  <c r="J381" i="9"/>
  <c r="P380" i="9"/>
  <c r="O380" i="9"/>
  <c r="N380" i="9"/>
  <c r="M380" i="9"/>
  <c r="L380" i="9"/>
  <c r="K380" i="9"/>
  <c r="J380" i="9"/>
  <c r="P379" i="9"/>
  <c r="O379" i="9"/>
  <c r="N379" i="9"/>
  <c r="M379" i="9"/>
  <c r="L379" i="9"/>
  <c r="K379" i="9"/>
  <c r="J379" i="9"/>
  <c r="O378" i="9"/>
  <c r="N378" i="9"/>
  <c r="M378" i="9"/>
  <c r="L378" i="9"/>
  <c r="K378" i="9"/>
  <c r="J378" i="9"/>
  <c r="P377" i="9"/>
  <c r="O377" i="9"/>
  <c r="N377" i="9"/>
  <c r="M377" i="9"/>
  <c r="L377" i="9"/>
  <c r="K377" i="9"/>
  <c r="J377" i="9"/>
  <c r="P376" i="9"/>
  <c r="O376" i="9"/>
  <c r="N376" i="9"/>
  <c r="M376" i="9"/>
  <c r="L376" i="9"/>
  <c r="K376" i="9"/>
  <c r="J376" i="9"/>
  <c r="P375" i="9"/>
  <c r="O375" i="9"/>
  <c r="N375" i="9"/>
  <c r="M375" i="9"/>
  <c r="L375" i="9"/>
  <c r="K375" i="9"/>
  <c r="J375" i="9"/>
  <c r="P374" i="9"/>
  <c r="O374" i="9"/>
  <c r="N374" i="9"/>
  <c r="M374" i="9"/>
  <c r="L374" i="9"/>
  <c r="K374" i="9"/>
  <c r="J374" i="9"/>
  <c r="P373" i="9"/>
  <c r="O373" i="9"/>
  <c r="N373" i="9"/>
  <c r="M373" i="9"/>
  <c r="L373" i="9"/>
  <c r="K373" i="9"/>
  <c r="J373" i="9"/>
  <c r="P372" i="9"/>
  <c r="O372" i="9"/>
  <c r="N372" i="9"/>
  <c r="M372" i="9"/>
  <c r="L372" i="9"/>
  <c r="K372" i="9"/>
  <c r="J372" i="9"/>
  <c r="O371" i="9"/>
  <c r="N371" i="9"/>
  <c r="M371" i="9"/>
  <c r="L371" i="9"/>
  <c r="K371" i="9"/>
  <c r="J371" i="9"/>
  <c r="P370" i="9"/>
  <c r="P21" i="9" s="1"/>
  <c r="O370" i="9"/>
  <c r="N370" i="9"/>
  <c r="M370" i="9"/>
  <c r="L370" i="9"/>
  <c r="K370" i="9"/>
  <c r="J370" i="9"/>
  <c r="O369" i="9"/>
  <c r="N369" i="9"/>
  <c r="M369" i="9"/>
  <c r="L369" i="9"/>
  <c r="K369" i="9"/>
  <c r="J369" i="9"/>
  <c r="P368" i="9"/>
  <c r="O368" i="9"/>
  <c r="N368" i="9"/>
  <c r="M368" i="9"/>
  <c r="L368" i="9"/>
  <c r="K368" i="9"/>
  <c r="J368" i="9"/>
  <c r="P367" i="9"/>
  <c r="O367" i="9"/>
  <c r="N367" i="9"/>
  <c r="M367" i="9"/>
  <c r="L367" i="9"/>
  <c r="K367" i="9"/>
  <c r="J367" i="9"/>
  <c r="P366" i="9"/>
  <c r="O366" i="9"/>
  <c r="N366" i="9"/>
  <c r="M366" i="9"/>
  <c r="L366" i="9"/>
  <c r="K366" i="9"/>
  <c r="J366" i="9"/>
  <c r="O365" i="9"/>
  <c r="N365" i="9"/>
  <c r="M365" i="9"/>
  <c r="L365" i="9"/>
  <c r="K365" i="9"/>
  <c r="J365" i="9"/>
  <c r="O364" i="9"/>
  <c r="N364" i="9"/>
  <c r="M364" i="9"/>
  <c r="L364" i="9"/>
  <c r="K364" i="9"/>
  <c r="J364" i="9"/>
  <c r="O363" i="9"/>
  <c r="N363" i="9"/>
  <c r="M363" i="9"/>
  <c r="L363" i="9"/>
  <c r="K363" i="9"/>
  <c r="J363" i="9"/>
  <c r="P362" i="9"/>
  <c r="P8" i="9" s="1"/>
  <c r="O362" i="9"/>
  <c r="N362" i="9"/>
  <c r="M362" i="9"/>
  <c r="L362" i="9"/>
  <c r="K362" i="9"/>
  <c r="J362" i="9"/>
  <c r="P361" i="9"/>
  <c r="P7" i="9" s="1"/>
  <c r="O361" i="9"/>
  <c r="N361" i="9"/>
  <c r="M361" i="9"/>
  <c r="L361" i="9"/>
  <c r="K361" i="9"/>
  <c r="J361" i="9"/>
  <c r="P360" i="9"/>
  <c r="P18" i="9" s="1"/>
  <c r="O360" i="9"/>
  <c r="N360" i="9"/>
  <c r="M360" i="9"/>
  <c r="L360" i="9"/>
  <c r="K360" i="9"/>
  <c r="J360" i="9"/>
  <c r="P359" i="9"/>
  <c r="O359" i="9"/>
  <c r="N359" i="9"/>
  <c r="M359" i="9"/>
  <c r="L359" i="9"/>
  <c r="K359" i="9"/>
  <c r="J359" i="9"/>
  <c r="O358" i="9"/>
  <c r="N358" i="9"/>
  <c r="M358" i="9"/>
  <c r="L358" i="9"/>
  <c r="K358" i="9"/>
  <c r="J358" i="9"/>
  <c r="O357" i="9"/>
  <c r="N357" i="9"/>
  <c r="M357" i="9"/>
  <c r="L357" i="9"/>
  <c r="K357" i="9"/>
  <c r="J357" i="9"/>
  <c r="O356" i="9"/>
  <c r="N356" i="9"/>
  <c r="M356" i="9"/>
  <c r="L356" i="9"/>
  <c r="K356" i="9"/>
  <c r="J356" i="9"/>
  <c r="P355" i="9"/>
  <c r="O355" i="9"/>
  <c r="N355" i="9"/>
  <c r="M355" i="9"/>
  <c r="L355" i="9"/>
  <c r="K355" i="9"/>
  <c r="J355" i="9"/>
  <c r="P354" i="9"/>
  <c r="O354" i="9"/>
  <c r="N354" i="9"/>
  <c r="M354" i="9"/>
  <c r="L354" i="9"/>
  <c r="K354" i="9"/>
  <c r="J354" i="9"/>
  <c r="P353" i="9"/>
  <c r="O353" i="9"/>
  <c r="N353" i="9"/>
  <c r="M353" i="9"/>
  <c r="L353" i="9"/>
  <c r="K353" i="9"/>
  <c r="J353" i="9"/>
  <c r="P352" i="9"/>
  <c r="O21" i="9" s="1"/>
  <c r="O352" i="9"/>
  <c r="N352" i="9"/>
  <c r="M352" i="9"/>
  <c r="L352" i="9"/>
  <c r="K352" i="9"/>
  <c r="J352" i="9"/>
  <c r="P351" i="9"/>
  <c r="O20" i="9" s="1"/>
  <c r="O351" i="9"/>
  <c r="N351" i="9"/>
  <c r="M351" i="9"/>
  <c r="L351" i="9"/>
  <c r="K351" i="9"/>
  <c r="J351" i="9"/>
  <c r="P350" i="9"/>
  <c r="O10" i="9" s="1"/>
  <c r="O350" i="9"/>
  <c r="N350" i="9"/>
  <c r="M350" i="9"/>
  <c r="L350" i="9"/>
  <c r="K350" i="9"/>
  <c r="J350" i="9"/>
  <c r="P349" i="9"/>
  <c r="O25" i="9" s="1"/>
  <c r="O349" i="9"/>
  <c r="N349" i="9"/>
  <c r="M349" i="9"/>
  <c r="L349" i="9"/>
  <c r="K349" i="9"/>
  <c r="J349" i="9"/>
  <c r="O348" i="9"/>
  <c r="N348" i="9"/>
  <c r="M348" i="9"/>
  <c r="L348" i="9"/>
  <c r="K348" i="9"/>
  <c r="J348" i="9"/>
  <c r="P347" i="9"/>
  <c r="O24" i="9" s="1"/>
  <c r="O347" i="9"/>
  <c r="N347" i="9"/>
  <c r="M347" i="9"/>
  <c r="L347" i="9"/>
  <c r="K347" i="9"/>
  <c r="J347" i="9"/>
  <c r="P346" i="9"/>
  <c r="O23" i="9" s="1"/>
  <c r="O346" i="9"/>
  <c r="N346" i="9"/>
  <c r="M346" i="9"/>
  <c r="L346" i="9"/>
  <c r="K346" i="9"/>
  <c r="J346" i="9"/>
  <c r="P345" i="9"/>
  <c r="O22" i="9" s="1"/>
  <c r="O345" i="9"/>
  <c r="N345" i="9"/>
  <c r="M345" i="9"/>
  <c r="L345" i="9"/>
  <c r="K345" i="9"/>
  <c r="J345" i="9"/>
  <c r="P344" i="9"/>
  <c r="O8" i="9" s="1"/>
  <c r="O344" i="9"/>
  <c r="N344" i="9"/>
  <c r="M344" i="9"/>
  <c r="L344" i="9"/>
  <c r="K344" i="9"/>
  <c r="J344" i="9"/>
  <c r="P343" i="9"/>
  <c r="O7" i="9" s="1"/>
  <c r="N7" i="9" s="1"/>
  <c r="O343" i="9"/>
  <c r="N343" i="9"/>
  <c r="M343" i="9"/>
  <c r="L343" i="9"/>
  <c r="K343" i="9"/>
  <c r="J343" i="9"/>
  <c r="P342" i="9"/>
  <c r="O18" i="9" s="1"/>
  <c r="N18" i="9" s="1"/>
  <c r="O342" i="9"/>
  <c r="N342" i="9"/>
  <c r="M342" i="9"/>
  <c r="L342" i="9"/>
  <c r="K342" i="9"/>
  <c r="J342" i="9"/>
  <c r="O341" i="9"/>
  <c r="N341" i="9"/>
  <c r="M341" i="9"/>
  <c r="L341" i="9"/>
  <c r="K341" i="9"/>
  <c r="J341" i="9"/>
  <c r="P340" i="9"/>
  <c r="O14" i="9" s="1"/>
  <c r="O340" i="9"/>
  <c r="N340" i="9"/>
  <c r="M340" i="9"/>
  <c r="L340" i="9"/>
  <c r="K340" i="9"/>
  <c r="J340" i="9"/>
  <c r="P339" i="9"/>
  <c r="O13" i="9" s="1"/>
  <c r="O339" i="9"/>
  <c r="N339" i="9"/>
  <c r="M339" i="9"/>
  <c r="L339" i="9"/>
  <c r="K339" i="9"/>
  <c r="J339" i="9"/>
  <c r="P338" i="9"/>
  <c r="O12" i="9" s="1"/>
  <c r="O338" i="9"/>
  <c r="N338" i="9"/>
  <c r="M338" i="9"/>
  <c r="L338" i="9"/>
  <c r="K338" i="9"/>
  <c r="J338" i="9"/>
  <c r="P337" i="9"/>
  <c r="O6" i="9" s="1"/>
  <c r="O337" i="9"/>
  <c r="N337" i="9"/>
  <c r="M337" i="9"/>
  <c r="L337" i="9"/>
  <c r="K337" i="9"/>
  <c r="J337" i="9"/>
  <c r="P336" i="9"/>
  <c r="O17" i="9" s="1"/>
  <c r="O336" i="9"/>
  <c r="N336" i="9"/>
  <c r="M336" i="9"/>
  <c r="L336" i="9"/>
  <c r="K336" i="9"/>
  <c r="J336" i="9"/>
  <c r="P335" i="9"/>
  <c r="O5" i="9" s="1"/>
  <c r="O335" i="9"/>
  <c r="N335" i="9"/>
  <c r="M335" i="9"/>
  <c r="L335" i="9"/>
  <c r="K335" i="9"/>
  <c r="J335" i="9"/>
  <c r="P334" i="9"/>
  <c r="O334" i="9"/>
  <c r="N334" i="9"/>
  <c r="M334" i="9"/>
  <c r="L334" i="9"/>
  <c r="K334" i="9"/>
  <c r="J334" i="9"/>
  <c r="P333" i="9"/>
  <c r="O333" i="9"/>
  <c r="N333" i="9"/>
  <c r="M333" i="9"/>
  <c r="L333" i="9"/>
  <c r="K333" i="9"/>
  <c r="J333" i="9"/>
  <c r="P332" i="9"/>
  <c r="O332" i="9"/>
  <c r="N332" i="9"/>
  <c r="M332" i="9"/>
  <c r="L332" i="9"/>
  <c r="K332" i="9"/>
  <c r="J332" i="9"/>
  <c r="P331" i="9"/>
  <c r="O331" i="9"/>
  <c r="N331" i="9"/>
  <c r="M331" i="9"/>
  <c r="L331" i="9"/>
  <c r="K331" i="9"/>
  <c r="J331" i="9"/>
  <c r="P330" i="9"/>
  <c r="O330" i="9"/>
  <c r="N330" i="9"/>
  <c r="M330" i="9"/>
  <c r="L330" i="9"/>
  <c r="K330" i="9"/>
  <c r="J330" i="9"/>
  <c r="P329" i="9"/>
  <c r="O329" i="9"/>
  <c r="N329" i="9"/>
  <c r="M329" i="9"/>
  <c r="L329" i="9"/>
  <c r="K329" i="9"/>
  <c r="J329" i="9"/>
  <c r="P328" i="9"/>
  <c r="O328" i="9"/>
  <c r="N328" i="9"/>
  <c r="M328" i="9"/>
  <c r="L328" i="9"/>
  <c r="K328" i="9"/>
  <c r="J328" i="9"/>
  <c r="P327" i="9"/>
  <c r="O327" i="9"/>
  <c r="N327" i="9"/>
  <c r="M327" i="9"/>
  <c r="L327" i="9"/>
  <c r="K327" i="9"/>
  <c r="J327" i="9"/>
  <c r="P326" i="9"/>
  <c r="O326" i="9"/>
  <c r="N326" i="9"/>
  <c r="M326" i="9"/>
  <c r="L326" i="9"/>
  <c r="K326" i="9"/>
  <c r="J326" i="9"/>
  <c r="P325" i="9"/>
  <c r="O325" i="9"/>
  <c r="N325" i="9"/>
  <c r="M325" i="9"/>
  <c r="L325" i="9"/>
  <c r="K325" i="9"/>
  <c r="J325" i="9"/>
  <c r="P324" i="9"/>
  <c r="O324" i="9"/>
  <c r="N324" i="9"/>
  <c r="M324" i="9"/>
  <c r="L324" i="9"/>
  <c r="K324" i="9"/>
  <c r="J324" i="9"/>
  <c r="P323" i="9"/>
  <c r="O323" i="9"/>
  <c r="N323" i="9"/>
  <c r="M323" i="9"/>
  <c r="L323" i="9"/>
  <c r="K323" i="9"/>
  <c r="J323" i="9"/>
  <c r="P322" i="9"/>
  <c r="O322" i="9"/>
  <c r="N322" i="9"/>
  <c r="M322" i="9"/>
  <c r="L322" i="9"/>
  <c r="K322" i="9"/>
  <c r="J322" i="9"/>
  <c r="P321" i="9"/>
  <c r="O321" i="9"/>
  <c r="N321" i="9"/>
  <c r="M321" i="9"/>
  <c r="L321" i="9"/>
  <c r="K321" i="9"/>
  <c r="J321" i="9"/>
  <c r="P320" i="9"/>
  <c r="O320" i="9"/>
  <c r="N320" i="9"/>
  <c r="M320" i="9"/>
  <c r="L320" i="9"/>
  <c r="K320" i="9"/>
  <c r="J320" i="9"/>
  <c r="P319" i="9"/>
  <c r="O319" i="9"/>
  <c r="N319" i="9"/>
  <c r="M319" i="9"/>
  <c r="L319" i="9"/>
  <c r="K319" i="9"/>
  <c r="J319" i="9"/>
  <c r="P318" i="9"/>
  <c r="O318" i="9"/>
  <c r="N318" i="9"/>
  <c r="M318" i="9"/>
  <c r="L318" i="9"/>
  <c r="K318" i="9"/>
  <c r="J318" i="9"/>
  <c r="P317" i="9"/>
  <c r="O317" i="9"/>
  <c r="N317" i="9"/>
  <c r="M317" i="9"/>
  <c r="L317" i="9"/>
  <c r="K317" i="9"/>
  <c r="J317" i="9"/>
  <c r="P316" i="9"/>
  <c r="O316" i="9"/>
  <c r="N316" i="9"/>
  <c r="M316" i="9"/>
  <c r="L316" i="9"/>
  <c r="K316" i="9"/>
  <c r="J316" i="9"/>
  <c r="P315" i="9"/>
  <c r="O315" i="9"/>
  <c r="N315" i="9"/>
  <c r="M315" i="9"/>
  <c r="L315" i="9"/>
  <c r="K315" i="9"/>
  <c r="J315" i="9"/>
  <c r="O314" i="9"/>
  <c r="N314" i="9"/>
  <c r="M314" i="9"/>
  <c r="L314" i="9"/>
  <c r="K314" i="9"/>
  <c r="J314" i="9"/>
  <c r="P313" i="9"/>
  <c r="O313" i="9"/>
  <c r="N313" i="9"/>
  <c r="M313" i="9"/>
  <c r="L313" i="9"/>
  <c r="K313" i="9"/>
  <c r="J313" i="9"/>
  <c r="P312" i="9"/>
  <c r="O312" i="9"/>
  <c r="N312" i="9"/>
  <c r="M312" i="9"/>
  <c r="L312" i="9"/>
  <c r="K312" i="9"/>
  <c r="J312" i="9"/>
  <c r="O311" i="9"/>
  <c r="N311" i="9"/>
  <c r="M311" i="9"/>
  <c r="L311" i="9"/>
  <c r="K311" i="9"/>
  <c r="J311" i="9"/>
  <c r="P310" i="9"/>
  <c r="O310" i="9"/>
  <c r="N310" i="9"/>
  <c r="M310" i="9"/>
  <c r="L310" i="9"/>
  <c r="K310" i="9"/>
  <c r="J310" i="9"/>
  <c r="O309" i="9"/>
  <c r="N309" i="9"/>
  <c r="M309" i="9"/>
  <c r="L309" i="9"/>
  <c r="K309" i="9"/>
  <c r="J309" i="9"/>
  <c r="O308" i="9"/>
  <c r="N308" i="9"/>
  <c r="M308" i="9"/>
  <c r="L308" i="9"/>
  <c r="K308" i="9"/>
  <c r="J308" i="9"/>
  <c r="P307" i="9"/>
  <c r="K7" i="9" s="1"/>
  <c r="O307" i="9"/>
  <c r="N307" i="9"/>
  <c r="M307" i="9"/>
  <c r="L307" i="9"/>
  <c r="K307" i="9"/>
  <c r="J307" i="9"/>
  <c r="O306" i="9"/>
  <c r="N306" i="9"/>
  <c r="M306" i="9"/>
  <c r="L306" i="9"/>
  <c r="K306" i="9"/>
  <c r="J306" i="9"/>
  <c r="O305" i="9"/>
  <c r="N305" i="9"/>
  <c r="M305" i="9"/>
  <c r="L305" i="9"/>
  <c r="K305" i="9"/>
  <c r="J305" i="9"/>
  <c r="P304" i="9"/>
  <c r="K14" i="9" s="1"/>
  <c r="O304" i="9"/>
  <c r="N304" i="9"/>
  <c r="M304" i="9"/>
  <c r="L304" i="9"/>
  <c r="K304" i="9"/>
  <c r="J304" i="9"/>
  <c r="P303" i="9"/>
  <c r="K13" i="9" s="1"/>
  <c r="O303" i="9"/>
  <c r="N303" i="9"/>
  <c r="M303" i="9"/>
  <c r="L303" i="9"/>
  <c r="K303" i="9"/>
  <c r="J303" i="9"/>
  <c r="O302" i="9"/>
  <c r="N302" i="9"/>
  <c r="M302" i="9"/>
  <c r="L302" i="9"/>
  <c r="K302" i="9"/>
  <c r="J302" i="9"/>
  <c r="P301" i="9"/>
  <c r="O301" i="9"/>
  <c r="N301" i="9"/>
  <c r="M301" i="9"/>
  <c r="L301" i="9"/>
  <c r="K301" i="9"/>
  <c r="J301" i="9"/>
  <c r="P300" i="9"/>
  <c r="O300" i="9"/>
  <c r="N300" i="9"/>
  <c r="M300" i="9"/>
  <c r="L300" i="9"/>
  <c r="K300" i="9"/>
  <c r="J300" i="9"/>
  <c r="O299" i="9"/>
  <c r="N299" i="9"/>
  <c r="M299" i="9"/>
  <c r="L299" i="9"/>
  <c r="K299" i="9"/>
  <c r="J299" i="9"/>
  <c r="P298" i="9"/>
  <c r="J21" i="9" s="1"/>
  <c r="O298" i="9"/>
  <c r="N298" i="9"/>
  <c r="M298" i="9"/>
  <c r="L298" i="9"/>
  <c r="K298" i="9"/>
  <c r="J298" i="9"/>
  <c r="P297" i="9"/>
  <c r="J20" i="9" s="1"/>
  <c r="O297" i="9"/>
  <c r="N297" i="9"/>
  <c r="M297" i="9"/>
  <c r="L297" i="9"/>
  <c r="K297" i="9"/>
  <c r="J297" i="9"/>
  <c r="P296" i="9"/>
  <c r="J10" i="9" s="1"/>
  <c r="O296" i="9"/>
  <c r="N296" i="9"/>
  <c r="M296" i="9"/>
  <c r="L296" i="9"/>
  <c r="K296" i="9"/>
  <c r="J296" i="9"/>
  <c r="O295" i="9"/>
  <c r="N295" i="9"/>
  <c r="M295" i="9"/>
  <c r="L295" i="9"/>
  <c r="K295" i="9"/>
  <c r="J295" i="9"/>
  <c r="P294" i="9"/>
  <c r="J9" i="9" s="1"/>
  <c r="O294" i="9"/>
  <c r="N294" i="9"/>
  <c r="M294" i="9"/>
  <c r="L294" i="9"/>
  <c r="K294" i="9"/>
  <c r="J294" i="9"/>
  <c r="O293" i="9"/>
  <c r="N293" i="9"/>
  <c r="M293" i="9"/>
  <c r="L293" i="9"/>
  <c r="K293" i="9"/>
  <c r="J293" i="9"/>
  <c r="O292" i="9"/>
  <c r="N292" i="9"/>
  <c r="M292" i="9"/>
  <c r="L292" i="9"/>
  <c r="K292" i="9"/>
  <c r="J292" i="9"/>
  <c r="P291" i="9"/>
  <c r="J22" i="9" s="1"/>
  <c r="O291" i="9"/>
  <c r="N291" i="9"/>
  <c r="M291" i="9"/>
  <c r="L291" i="9"/>
  <c r="K291" i="9"/>
  <c r="J291" i="9"/>
  <c r="P290" i="9"/>
  <c r="J8" i="9" s="1"/>
  <c r="O290" i="9"/>
  <c r="N290" i="9"/>
  <c r="M290" i="9"/>
  <c r="L290" i="9"/>
  <c r="K290" i="9"/>
  <c r="J290" i="9"/>
  <c r="P289" i="9"/>
  <c r="J7" i="9" s="1"/>
  <c r="O289" i="9"/>
  <c r="N289" i="9"/>
  <c r="M289" i="9"/>
  <c r="L289" i="9"/>
  <c r="K289" i="9"/>
  <c r="J289" i="9"/>
  <c r="O288" i="9"/>
  <c r="N288" i="9"/>
  <c r="M288" i="9"/>
  <c r="L288" i="9"/>
  <c r="K288" i="9"/>
  <c r="J288" i="9"/>
  <c r="O287" i="9"/>
  <c r="N287" i="9"/>
  <c r="M287" i="9"/>
  <c r="L287" i="9"/>
  <c r="K287" i="9"/>
  <c r="J287" i="9"/>
  <c r="O286" i="9"/>
  <c r="N286" i="9"/>
  <c r="M286" i="9"/>
  <c r="L286" i="9"/>
  <c r="K286" i="9"/>
  <c r="J286" i="9"/>
  <c r="O285" i="9"/>
  <c r="N285" i="9"/>
  <c r="M285" i="9"/>
  <c r="L285" i="9"/>
  <c r="K285" i="9"/>
  <c r="J285" i="9"/>
  <c r="O284" i="9"/>
  <c r="N284" i="9"/>
  <c r="M284" i="9"/>
  <c r="L284" i="9"/>
  <c r="K284" i="9"/>
  <c r="J284" i="9"/>
  <c r="P283" i="9"/>
  <c r="J6" i="9" s="1"/>
  <c r="O283" i="9"/>
  <c r="N283" i="9"/>
  <c r="M283" i="9"/>
  <c r="L283" i="9"/>
  <c r="K283" i="9"/>
  <c r="J283" i="9"/>
  <c r="P282" i="9"/>
  <c r="J17" i="9" s="1"/>
  <c r="O282" i="9"/>
  <c r="N282" i="9"/>
  <c r="M282" i="9"/>
  <c r="L282" i="9"/>
  <c r="K282" i="9"/>
  <c r="J282" i="9"/>
  <c r="P281" i="9"/>
  <c r="J5" i="9" s="1"/>
  <c r="O281" i="9"/>
  <c r="N281" i="9"/>
  <c r="M281" i="9"/>
  <c r="L281" i="9"/>
  <c r="K281" i="9"/>
  <c r="J281" i="9"/>
  <c r="I35" i="5"/>
  <c r="H35" i="5"/>
  <c r="H29" i="5"/>
  <c r="H28" i="5"/>
  <c r="H27" i="5"/>
  <c r="H26" i="5"/>
  <c r="I24" i="5"/>
  <c r="H24" i="5"/>
  <c r="I23" i="5"/>
  <c r="H23" i="5"/>
  <c r="I22" i="5"/>
  <c r="H22" i="5"/>
  <c r="I21" i="5"/>
  <c r="H21" i="5"/>
  <c r="I17" i="5"/>
  <c r="H17" i="5"/>
  <c r="I15" i="5"/>
  <c r="H15" i="5"/>
  <c r="H14" i="5"/>
  <c r="I13" i="5"/>
  <c r="H13" i="5"/>
  <c r="H12" i="5"/>
  <c r="I11" i="5"/>
  <c r="H11" i="5"/>
  <c r="I10" i="5"/>
  <c r="H10" i="5"/>
  <c r="I9" i="5"/>
  <c r="H9" i="5"/>
  <c r="I8" i="5"/>
  <c r="H8" i="5"/>
  <c r="I7" i="5"/>
  <c r="H7" i="5"/>
  <c r="I6" i="5"/>
  <c r="H6" i="5"/>
  <c r="I5" i="5"/>
  <c r="H5" i="5"/>
  <c r="X120" i="4"/>
  <c r="U120" i="4"/>
  <c r="R120" i="4"/>
  <c r="O120" i="4"/>
  <c r="X87" i="4"/>
  <c r="R87" i="4"/>
  <c r="O87" i="4"/>
  <c r="X81" i="4"/>
  <c r="U81" i="4"/>
  <c r="R81" i="4"/>
  <c r="O81" i="4"/>
  <c r="X75" i="4"/>
  <c r="U75" i="4"/>
  <c r="R75" i="4"/>
  <c r="O75" i="4"/>
  <c r="X49" i="4"/>
  <c r="U49" i="4"/>
  <c r="R49" i="4"/>
  <c r="O49" i="4"/>
  <c r="K36" i="4"/>
  <c r="K7" i="5" s="1"/>
  <c r="K18" i="5" s="1"/>
  <c r="X46" i="4"/>
  <c r="U46" i="4"/>
  <c r="R46" i="4"/>
  <c r="O46" i="4"/>
  <c r="G40" i="4"/>
  <c r="G36" i="4"/>
  <c r="G52" i="4"/>
  <c r="L52" i="4"/>
  <c r="D25" i="5"/>
  <c r="D31" i="5" s="1"/>
  <c r="C18" i="5"/>
  <c r="B18" i="5"/>
  <c r="D18" i="5"/>
  <c r="X38" i="4"/>
  <c r="U38" i="4"/>
  <c r="R38" i="4"/>
  <c r="O38" i="4"/>
  <c r="X37" i="4"/>
  <c r="X36" i="4" s="1"/>
  <c r="U37" i="4"/>
  <c r="R37" i="4"/>
  <c r="O37" i="4"/>
  <c r="K118" i="4"/>
  <c r="K15" i="5" s="1"/>
  <c r="G118" i="4"/>
  <c r="K103" i="4"/>
  <c r="K14" i="5" s="1"/>
  <c r="G103" i="4"/>
  <c r="K94" i="4"/>
  <c r="K13" i="5" s="1"/>
  <c r="G94" i="4"/>
  <c r="K84" i="4"/>
  <c r="K12" i="5" s="1"/>
  <c r="G84" i="4"/>
  <c r="K40" i="4"/>
  <c r="K8" i="5" s="1"/>
  <c r="L118" i="4"/>
  <c r="L82" i="4"/>
  <c r="L39" i="4"/>
  <c r="G6" i="4"/>
  <c r="X90" i="4"/>
  <c r="O90" i="4"/>
  <c r="X86" i="4"/>
  <c r="R86" i="4"/>
  <c r="O86" i="4"/>
  <c r="U79" i="4"/>
  <c r="O79" i="4"/>
  <c r="Y31" i="4"/>
  <c r="Y27" i="4"/>
  <c r="Y23" i="4"/>
  <c r="Y22" i="4"/>
  <c r="Y21" i="4"/>
  <c r="A276" i="14"/>
  <c r="A275" i="14"/>
  <c r="A274" i="14"/>
  <c r="A273" i="14"/>
  <c r="A272" i="14"/>
  <c r="A271" i="14"/>
  <c r="A270" i="14"/>
  <c r="A269" i="14"/>
  <c r="A268" i="14"/>
  <c r="A267" i="14"/>
  <c r="A266" i="14"/>
  <c r="A265" i="14"/>
  <c r="A264" i="14"/>
  <c r="A263" i="14"/>
  <c r="A262" i="14"/>
  <c r="A261" i="14"/>
  <c r="A260" i="14"/>
  <c r="A259" i="14"/>
  <c r="A258" i="14"/>
  <c r="A257" i="14"/>
  <c r="A256" i="14"/>
  <c r="A255" i="14"/>
  <c r="A254" i="14"/>
  <c r="A253" i="14"/>
  <c r="A252" i="14"/>
  <c r="A251" i="14"/>
  <c r="A250" i="14"/>
  <c r="A249" i="14"/>
  <c r="A248" i="14"/>
  <c r="A247" i="14"/>
  <c r="A246" i="14"/>
  <c r="A245" i="14"/>
  <c r="A244" i="14"/>
  <c r="A243" i="14"/>
  <c r="A242" i="14"/>
  <c r="A241" i="14"/>
  <c r="A240" i="14"/>
  <c r="A239" i="14"/>
  <c r="A238" i="14"/>
  <c r="A237" i="14"/>
  <c r="A236" i="14"/>
  <c r="A235" i="14"/>
  <c r="A234" i="14"/>
  <c r="A233" i="14"/>
  <c r="A232" i="14"/>
  <c r="A231" i="14"/>
  <c r="A230" i="14"/>
  <c r="A229" i="14"/>
  <c r="A228" i="14"/>
  <c r="A227" i="14"/>
  <c r="A226" i="14"/>
  <c r="A225" i="14"/>
  <c r="A224" i="14"/>
  <c r="A223" i="14"/>
  <c r="A222" i="14"/>
  <c r="A221" i="14"/>
  <c r="A220" i="14"/>
  <c r="A219" i="14"/>
  <c r="A218" i="14"/>
  <c r="A217" i="14"/>
  <c r="A216" i="14"/>
  <c r="A215" i="14"/>
  <c r="A214" i="14"/>
  <c r="A213" i="14"/>
  <c r="A212" i="14"/>
  <c r="A211" i="14"/>
  <c r="A210" i="14"/>
  <c r="A209" i="14"/>
  <c r="A208" i="14"/>
  <c r="A207" i="14"/>
  <c r="A206" i="14"/>
  <c r="A205" i="14"/>
  <c r="A204" i="14"/>
  <c r="A203" i="14"/>
  <c r="A202" i="14"/>
  <c r="A201" i="14"/>
  <c r="A200" i="14"/>
  <c r="A199" i="14"/>
  <c r="A198" i="14"/>
  <c r="A197" i="14"/>
  <c r="A196" i="14"/>
  <c r="A195" i="14"/>
  <c r="A194" i="14"/>
  <c r="A193" i="14"/>
  <c r="A192" i="14"/>
  <c r="A191" i="14"/>
  <c r="A190" i="14"/>
  <c r="A189" i="14"/>
  <c r="A188" i="14"/>
  <c r="A187" i="14"/>
  <c r="A186" i="14"/>
  <c r="A185" i="14"/>
  <c r="A184" i="14"/>
  <c r="A183" i="14"/>
  <c r="A182" i="14"/>
  <c r="A181" i="14"/>
  <c r="A180" i="14"/>
  <c r="A179" i="14"/>
  <c r="A178" i="14"/>
  <c r="A177" i="14"/>
  <c r="A176" i="14"/>
  <c r="A175" i="14"/>
  <c r="A174" i="14"/>
  <c r="A173" i="14"/>
  <c r="A172" i="14"/>
  <c r="A171" i="14"/>
  <c r="A170" i="14"/>
  <c r="A169" i="14"/>
  <c r="A168" i="14"/>
  <c r="A167" i="14"/>
  <c r="A166" i="14"/>
  <c r="A165" i="14"/>
  <c r="A164" i="14"/>
  <c r="A163" i="14"/>
  <c r="A162" i="14"/>
  <c r="A161" i="14"/>
  <c r="A160" i="14"/>
  <c r="A159" i="14"/>
  <c r="A158" i="14"/>
  <c r="A157" i="14"/>
  <c r="A156" i="14"/>
  <c r="A155" i="14"/>
  <c r="A154" i="14"/>
  <c r="A153" i="14"/>
  <c r="A152" i="14"/>
  <c r="A151" i="14"/>
  <c r="A150" i="14"/>
  <c r="A149" i="14"/>
  <c r="A148" i="14"/>
  <c r="A147" i="14"/>
  <c r="A146" i="14"/>
  <c r="A145" i="14"/>
  <c r="A144" i="14"/>
  <c r="A143" i="14"/>
  <c r="A142" i="14"/>
  <c r="A141" i="14"/>
  <c r="A140" i="14"/>
  <c r="A139" i="14"/>
  <c r="A138" i="14"/>
  <c r="A137" i="14"/>
  <c r="A136" i="14"/>
  <c r="A135" i="14"/>
  <c r="A134" i="14"/>
  <c r="A133" i="14"/>
  <c r="A132" i="14"/>
  <c r="A131" i="14"/>
  <c r="A130" i="14"/>
  <c r="A129" i="14"/>
  <c r="A128" i="14"/>
  <c r="A127" i="14"/>
  <c r="A126" i="14"/>
  <c r="A125" i="14"/>
  <c r="A124" i="14"/>
  <c r="A123" i="14"/>
  <c r="A122" i="14"/>
  <c r="A121" i="14"/>
  <c r="A120" i="14"/>
  <c r="A119" i="14"/>
  <c r="A118" i="14"/>
  <c r="A117" i="14"/>
  <c r="A116" i="14"/>
  <c r="A115" i="14"/>
  <c r="A114" i="14"/>
  <c r="A113" i="14"/>
  <c r="A112" i="14"/>
  <c r="A111" i="14"/>
  <c r="A110" i="14"/>
  <c r="A109" i="14"/>
  <c r="A108" i="14"/>
  <c r="A107" i="14"/>
  <c r="A106" i="14"/>
  <c r="A105" i="14"/>
  <c r="A104" i="14"/>
  <c r="A103" i="14"/>
  <c r="A102" i="14"/>
  <c r="A101" i="14"/>
  <c r="A100" i="14"/>
  <c r="A99" i="14"/>
  <c r="A98" i="14"/>
  <c r="A97" i="14"/>
  <c r="A96" i="14"/>
  <c r="A95" i="14"/>
  <c r="A94" i="14"/>
  <c r="A93" i="14"/>
  <c r="A92" i="14"/>
  <c r="A91" i="14"/>
  <c r="A90" i="14"/>
  <c r="A89" i="14"/>
  <c r="A88" i="14"/>
  <c r="A87" i="14"/>
  <c r="A86" i="14"/>
  <c r="A85" i="14"/>
  <c r="A84" i="14"/>
  <c r="A83" i="14"/>
  <c r="A82" i="14"/>
  <c r="A81" i="14"/>
  <c r="A80" i="14"/>
  <c r="A79" i="14"/>
  <c r="A78" i="14"/>
  <c r="A77" i="14"/>
  <c r="A76" i="14"/>
  <c r="A75" i="14"/>
  <c r="A74" i="14"/>
  <c r="A73" i="14"/>
  <c r="A72" i="14"/>
  <c r="A42" i="14"/>
  <c r="A275" i="3"/>
  <c r="A274" i="3"/>
  <c r="A273" i="3"/>
  <c r="A272" i="3"/>
  <c r="A271" i="3"/>
  <c r="A270" i="3"/>
  <c r="A269" i="3"/>
  <c r="A268" i="3"/>
  <c r="A267" i="3"/>
  <c r="A266" i="3"/>
  <c r="A265" i="3"/>
  <c r="A264" i="3"/>
  <c r="A263" i="3"/>
  <c r="A262" i="3"/>
  <c r="A261" i="3"/>
  <c r="A260" i="3"/>
  <c r="A259" i="3"/>
  <c r="A258" i="3"/>
  <c r="A257" i="3"/>
  <c r="A256" i="3"/>
  <c r="A255" i="3"/>
  <c r="A254" i="3"/>
  <c r="A253" i="3"/>
  <c r="A252" i="3"/>
  <c r="A251" i="3"/>
  <c r="A250" i="3"/>
  <c r="A249" i="3"/>
  <c r="A248" i="3"/>
  <c r="A247" i="3"/>
  <c r="A246" i="3"/>
  <c r="A245" i="3"/>
  <c r="A244" i="3"/>
  <c r="A243" i="3"/>
  <c r="A242" i="3"/>
  <c r="A241" i="3"/>
  <c r="A240" i="3"/>
  <c r="A239" i="3"/>
  <c r="A238" i="3"/>
  <c r="A237" i="3"/>
  <c r="A236" i="3"/>
  <c r="A235" i="3"/>
  <c r="A234" i="3"/>
  <c r="A233" i="3"/>
  <c r="A232" i="3"/>
  <c r="A231" i="3"/>
  <c r="A230" i="3"/>
  <c r="A229" i="3"/>
  <c r="A228" i="3"/>
  <c r="A227" i="3"/>
  <c r="A226" i="3"/>
  <c r="A225" i="3"/>
  <c r="A224" i="3"/>
  <c r="A223" i="3"/>
  <c r="A222" i="3"/>
  <c r="A221" i="3"/>
  <c r="A220" i="3"/>
  <c r="A219" i="3"/>
  <c r="A218" i="3"/>
  <c r="A217" i="3"/>
  <c r="A216" i="3"/>
  <c r="A215" i="3"/>
  <c r="A214" i="3"/>
  <c r="A213" i="3"/>
  <c r="A212" i="3"/>
  <c r="A211" i="3"/>
  <c r="A210" i="3"/>
  <c r="A209" i="3"/>
  <c r="A208" i="3"/>
  <c r="A207" i="3"/>
  <c r="A206" i="3"/>
  <c r="A205" i="3"/>
  <c r="A204" i="3"/>
  <c r="A203" i="3"/>
  <c r="A202" i="3"/>
  <c r="A201" i="3"/>
  <c r="A200" i="3"/>
  <c r="A199" i="3"/>
  <c r="A198" i="3"/>
  <c r="A197" i="3"/>
  <c r="A196" i="3"/>
  <c r="A195" i="3"/>
  <c r="A194" i="3"/>
  <c r="A193" i="3"/>
  <c r="A192" i="3"/>
  <c r="A191" i="3"/>
  <c r="A190" i="3"/>
  <c r="A189" i="3"/>
  <c r="A188" i="3"/>
  <c r="A187" i="3"/>
  <c r="A186" i="3"/>
  <c r="A185" i="3"/>
  <c r="A184" i="3"/>
  <c r="A183" i="3"/>
  <c r="A182" i="3"/>
  <c r="A181" i="3"/>
  <c r="A180" i="3"/>
  <c r="A179" i="3"/>
  <c r="A178" i="3"/>
  <c r="A177" i="3"/>
  <c r="A176" i="3"/>
  <c r="A175" i="3"/>
  <c r="A174" i="3"/>
  <c r="A173" i="3"/>
  <c r="A172" i="3"/>
  <c r="A171" i="3"/>
  <c r="A170" i="3"/>
  <c r="A169" i="3"/>
  <c r="A168" i="3"/>
  <c r="A167" i="3"/>
  <c r="A166" i="3"/>
  <c r="A165" i="3"/>
  <c r="A164" i="3"/>
  <c r="A163" i="3"/>
  <c r="A162" i="3"/>
  <c r="A161" i="3"/>
  <c r="A160" i="3"/>
  <c r="A159" i="3"/>
  <c r="A158" i="3"/>
  <c r="A157" i="3"/>
  <c r="A156" i="3"/>
  <c r="A155" i="3"/>
  <c r="A154" i="3"/>
  <c r="A153" i="3"/>
  <c r="A152" i="3"/>
  <c r="A151" i="3"/>
  <c r="A150" i="3"/>
  <c r="A149" i="3"/>
  <c r="A148" i="3"/>
  <c r="A147" i="3"/>
  <c r="A146" i="3"/>
  <c r="A145" i="3"/>
  <c r="A144" i="3"/>
  <c r="A143" i="3"/>
  <c r="A142" i="3"/>
  <c r="A141" i="3"/>
  <c r="A140" i="3"/>
  <c r="A139" i="3"/>
  <c r="A138" i="3"/>
  <c r="A137" i="3"/>
  <c r="A136" i="3"/>
  <c r="A135" i="3"/>
  <c r="A134" i="3"/>
  <c r="A133" i="3"/>
  <c r="A132" i="3"/>
  <c r="A131" i="3"/>
  <c r="A130" i="3"/>
  <c r="A129" i="3"/>
  <c r="A128" i="3"/>
  <c r="A127" i="3"/>
  <c r="A126" i="3"/>
  <c r="A125" i="3"/>
  <c r="A124" i="3"/>
  <c r="A123" i="3"/>
  <c r="A122" i="3"/>
  <c r="A121" i="3"/>
  <c r="A120" i="3"/>
  <c r="A119" i="3"/>
  <c r="A118" i="3"/>
  <c r="A117" i="3"/>
  <c r="A116" i="3"/>
  <c r="A115" i="3"/>
  <c r="A114" i="3"/>
  <c r="A278" i="10"/>
  <c r="A277" i="10"/>
  <c r="A276" i="10"/>
  <c r="A275" i="10"/>
  <c r="A274" i="10"/>
  <c r="A273" i="10"/>
  <c r="A272" i="10"/>
  <c r="A271" i="10"/>
  <c r="A270" i="10"/>
  <c r="A269" i="10"/>
  <c r="A268" i="10"/>
  <c r="A267" i="10"/>
  <c r="A266" i="10"/>
  <c r="A265" i="10"/>
  <c r="A264" i="10"/>
  <c r="A263" i="10"/>
  <c r="A262" i="10"/>
  <c r="A261" i="10"/>
  <c r="A260" i="10"/>
  <c r="A259" i="10"/>
  <c r="A258" i="10"/>
  <c r="A257" i="10"/>
  <c r="A256" i="10"/>
  <c r="A255" i="10"/>
  <c r="A254" i="10"/>
  <c r="A253" i="10"/>
  <c r="A252" i="10"/>
  <c r="A251" i="10"/>
  <c r="A250" i="10"/>
  <c r="A249" i="10"/>
  <c r="A248" i="10"/>
  <c r="A247" i="10"/>
  <c r="A246" i="10"/>
  <c r="A245" i="10"/>
  <c r="A244" i="10"/>
  <c r="A243" i="10"/>
  <c r="A242" i="10"/>
  <c r="A241" i="10"/>
  <c r="A240" i="10"/>
  <c r="A239" i="10"/>
  <c r="A238" i="10"/>
  <c r="A237" i="10"/>
  <c r="A236" i="10"/>
  <c r="A235" i="10"/>
  <c r="A234" i="10"/>
  <c r="A233" i="10"/>
  <c r="A232" i="10"/>
  <c r="A231" i="10"/>
  <c r="A230" i="10"/>
  <c r="A229" i="10"/>
  <c r="A228" i="10"/>
  <c r="A227" i="10"/>
  <c r="A226" i="10"/>
  <c r="A225" i="10"/>
  <c r="A224" i="10"/>
  <c r="A223" i="10"/>
  <c r="A222" i="10"/>
  <c r="A221" i="10"/>
  <c r="A220" i="10"/>
  <c r="A219" i="10"/>
  <c r="A218" i="10"/>
  <c r="A217" i="10"/>
  <c r="A216" i="10"/>
  <c r="A215" i="10"/>
  <c r="A214" i="10"/>
  <c r="A213" i="10"/>
  <c r="A212" i="10"/>
  <c r="A211" i="10"/>
  <c r="A210" i="10"/>
  <c r="A209" i="10"/>
  <c r="A208" i="10"/>
  <c r="A207" i="10"/>
  <c r="A206" i="10"/>
  <c r="A205" i="10"/>
  <c r="A204" i="10"/>
  <c r="A203" i="10"/>
  <c r="A202" i="10"/>
  <c r="A201" i="10"/>
  <c r="A200" i="10"/>
  <c r="A199" i="10"/>
  <c r="A198" i="10"/>
  <c r="A197" i="10"/>
  <c r="A196" i="10"/>
  <c r="A195" i="10"/>
  <c r="A194" i="10"/>
  <c r="A193" i="10"/>
  <c r="A192" i="10"/>
  <c r="A191" i="10"/>
  <c r="A190" i="10"/>
  <c r="A189" i="10"/>
  <c r="A188" i="10"/>
  <c r="A187" i="10"/>
  <c r="A186" i="10"/>
  <c r="A185" i="10"/>
  <c r="A184" i="10"/>
  <c r="A183" i="10"/>
  <c r="A182" i="10"/>
  <c r="A181" i="10"/>
  <c r="A180" i="10"/>
  <c r="A179" i="10"/>
  <c r="A178" i="10"/>
  <c r="A177" i="10"/>
  <c r="A176" i="10"/>
  <c r="A175" i="10"/>
  <c r="A174" i="10"/>
  <c r="A173" i="10"/>
  <c r="A172" i="10"/>
  <c r="A171" i="10"/>
  <c r="A170" i="10"/>
  <c r="A169" i="10"/>
  <c r="A168" i="10"/>
  <c r="A167" i="10"/>
  <c r="A166" i="10"/>
  <c r="A165" i="10"/>
  <c r="A164" i="10"/>
  <c r="A163" i="10"/>
  <c r="A162" i="10"/>
  <c r="A161" i="10"/>
  <c r="A160" i="10"/>
  <c r="A159" i="10"/>
  <c r="A158" i="10"/>
  <c r="A157" i="10"/>
  <c r="A156" i="10"/>
  <c r="A155" i="10"/>
  <c r="A154" i="10"/>
  <c r="A153" i="10"/>
  <c r="A152" i="10"/>
  <c r="A151" i="10"/>
  <c r="A150" i="10"/>
  <c r="A149" i="10"/>
  <c r="A148" i="10"/>
  <c r="A147" i="10"/>
  <c r="A146" i="10"/>
  <c r="A145" i="10"/>
  <c r="A144" i="10"/>
  <c r="A143" i="10"/>
  <c r="A142" i="10"/>
  <c r="A141" i="10"/>
  <c r="A140" i="10"/>
  <c r="A139" i="10"/>
  <c r="A138" i="10"/>
  <c r="A137" i="10"/>
  <c r="A136" i="10"/>
  <c r="A135" i="10"/>
  <c r="A134" i="10"/>
  <c r="A133" i="10"/>
  <c r="A132" i="10"/>
  <c r="A131" i="10"/>
  <c r="A130" i="10"/>
  <c r="A129" i="10"/>
  <c r="A128" i="10"/>
  <c r="A127" i="10"/>
  <c r="A126" i="10"/>
  <c r="A125" i="10"/>
  <c r="A124" i="10"/>
  <c r="A123" i="10"/>
  <c r="A122" i="10"/>
  <c r="A121" i="10"/>
  <c r="A120" i="10"/>
  <c r="A119" i="10"/>
  <c r="A118" i="10"/>
  <c r="A117" i="10"/>
  <c r="A116" i="10"/>
  <c r="A115" i="10"/>
  <c r="A114" i="10"/>
  <c r="A113" i="10"/>
  <c r="A112" i="10"/>
  <c r="A111" i="10"/>
  <c r="A110" i="10"/>
  <c r="A109" i="10"/>
  <c r="A108" i="10"/>
  <c r="A107" i="10"/>
  <c r="A106" i="10"/>
  <c r="A105" i="10"/>
  <c r="A104" i="10"/>
  <c r="A103" i="10"/>
  <c r="A102" i="10"/>
  <c r="A101" i="10"/>
  <c r="A100" i="10"/>
  <c r="A99" i="10"/>
  <c r="A98" i="10"/>
  <c r="A97" i="10"/>
  <c r="A96" i="10"/>
  <c r="A95" i="10"/>
  <c r="A94" i="10"/>
  <c r="A93" i="10"/>
  <c r="A92" i="10"/>
  <c r="I29" i="5"/>
  <c r="G28" i="5"/>
  <c r="I28" i="5" s="1"/>
  <c r="G27" i="5"/>
  <c r="I27" i="5" s="1"/>
  <c r="I26" i="5"/>
  <c r="G25" i="5"/>
  <c r="F25" i="5"/>
  <c r="L66" i="12"/>
  <c r="T29" i="12"/>
  <c r="K43" i="12" s="1"/>
  <c r="T27" i="12"/>
  <c r="K41" i="12" s="1"/>
  <c r="T26" i="12"/>
  <c r="K40" i="12" s="1"/>
  <c r="T25" i="12"/>
  <c r="K39" i="12" s="1"/>
  <c r="T24" i="12"/>
  <c r="K38" i="12" s="1"/>
  <c r="T23" i="12"/>
  <c r="K37" i="12" s="1"/>
  <c r="T22" i="12"/>
  <c r="K36" i="12" s="1"/>
  <c r="U29" i="12"/>
  <c r="U28" i="12"/>
  <c r="U27" i="12"/>
  <c r="U26" i="12"/>
  <c r="U25" i="12"/>
  <c r="U24" i="12"/>
  <c r="U23" i="12"/>
  <c r="U22" i="12"/>
  <c r="U21" i="12"/>
  <c r="R29" i="12"/>
  <c r="J43" i="12" s="1"/>
  <c r="R28" i="12"/>
  <c r="J42" i="12" s="1"/>
  <c r="R27" i="12"/>
  <c r="J41" i="12" s="1"/>
  <c r="R26" i="12"/>
  <c r="J40" i="12" s="1"/>
  <c r="R25" i="12"/>
  <c r="J39" i="12" s="1"/>
  <c r="R24" i="12"/>
  <c r="J38" i="12" s="1"/>
  <c r="R22" i="12"/>
  <c r="J36" i="12" s="1"/>
  <c r="S29" i="12"/>
  <c r="S28" i="12"/>
  <c r="S27" i="12"/>
  <c r="S26" i="12"/>
  <c r="S25" i="12"/>
  <c r="S24" i="12"/>
  <c r="S23" i="12"/>
  <c r="S22" i="12"/>
  <c r="S21" i="12"/>
  <c r="Q29" i="12"/>
  <c r="Q28" i="12"/>
  <c r="Q27" i="12"/>
  <c r="Q26" i="12"/>
  <c r="Q25" i="12"/>
  <c r="Q24" i="12"/>
  <c r="Q23" i="12"/>
  <c r="Q22" i="12"/>
  <c r="Q21" i="12"/>
  <c r="O29" i="12"/>
  <c r="O28" i="12"/>
  <c r="O27" i="12"/>
  <c r="O26" i="12"/>
  <c r="O25" i="12"/>
  <c r="O24" i="12"/>
  <c r="O23" i="12"/>
  <c r="O22" i="12"/>
  <c r="O21" i="12"/>
  <c r="M29" i="12"/>
  <c r="M28" i="12"/>
  <c r="M27" i="12"/>
  <c r="M26" i="12"/>
  <c r="M25" i="12"/>
  <c r="M24" i="12"/>
  <c r="M23" i="12"/>
  <c r="M22" i="12"/>
  <c r="K29" i="12"/>
  <c r="K28" i="12"/>
  <c r="K27" i="12"/>
  <c r="K26" i="12"/>
  <c r="K25" i="12"/>
  <c r="K24" i="12"/>
  <c r="K23" i="12"/>
  <c r="K22" i="12"/>
  <c r="K21" i="12"/>
  <c r="I29" i="12"/>
  <c r="I28" i="12"/>
  <c r="I27" i="12"/>
  <c r="I26" i="12"/>
  <c r="I25" i="12"/>
  <c r="I24" i="12"/>
  <c r="I23" i="12"/>
  <c r="I22" i="12"/>
  <c r="I21" i="12"/>
  <c r="G29" i="12"/>
  <c r="G28" i="12"/>
  <c r="G27" i="12"/>
  <c r="G26" i="12"/>
  <c r="G25" i="12"/>
  <c r="G24" i="12"/>
  <c r="G23" i="12"/>
  <c r="G22" i="12"/>
  <c r="E29" i="12"/>
  <c r="E28" i="12"/>
  <c r="E27" i="12"/>
  <c r="E26" i="12"/>
  <c r="E25" i="12"/>
  <c r="E24" i="12"/>
  <c r="E23" i="12"/>
  <c r="E22" i="12"/>
  <c r="E21" i="12"/>
  <c r="L60" i="12"/>
  <c r="U138" i="4"/>
  <c r="R138" i="4"/>
  <c r="O138" i="4"/>
  <c r="U137" i="4"/>
  <c r="R137" i="4"/>
  <c r="O137" i="4"/>
  <c r="U133" i="4"/>
  <c r="R133" i="4"/>
  <c r="O133" i="4"/>
  <c r="X101" i="4"/>
  <c r="U101" i="4"/>
  <c r="R101" i="4"/>
  <c r="O101" i="4"/>
  <c r="X88" i="4"/>
  <c r="U88" i="4"/>
  <c r="R88" i="4"/>
  <c r="O88" i="4"/>
  <c r="C12" i="12"/>
  <c r="J25" i="5" s="1"/>
  <c r="C11" i="12"/>
  <c r="J24" i="5" s="1"/>
  <c r="C10" i="12"/>
  <c r="J27" i="5" s="1"/>
  <c r="C9" i="12"/>
  <c r="J26" i="5" s="1"/>
  <c r="C7" i="12"/>
  <c r="J22" i="5" s="1"/>
  <c r="C6" i="12"/>
  <c r="J28" i="5" s="1"/>
  <c r="C4" i="12"/>
  <c r="C49" i="12"/>
  <c r="A48" i="12"/>
  <c r="B33" i="12"/>
  <c r="A32" i="12"/>
  <c r="A18" i="12"/>
  <c r="E18" i="12"/>
  <c r="D18" i="12"/>
  <c r="U2" i="12"/>
  <c r="T2" i="12"/>
  <c r="S2" i="12"/>
  <c r="R2" i="12"/>
  <c r="Q2" i="12"/>
  <c r="P2" i="12"/>
  <c r="O2" i="12"/>
  <c r="N2" i="12"/>
  <c r="M2" i="12"/>
  <c r="L2" i="12"/>
  <c r="K2" i="12"/>
  <c r="J2" i="12"/>
  <c r="I2" i="12"/>
  <c r="H2" i="12"/>
  <c r="G2" i="12"/>
  <c r="F2" i="12"/>
  <c r="E2" i="12"/>
  <c r="D2" i="12"/>
  <c r="I140" i="12"/>
  <c r="E140" i="12"/>
  <c r="D140" i="12"/>
  <c r="O279" i="10"/>
  <c r="E9" i="10" s="1"/>
  <c r="N279" i="10"/>
  <c r="M279" i="10"/>
  <c r="L279" i="10"/>
  <c r="K279" i="10"/>
  <c r="D279" i="10"/>
  <c r="L64" i="12"/>
  <c r="L63" i="12"/>
  <c r="L62" i="12"/>
  <c r="L59" i="12"/>
  <c r="L58" i="12"/>
  <c r="L52" i="12"/>
  <c r="L56" i="12"/>
  <c r="L55" i="12"/>
  <c r="L67" i="12"/>
  <c r="L61" i="12"/>
  <c r="L53" i="12"/>
  <c r="L51" i="12"/>
  <c r="N31" i="5"/>
  <c r="N18" i="5"/>
  <c r="D281" i="8"/>
  <c r="N276" i="3"/>
  <c r="N613" i="3" s="1"/>
  <c r="M276" i="3"/>
  <c r="M613" i="3" s="1"/>
  <c r="L276" i="3"/>
  <c r="L613" i="3" s="1"/>
  <c r="K276" i="3"/>
  <c r="K613" i="3" s="1"/>
  <c r="D276" i="3"/>
  <c r="X576" i="6"/>
  <c r="E11" i="10"/>
  <c r="L54" i="12"/>
  <c r="L57" i="12"/>
  <c r="E16" i="10"/>
  <c r="D280" i="9"/>
  <c r="O280" i="9"/>
  <c r="O485" i="9" s="1"/>
  <c r="N280" i="9"/>
  <c r="N485" i="9" s="1"/>
  <c r="M280" i="9"/>
  <c r="M485" i="9" s="1"/>
  <c r="L280" i="9"/>
  <c r="L485" i="9" s="1"/>
  <c r="K280" i="9"/>
  <c r="K485" i="9" s="1"/>
  <c r="J280" i="9"/>
  <c r="J485" i="9" s="1"/>
  <c r="P279" i="9"/>
  <c r="P278" i="9"/>
  <c r="P277" i="9"/>
  <c r="P276" i="9"/>
  <c r="X78" i="4"/>
  <c r="U78" i="4"/>
  <c r="R78" i="4"/>
  <c r="O78" i="4"/>
  <c r="X34" i="4"/>
  <c r="X19" i="4" s="1"/>
  <c r="U34" i="4"/>
  <c r="U19" i="4" s="1"/>
  <c r="R34" i="4"/>
  <c r="R19" i="4" s="1"/>
  <c r="O34" i="4"/>
  <c r="O19" i="4" s="1"/>
  <c r="U52" i="4"/>
  <c r="R52" i="4"/>
  <c r="X50" i="4"/>
  <c r="U50" i="4"/>
  <c r="R50" i="4"/>
  <c r="O50" i="4"/>
  <c r="X47" i="4"/>
  <c r="U47" i="4"/>
  <c r="R47" i="4"/>
  <c r="O47" i="4"/>
  <c r="X41" i="4"/>
  <c r="U41" i="4"/>
  <c r="R41" i="4"/>
  <c r="O41" i="4"/>
  <c r="X16" i="4"/>
  <c r="U16" i="4"/>
  <c r="R16" i="4"/>
  <c r="O16" i="4"/>
  <c r="X15" i="4"/>
  <c r="U15" i="4"/>
  <c r="R15" i="4"/>
  <c r="O15" i="4"/>
  <c r="X14" i="4"/>
  <c r="U14" i="4"/>
  <c r="R14" i="4"/>
  <c r="O14" i="4"/>
  <c r="X13" i="4"/>
  <c r="U13" i="4"/>
  <c r="R13" i="4"/>
  <c r="O13" i="4"/>
  <c r="X12" i="4"/>
  <c r="U12" i="4"/>
  <c r="R12" i="4"/>
  <c r="O12" i="4"/>
  <c r="X11" i="4"/>
  <c r="U11" i="4"/>
  <c r="R11" i="4"/>
  <c r="O11" i="4"/>
  <c r="X10" i="4"/>
  <c r="U10" i="4"/>
  <c r="R10" i="4"/>
  <c r="O10" i="4"/>
  <c r="X9" i="4"/>
  <c r="U9" i="4"/>
  <c r="R9" i="4"/>
  <c r="O9" i="4"/>
  <c r="Y20" i="4"/>
  <c r="U576" i="6"/>
  <c r="T576" i="6"/>
  <c r="L576" i="6"/>
  <c r="L18" i="5"/>
  <c r="X98" i="4"/>
  <c r="U98" i="4"/>
  <c r="R98" i="4"/>
  <c r="O98" i="4"/>
  <c r="X97" i="4"/>
  <c r="U97" i="4"/>
  <c r="R97" i="4"/>
  <c r="O97" i="4"/>
  <c r="X96" i="4"/>
  <c r="U96" i="4"/>
  <c r="R96" i="4"/>
  <c r="O96" i="4"/>
  <c r="X95" i="4"/>
  <c r="U95" i="4"/>
  <c r="R95" i="4"/>
  <c r="O95" i="4"/>
  <c r="X89" i="4"/>
  <c r="U89" i="4"/>
  <c r="R89" i="4"/>
  <c r="O89" i="4"/>
  <c r="X85" i="4"/>
  <c r="U85" i="4"/>
  <c r="R85" i="4"/>
  <c r="O85" i="4"/>
  <c r="X140" i="4"/>
  <c r="X124" i="4"/>
  <c r="X123" i="4" s="1"/>
  <c r="X121" i="4"/>
  <c r="X119" i="4"/>
  <c r="X80" i="4"/>
  <c r="X7" i="4"/>
  <c r="U140" i="4"/>
  <c r="U136" i="4"/>
  <c r="U132" i="4"/>
  <c r="U124" i="4"/>
  <c r="U121" i="4"/>
  <c r="U119" i="4"/>
  <c r="U80" i="4"/>
  <c r="U7" i="4"/>
  <c r="R140" i="4"/>
  <c r="R136" i="4"/>
  <c r="R132" i="4"/>
  <c r="R124" i="4"/>
  <c r="R121" i="4"/>
  <c r="R119" i="4"/>
  <c r="R80" i="4"/>
  <c r="R7" i="4"/>
  <c r="O140" i="4"/>
  <c r="O136" i="4"/>
  <c r="O132" i="4"/>
  <c r="O124" i="4"/>
  <c r="O121" i="4"/>
  <c r="O119" i="4"/>
  <c r="O82" i="4"/>
  <c r="O80" i="4"/>
  <c r="O7" i="4"/>
  <c r="K23" i="9" l="1"/>
  <c r="F23" i="9" s="1"/>
  <c r="K21" i="9"/>
  <c r="K9" i="9"/>
  <c r="K20" i="9"/>
  <c r="F20" i="9" s="1"/>
  <c r="K142" i="4"/>
  <c r="G142" i="4"/>
  <c r="K17" i="9"/>
  <c r="F17" i="9" s="1"/>
  <c r="R464" i="6"/>
  <c r="F21" i="9"/>
  <c r="P9" i="9"/>
  <c r="N9" i="9" s="1"/>
  <c r="K10" i="9"/>
  <c r="F10" i="9" s="1"/>
  <c r="P17" i="9"/>
  <c r="N17" i="9" s="1"/>
  <c r="N16" i="9" s="1"/>
  <c r="F9" i="9"/>
  <c r="N8" i="9"/>
  <c r="P6" i="9"/>
  <c r="N6" i="9" s="1"/>
  <c r="J19" i="9"/>
  <c r="J16" i="9"/>
  <c r="K24" i="9"/>
  <c r="F7" i="9"/>
  <c r="E7" i="9" s="1"/>
  <c r="G60" i="12" s="1"/>
  <c r="K6" i="9"/>
  <c r="F6" i="9" s="1"/>
  <c r="N21" i="9"/>
  <c r="F13" i="9"/>
  <c r="K25" i="9"/>
  <c r="F25" i="9" s="1"/>
  <c r="P15" i="9"/>
  <c r="J4" i="9"/>
  <c r="O16" i="9"/>
  <c r="O11" i="9"/>
  <c r="K19" i="9"/>
  <c r="O19" i="9"/>
  <c r="O4" i="9"/>
  <c r="N3" i="10"/>
  <c r="R526" i="6"/>
  <c r="R480" i="6"/>
  <c r="R469" i="6"/>
  <c r="R546" i="6"/>
  <c r="R481" i="6"/>
  <c r="R540" i="6"/>
  <c r="Z85" i="12"/>
  <c r="Z113" i="12"/>
  <c r="Q474" i="6"/>
  <c r="V98" i="6"/>
  <c r="W98" i="6" s="1"/>
  <c r="Y98" i="6" s="1"/>
  <c r="V52" i="6"/>
  <c r="W52" i="6" s="1"/>
  <c r="Y52" i="6" s="1"/>
  <c r="P519" i="6"/>
  <c r="P527" i="6"/>
  <c r="P535" i="6"/>
  <c r="V46" i="6"/>
  <c r="U6" i="4"/>
  <c r="R6" i="4"/>
  <c r="O6" i="4"/>
  <c r="X6" i="4"/>
  <c r="E18" i="5"/>
  <c r="E33" i="5" s="1"/>
  <c r="E37" i="5" s="1"/>
  <c r="I25" i="5"/>
  <c r="I31" i="5" s="1"/>
  <c r="O123" i="4"/>
  <c r="R123" i="4"/>
  <c r="U123" i="4"/>
  <c r="P306" i="9"/>
  <c r="P309" i="9"/>
  <c r="K22" i="9" s="1"/>
  <c r="F22" i="9" s="1"/>
  <c r="R56" i="4"/>
  <c r="O56" i="4"/>
  <c r="U56" i="4"/>
  <c r="X56" i="4"/>
  <c r="C22" i="12"/>
  <c r="C26" i="12"/>
  <c r="C25" i="12"/>
  <c r="C24" i="12"/>
  <c r="C28" i="12"/>
  <c r="C29" i="12"/>
  <c r="C23" i="12"/>
  <c r="C27" i="12"/>
  <c r="G21" i="12"/>
  <c r="C21" i="12" s="1"/>
  <c r="E15" i="12"/>
  <c r="J21" i="5"/>
  <c r="H25" i="5"/>
  <c r="H31" i="5" s="1"/>
  <c r="F31" i="5"/>
  <c r="P420" i="9"/>
  <c r="F76" i="12" s="1"/>
  <c r="P435" i="9"/>
  <c r="F91" i="12" s="1"/>
  <c r="P465" i="9"/>
  <c r="F121" i="12" s="1"/>
  <c r="P468" i="9"/>
  <c r="F124" i="12" s="1"/>
  <c r="P481" i="9"/>
  <c r="F137" i="12" s="1"/>
  <c r="O137" i="12" s="1"/>
  <c r="L84" i="4"/>
  <c r="M483" i="6"/>
  <c r="M576" i="6"/>
  <c r="U36" i="4"/>
  <c r="P358" i="9"/>
  <c r="P14" i="9" s="1"/>
  <c r="N14" i="9" s="1"/>
  <c r="P431" i="9"/>
  <c r="F87" i="12" s="1"/>
  <c r="O87" i="12" s="1"/>
  <c r="P305" i="9"/>
  <c r="K15" i="9" s="1"/>
  <c r="P464" i="9"/>
  <c r="F120" i="12" s="1"/>
  <c r="D683" i="8"/>
  <c r="B33" i="5"/>
  <c r="B37" i="5" s="1"/>
  <c r="P381" i="9"/>
  <c r="P22" i="9" s="1"/>
  <c r="N22" i="9" s="1"/>
  <c r="P480" i="9"/>
  <c r="F136" i="12" s="1"/>
  <c r="P450" i="9"/>
  <c r="F106" i="12" s="1"/>
  <c r="O106" i="12" s="1"/>
  <c r="C33" i="5"/>
  <c r="C37" i="5" s="1"/>
  <c r="N743" i="8"/>
  <c r="G136" i="12" s="1"/>
  <c r="G140" i="12" s="1"/>
  <c r="P287" i="9"/>
  <c r="J15" i="9" s="1"/>
  <c r="P482" i="9"/>
  <c r="F138" i="12" s="1"/>
  <c r="P357" i="9"/>
  <c r="P479" i="9"/>
  <c r="F135" i="12" s="1"/>
  <c r="O135" i="12" s="1"/>
  <c r="P477" i="9"/>
  <c r="F133" i="12" s="1"/>
  <c r="P385" i="9"/>
  <c r="P474" i="9"/>
  <c r="F130" i="12" s="1"/>
  <c r="H76" i="12"/>
  <c r="H140" i="12" s="1"/>
  <c r="O118" i="4"/>
  <c r="O40" i="4"/>
  <c r="P386" i="9"/>
  <c r="P286" i="9"/>
  <c r="J14" i="9" s="1"/>
  <c r="F14" i="9" s="1"/>
  <c r="P341" i="9"/>
  <c r="O15" i="9" s="1"/>
  <c r="O84" i="4"/>
  <c r="U94" i="4"/>
  <c r="R94" i="4"/>
  <c r="X94" i="4"/>
  <c r="O94" i="4"/>
  <c r="K33" i="5"/>
  <c r="K37" i="5" s="1"/>
  <c r="Y136" i="4"/>
  <c r="X84" i="4"/>
  <c r="P299" i="9"/>
  <c r="K5" i="9" s="1"/>
  <c r="F5" i="9" s="1"/>
  <c r="P280" i="9"/>
  <c r="Y79" i="4"/>
  <c r="Y86" i="4"/>
  <c r="Y90" i="4"/>
  <c r="U483" i="6"/>
  <c r="K30" i="12"/>
  <c r="C5" i="12"/>
  <c r="J29" i="5" s="1"/>
  <c r="U84" i="4"/>
  <c r="Y107" i="4"/>
  <c r="Y42" i="4"/>
  <c r="Y43" i="4"/>
  <c r="Y105" i="4"/>
  <c r="Y106" i="4"/>
  <c r="R118" i="4"/>
  <c r="Y113" i="4"/>
  <c r="Y121" i="4"/>
  <c r="Y96" i="4"/>
  <c r="O103" i="4"/>
  <c r="Y34" i="4"/>
  <c r="O36" i="4"/>
  <c r="J18" i="5"/>
  <c r="C483" i="6"/>
  <c r="C576" i="6" s="1"/>
  <c r="Y9" i="4"/>
  <c r="Y80" i="4"/>
  <c r="F18" i="5"/>
  <c r="Q527" i="6"/>
  <c r="L483" i="6"/>
  <c r="Y115" i="4"/>
  <c r="G31" i="5"/>
  <c r="O77" i="4"/>
  <c r="Q104" i="6"/>
  <c r="L65" i="12"/>
  <c r="L68" i="12" s="1"/>
  <c r="E4" i="10"/>
  <c r="Y112" i="4"/>
  <c r="Y119" i="4"/>
  <c r="Y132" i="4"/>
  <c r="Y82" i="4"/>
  <c r="X103" i="4"/>
  <c r="R84" i="4"/>
  <c r="Y100" i="4"/>
  <c r="Y104" i="4"/>
  <c r="Y109" i="4"/>
  <c r="Y26" i="4"/>
  <c r="Y29" i="4"/>
  <c r="Y30" i="4"/>
  <c r="Y41" i="4"/>
  <c r="Y47" i="4"/>
  <c r="Y50" i="4"/>
  <c r="N33" i="5"/>
  <c r="N37" i="5" s="1"/>
  <c r="L40" i="4"/>
  <c r="D33" i="5"/>
  <c r="D37" i="5" s="1"/>
  <c r="Y108" i="4"/>
  <c r="F15" i="13"/>
  <c r="Q112" i="6"/>
  <c r="R77" i="4"/>
  <c r="L33" i="5"/>
  <c r="L37" i="5" s="1"/>
  <c r="X483" i="6"/>
  <c r="I30" i="12"/>
  <c r="O30" i="12"/>
  <c r="S30" i="12"/>
  <c r="Y38" i="4"/>
  <c r="M188" i="15"/>
  <c r="Q559" i="6"/>
  <c r="Q72" i="6"/>
  <c r="Q519" i="6" s="1"/>
  <c r="P68" i="6"/>
  <c r="Q30" i="6"/>
  <c r="P308" i="9"/>
  <c r="P387" i="9"/>
  <c r="Y140" i="4"/>
  <c r="X77" i="4"/>
  <c r="Y95" i="4"/>
  <c r="Y85" i="4"/>
  <c r="Y89" i="4"/>
  <c r="Y92" i="4"/>
  <c r="Y97" i="4"/>
  <c r="Y98" i="4"/>
  <c r="Y99" i="4"/>
  <c r="Y14" i="4"/>
  <c r="Y15" i="4"/>
  <c r="O52" i="4"/>
  <c r="Y88" i="4"/>
  <c r="Y133" i="4"/>
  <c r="Y54" i="4"/>
  <c r="Y46" i="4"/>
  <c r="Y24" i="4"/>
  <c r="Y75" i="4"/>
  <c r="Y81" i="4"/>
  <c r="Y87" i="4"/>
  <c r="Y120" i="4"/>
  <c r="H18" i="5"/>
  <c r="N103" i="15"/>
  <c r="P364" i="9"/>
  <c r="P23" i="9" s="1"/>
  <c r="N23" i="9" s="1"/>
  <c r="Q110" i="6"/>
  <c r="V110" i="6" s="1"/>
  <c r="W110" i="6" s="1"/>
  <c r="Y110" i="6" s="1"/>
  <c r="Q50" i="6"/>
  <c r="P29" i="6"/>
  <c r="P356" i="9"/>
  <c r="P12" i="9" s="1"/>
  <c r="N12" i="9" s="1"/>
  <c r="P369" i="9"/>
  <c r="N146" i="15"/>
  <c r="M170" i="15"/>
  <c r="N84" i="15"/>
  <c r="N277" i="14"/>
  <c r="N405" i="14" s="1"/>
  <c r="K497" i="8"/>
  <c r="L496" i="8"/>
  <c r="M495" i="8"/>
  <c r="N494" i="8"/>
  <c r="D494" i="8"/>
  <c r="K493" i="8"/>
  <c r="L492" i="8"/>
  <c r="M491" i="8"/>
  <c r="N490" i="8"/>
  <c r="D490" i="8"/>
  <c r="K489" i="8"/>
  <c r="L488" i="8"/>
  <c r="M487" i="8"/>
  <c r="N486" i="8"/>
  <c r="D486" i="8"/>
  <c r="K485" i="8"/>
  <c r="L484" i="8"/>
  <c r="M483" i="8"/>
  <c r="N482" i="8"/>
  <c r="D482" i="8"/>
  <c r="K481" i="8"/>
  <c r="L480" i="8"/>
  <c r="M461" i="8"/>
  <c r="N460" i="8"/>
  <c r="D460" i="8"/>
  <c r="K459" i="8"/>
  <c r="L458" i="8"/>
  <c r="M457" i="8"/>
  <c r="N456" i="8"/>
  <c r="D456" i="8"/>
  <c r="K455" i="8"/>
  <c r="L454" i="8"/>
  <c r="M453" i="8"/>
  <c r="N452" i="8"/>
  <c r="D452" i="8"/>
  <c r="K451" i="8"/>
  <c r="L450" i="8"/>
  <c r="M449" i="8"/>
  <c r="N448" i="8"/>
  <c r="D448" i="8"/>
  <c r="K447" i="8"/>
  <c r="L446" i="8"/>
  <c r="M445" i="8"/>
  <c r="N444" i="8"/>
  <c r="D444" i="8"/>
  <c r="N496" i="8"/>
  <c r="K495" i="8"/>
  <c r="M493" i="8"/>
  <c r="N492" i="8"/>
  <c r="K491" i="8"/>
  <c r="M489" i="8"/>
  <c r="D488" i="8"/>
  <c r="L486" i="8"/>
  <c r="N484" i="8"/>
  <c r="K483" i="8"/>
  <c r="M481" i="8"/>
  <c r="D480" i="8"/>
  <c r="L460" i="8"/>
  <c r="N458" i="8"/>
  <c r="K457" i="8"/>
  <c r="M455" i="8"/>
  <c r="D454" i="8"/>
  <c r="L452" i="8"/>
  <c r="N450" i="8"/>
  <c r="K449" i="8"/>
  <c r="M447" i="8"/>
  <c r="D446" i="8"/>
  <c r="L444" i="8"/>
  <c r="D497" i="8"/>
  <c r="L495" i="8"/>
  <c r="N493" i="8"/>
  <c r="D493" i="8"/>
  <c r="L491" i="8"/>
  <c r="N489" i="8"/>
  <c r="K488" i="8"/>
  <c r="M486" i="8"/>
  <c r="D485" i="8"/>
  <c r="L483" i="8"/>
  <c r="N481" i="8"/>
  <c r="K480" i="8"/>
  <c r="M460" i="8"/>
  <c r="D459" i="8"/>
  <c r="L457" i="8"/>
  <c r="N455" i="8"/>
  <c r="K454" i="8"/>
  <c r="L453" i="8"/>
  <c r="N451" i="8"/>
  <c r="K450" i="8"/>
  <c r="M448" i="8"/>
  <c r="D447" i="8"/>
  <c r="L445" i="8"/>
  <c r="L497" i="8"/>
  <c r="M496" i="8"/>
  <c r="N495" i="8"/>
  <c r="D495" i="8"/>
  <c r="K494" i="8"/>
  <c r="L493" i="8"/>
  <c r="M492" i="8"/>
  <c r="N491" i="8"/>
  <c r="D491" i="8"/>
  <c r="K490" i="8"/>
  <c r="L489" i="8"/>
  <c r="M488" i="8"/>
  <c r="N487" i="8"/>
  <c r="D487" i="8"/>
  <c r="K486" i="8"/>
  <c r="L485" i="8"/>
  <c r="M484" i="8"/>
  <c r="N483" i="8"/>
  <c r="D483" i="8"/>
  <c r="K482" i="8"/>
  <c r="L481" i="8"/>
  <c r="M480" i="8"/>
  <c r="N461" i="8"/>
  <c r="D461" i="8"/>
  <c r="K460" i="8"/>
  <c r="L459" i="8"/>
  <c r="M458" i="8"/>
  <c r="N457" i="8"/>
  <c r="D457" i="8"/>
  <c r="K456" i="8"/>
  <c r="L455" i="8"/>
  <c r="M454" i="8"/>
  <c r="N453" i="8"/>
  <c r="D453" i="8"/>
  <c r="K452" i="8"/>
  <c r="L451" i="8"/>
  <c r="M450" i="8"/>
  <c r="N449" i="8"/>
  <c r="D449" i="8"/>
  <c r="K448" i="8"/>
  <c r="L447" i="8"/>
  <c r="M446" i="8"/>
  <c r="N445" i="8"/>
  <c r="D445" i="8"/>
  <c r="K444" i="8"/>
  <c r="M497" i="8"/>
  <c r="D496" i="8"/>
  <c r="L494" i="8"/>
  <c r="D492" i="8"/>
  <c r="L490" i="8"/>
  <c r="N488" i="8"/>
  <c r="K487" i="8"/>
  <c r="M485" i="8"/>
  <c r="D484" i="8"/>
  <c r="L482" i="8"/>
  <c r="N480" i="8"/>
  <c r="K461" i="8"/>
  <c r="M459" i="8"/>
  <c r="D458" i="8"/>
  <c r="L456" i="8"/>
  <c r="N454" i="8"/>
  <c r="K453" i="8"/>
  <c r="M451" i="8"/>
  <c r="D450" i="8"/>
  <c r="L448" i="8"/>
  <c r="N446" i="8"/>
  <c r="K445" i="8"/>
  <c r="N497" i="8"/>
  <c r="K496" i="8"/>
  <c r="M494" i="8"/>
  <c r="K492" i="8"/>
  <c r="M490" i="8"/>
  <c r="D489" i="8"/>
  <c r="L487" i="8"/>
  <c r="N485" i="8"/>
  <c r="K484" i="8"/>
  <c r="M482" i="8"/>
  <c r="D481" i="8"/>
  <c r="L461" i="8"/>
  <c r="N459" i="8"/>
  <c r="K458" i="8"/>
  <c r="M456" i="8"/>
  <c r="D455" i="8"/>
  <c r="M452" i="8"/>
  <c r="D451" i="8"/>
  <c r="L449" i="8"/>
  <c r="N447" i="8"/>
  <c r="K446" i="8"/>
  <c r="M444" i="8"/>
  <c r="P371" i="9"/>
  <c r="P5" i="9" s="1"/>
  <c r="N5" i="9" s="1"/>
  <c r="L290" i="14"/>
  <c r="K71" i="15"/>
  <c r="N172" i="15"/>
  <c r="K192" i="15"/>
  <c r="M66" i="15"/>
  <c r="L117" i="15"/>
  <c r="K182" i="15"/>
  <c r="K103" i="15"/>
  <c r="L76" i="15"/>
  <c r="K156" i="15"/>
  <c r="K79" i="15"/>
  <c r="L84" i="15"/>
  <c r="K111" i="15"/>
  <c r="K116" i="15"/>
  <c r="N139" i="15"/>
  <c r="M205" i="15"/>
  <c r="K296" i="14"/>
  <c r="K87" i="15"/>
  <c r="M82" i="15"/>
  <c r="L92" i="15"/>
  <c r="M95" i="15"/>
  <c r="N69" i="15"/>
  <c r="L102" i="15"/>
  <c r="K132" i="15"/>
  <c r="M144" i="15"/>
  <c r="L152" i="15"/>
  <c r="M186" i="15"/>
  <c r="L203" i="15"/>
  <c r="N299" i="14"/>
  <c r="F12" i="14" s="1"/>
  <c r="M65" i="15"/>
  <c r="M81" i="15"/>
  <c r="M103" i="15"/>
  <c r="K146" i="15"/>
  <c r="M154" i="15"/>
  <c r="K95" i="15"/>
  <c r="K63" i="15"/>
  <c r="N66" i="15"/>
  <c r="L68" i="15"/>
  <c r="N85" i="15"/>
  <c r="N98" i="15"/>
  <c r="N129" i="15"/>
  <c r="L142" i="15"/>
  <c r="L168" i="15"/>
  <c r="L184" i="15"/>
  <c r="N292" i="14"/>
  <c r="H25" i="14" s="1"/>
  <c r="L312" i="14"/>
  <c r="M287" i="14"/>
  <c r="K304" i="14"/>
  <c r="N307" i="14"/>
  <c r="F23" i="14" s="1"/>
  <c r="M286" i="14"/>
  <c r="M303" i="14"/>
  <c r="K312" i="14"/>
  <c r="L306" i="14"/>
  <c r="M302" i="14"/>
  <c r="K280" i="14"/>
  <c r="L291" i="14"/>
  <c r="R40" i="6"/>
  <c r="P40" i="6"/>
  <c r="P465" i="6" s="1"/>
  <c r="Q40" i="6"/>
  <c r="Y124" i="4"/>
  <c r="X118" i="4"/>
  <c r="R103" i="4"/>
  <c r="U118" i="4"/>
  <c r="T483" i="6"/>
  <c r="Y33" i="4"/>
  <c r="Y78" i="4"/>
  <c r="Y137" i="4"/>
  <c r="Y138" i="4"/>
  <c r="U30" i="12"/>
  <c r="L282" i="14"/>
  <c r="L307" i="14"/>
  <c r="K288" i="14"/>
  <c r="N284" i="14"/>
  <c r="H15" i="14" s="1"/>
  <c r="Q41" i="6"/>
  <c r="P41" i="6"/>
  <c r="Y116" i="4"/>
  <c r="U103" i="4"/>
  <c r="E30" i="12"/>
  <c r="Q113" i="6"/>
  <c r="P113" i="6"/>
  <c r="I16" i="5"/>
  <c r="I18" i="5" s="1"/>
  <c r="G18" i="5"/>
  <c r="Y49" i="4"/>
  <c r="X40" i="4"/>
  <c r="L390" i="9"/>
  <c r="Y7" i="4"/>
  <c r="U77" i="4"/>
  <c r="U40" i="4"/>
  <c r="Y10" i="4"/>
  <c r="Y11" i="4"/>
  <c r="Y12" i="4"/>
  <c r="Y13" i="4"/>
  <c r="Y16" i="4"/>
  <c r="R40" i="4"/>
  <c r="X52" i="4"/>
  <c r="Y53" i="4"/>
  <c r="Y101" i="4"/>
  <c r="Q30" i="12"/>
  <c r="L310" i="14"/>
  <c r="L283" i="14"/>
  <c r="L299" i="14"/>
  <c r="N306" i="14"/>
  <c r="F22" i="14" s="1"/>
  <c r="N298" i="14"/>
  <c r="F6" i="14" s="1"/>
  <c r="N289" i="14"/>
  <c r="H23" i="14" s="1"/>
  <c r="N281" i="14"/>
  <c r="H12" i="14" s="1"/>
  <c r="K309" i="14"/>
  <c r="K301" i="14"/>
  <c r="K293" i="14"/>
  <c r="K285" i="14"/>
  <c r="M312" i="14"/>
  <c r="M297" i="14"/>
  <c r="M280" i="14"/>
  <c r="L300" i="14"/>
  <c r="M313" i="14"/>
  <c r="M296" i="14"/>
  <c r="M281" i="14"/>
  <c r="L280" i="14"/>
  <c r="L278" i="14"/>
  <c r="N311" i="14"/>
  <c r="F10" i="14" s="1"/>
  <c r="N303" i="14"/>
  <c r="F18" i="14" s="1"/>
  <c r="N295" i="14"/>
  <c r="N288" i="14"/>
  <c r="N280" i="14"/>
  <c r="K308" i="14"/>
  <c r="K300" i="14"/>
  <c r="K292" i="14"/>
  <c r="K284" i="14"/>
  <c r="M310" i="14"/>
  <c r="M295" i="14"/>
  <c r="M278" i="14"/>
  <c r="L298" i="14"/>
  <c r="M311" i="14"/>
  <c r="M294" i="14"/>
  <c r="M279" i="14"/>
  <c r="L284" i="14"/>
  <c r="L308" i="14"/>
  <c r="N310" i="14"/>
  <c r="F25" i="14" s="1"/>
  <c r="N302" i="14"/>
  <c r="F15" i="14" s="1"/>
  <c r="N293" i="14"/>
  <c r="N285" i="14"/>
  <c r="K313" i="14"/>
  <c r="K305" i="14"/>
  <c r="K297" i="14"/>
  <c r="K289" i="14"/>
  <c r="K281" i="14"/>
  <c r="M304" i="14"/>
  <c r="M289" i="14"/>
  <c r="L309" i="14"/>
  <c r="L292" i="14"/>
  <c r="M305" i="14"/>
  <c r="M288" i="14"/>
  <c r="L303" i="14"/>
  <c r="L304" i="14"/>
  <c r="L77" i="4"/>
  <c r="R36" i="4"/>
  <c r="Y37" i="4"/>
  <c r="N197" i="15"/>
  <c r="N189" i="15"/>
  <c r="M194" i="15"/>
  <c r="L193" i="15"/>
  <c r="N194" i="15"/>
  <c r="K198" i="15"/>
  <c r="N178" i="15"/>
  <c r="M176" i="15"/>
  <c r="L174" i="15"/>
  <c r="K172" i="15"/>
  <c r="N153" i="15"/>
  <c r="M160" i="15"/>
  <c r="L158" i="15"/>
  <c r="N160" i="15"/>
  <c r="K162" i="15"/>
  <c r="M134" i="15"/>
  <c r="M150" i="15"/>
  <c r="L148" i="15"/>
  <c r="K136" i="15"/>
  <c r="M133" i="15"/>
  <c r="N119" i="15"/>
  <c r="M118" i="15"/>
  <c r="L123" i="15"/>
  <c r="K122" i="15"/>
  <c r="N109" i="15"/>
  <c r="M109" i="15"/>
  <c r="L108" i="15"/>
  <c r="M99" i="15"/>
  <c r="K106" i="15"/>
  <c r="K114" i="15"/>
  <c r="N75" i="15"/>
  <c r="N91" i="15"/>
  <c r="M72" i="15"/>
  <c r="M87" i="15"/>
  <c r="L63" i="15"/>
  <c r="L71" i="15"/>
  <c r="L79" i="15"/>
  <c r="L87" i="15"/>
  <c r="L95" i="15"/>
  <c r="N72" i="15"/>
  <c r="N86" i="15"/>
  <c r="M67" i="15"/>
  <c r="M84" i="15"/>
  <c r="K64" i="15"/>
  <c r="K72" i="15"/>
  <c r="K80" i="15"/>
  <c r="K88" i="15"/>
  <c r="K96" i="15"/>
  <c r="N193" i="15"/>
  <c r="M196" i="15"/>
  <c r="L195" i="15"/>
  <c r="N198" i="15"/>
  <c r="K200" i="15"/>
  <c r="N180" i="15"/>
  <c r="M178" i="15"/>
  <c r="L176" i="15"/>
  <c r="K174" i="15"/>
  <c r="N157" i="15"/>
  <c r="M162" i="15"/>
  <c r="L160" i="15"/>
  <c r="N163" i="15"/>
  <c r="K164" i="15"/>
  <c r="M136" i="15"/>
  <c r="L134" i="15"/>
  <c r="L150" i="15"/>
  <c r="K138" i="15"/>
  <c r="M117" i="15"/>
  <c r="N121" i="15"/>
  <c r="M122" i="15"/>
  <c r="L125" i="15"/>
  <c r="K124" i="15"/>
  <c r="N111" i="15"/>
  <c r="M112" i="15"/>
  <c r="L110" i="15"/>
  <c r="K98" i="15"/>
  <c r="K107" i="15"/>
  <c r="K97" i="15"/>
  <c r="N77" i="15"/>
  <c r="N94" i="15"/>
  <c r="M74" i="15"/>
  <c r="M89" i="15"/>
  <c r="L64" i="15"/>
  <c r="L72" i="15"/>
  <c r="L80" i="15"/>
  <c r="L88" i="15"/>
  <c r="L96" i="15"/>
  <c r="N74" i="15"/>
  <c r="N92" i="15"/>
  <c r="M73" i="15"/>
  <c r="M90" i="15"/>
  <c r="K67" i="15"/>
  <c r="K75" i="15"/>
  <c r="K83" i="15"/>
  <c r="K91" i="15"/>
  <c r="N203" i="15"/>
  <c r="M203" i="15"/>
  <c r="L201" i="15"/>
  <c r="K190" i="15"/>
  <c r="N170" i="15"/>
  <c r="N186" i="15"/>
  <c r="M184" i="15"/>
  <c r="L182" i="15"/>
  <c r="K180" i="15"/>
  <c r="M152" i="15"/>
  <c r="M168" i="15"/>
  <c r="L166" i="15"/>
  <c r="K154" i="15"/>
  <c r="N135" i="15"/>
  <c r="M142" i="15"/>
  <c r="L140" i="15"/>
  <c r="N142" i="15"/>
  <c r="K144" i="15"/>
  <c r="M132" i="15"/>
  <c r="N127" i="15"/>
  <c r="M131" i="15"/>
  <c r="L131" i="15"/>
  <c r="K130" i="15"/>
  <c r="N99" i="15"/>
  <c r="M101" i="15"/>
  <c r="L100" i="15"/>
  <c r="L115" i="15"/>
  <c r="K102" i="15"/>
  <c r="K110" i="15"/>
  <c r="N67" i="15"/>
  <c r="N83" i="15"/>
  <c r="M64" i="15"/>
  <c r="M79" i="15"/>
  <c r="M94" i="15"/>
  <c r="L67" i="15"/>
  <c r="L75" i="15"/>
  <c r="L83" i="15"/>
  <c r="L91" i="15"/>
  <c r="N64" i="15"/>
  <c r="N96" i="15"/>
  <c r="N93" i="15"/>
  <c r="M76" i="15"/>
  <c r="M92" i="15"/>
  <c r="K68" i="15"/>
  <c r="K76" i="15"/>
  <c r="K84" i="15"/>
  <c r="K92" i="15"/>
  <c r="P468" i="6"/>
  <c r="N390" i="9"/>
  <c r="P466" i="6"/>
  <c r="Q466" i="6"/>
  <c r="P79" i="6"/>
  <c r="Q79" i="6"/>
  <c r="L295" i="14"/>
  <c r="M30" i="12"/>
  <c r="K384" i="3"/>
  <c r="K383" i="3"/>
  <c r="K382" i="3"/>
  <c r="K381" i="3"/>
  <c r="K380" i="3"/>
  <c r="K379" i="3"/>
  <c r="K378" i="3"/>
  <c r="K377" i="3"/>
  <c r="K376" i="3"/>
  <c r="K375" i="3"/>
  <c r="K374" i="3"/>
  <c r="K373" i="3"/>
  <c r="K372" i="3"/>
  <c r="K371" i="3"/>
  <c r="K370" i="3"/>
  <c r="K369" i="3"/>
  <c r="K368" i="3"/>
  <c r="K367" i="3"/>
  <c r="K366" i="3"/>
  <c r="K365" i="3"/>
  <c r="K364" i="3"/>
  <c r="K363" i="3"/>
  <c r="K362" i="3"/>
  <c r="K361" i="3"/>
  <c r="K360" i="3"/>
  <c r="K359" i="3"/>
  <c r="K358" i="3"/>
  <c r="K357" i="3"/>
  <c r="K356" i="3"/>
  <c r="K355" i="3"/>
  <c r="K354" i="3"/>
  <c r="K353" i="3"/>
  <c r="K352" i="3"/>
  <c r="K351" i="3"/>
  <c r="K350" i="3"/>
  <c r="K349" i="3"/>
  <c r="K348" i="3"/>
  <c r="K347" i="3"/>
  <c r="K346" i="3"/>
  <c r="K345" i="3"/>
  <c r="K344" i="3"/>
  <c r="K343" i="3"/>
  <c r="K342" i="3"/>
  <c r="K341" i="3"/>
  <c r="K340" i="3"/>
  <c r="K339" i="3"/>
  <c r="K338" i="3"/>
  <c r="K337" i="3"/>
  <c r="K336" i="3"/>
  <c r="K335" i="3"/>
  <c r="K334" i="3"/>
  <c r="K333" i="3"/>
  <c r="K332" i="3"/>
  <c r="K331" i="3"/>
  <c r="K330" i="3"/>
  <c r="K329" i="3"/>
  <c r="K328" i="3"/>
  <c r="K327" i="3"/>
  <c r="K326" i="3"/>
  <c r="K325" i="3"/>
  <c r="K324" i="3"/>
  <c r="K323" i="3"/>
  <c r="K322" i="3"/>
  <c r="K321" i="3"/>
  <c r="K320" i="3"/>
  <c r="K319" i="3"/>
  <c r="K318" i="3"/>
  <c r="K317" i="3"/>
  <c r="K316" i="3"/>
  <c r="K315" i="3"/>
  <c r="K314" i="3"/>
  <c r="K313" i="3"/>
  <c r="K312" i="3"/>
  <c r="K311" i="3"/>
  <c r="K310" i="3"/>
  <c r="K309" i="3"/>
  <c r="K308" i="3"/>
  <c r="K307" i="3"/>
  <c r="K306" i="3"/>
  <c r="K305" i="3"/>
  <c r="K304" i="3"/>
  <c r="K303" i="3"/>
  <c r="K302" i="3"/>
  <c r="K301" i="3"/>
  <c r="K300" i="3"/>
  <c r="N384" i="3"/>
  <c r="N383" i="3"/>
  <c r="N382" i="3"/>
  <c r="N381" i="3"/>
  <c r="N380" i="3"/>
  <c r="N379" i="3"/>
  <c r="N378" i="3"/>
  <c r="N377" i="3"/>
  <c r="N376" i="3"/>
  <c r="N375" i="3"/>
  <c r="N374" i="3"/>
  <c r="N373" i="3"/>
  <c r="N372" i="3"/>
  <c r="N371" i="3"/>
  <c r="N370" i="3"/>
  <c r="N369" i="3"/>
  <c r="N368" i="3"/>
  <c r="N367" i="3"/>
  <c r="N366" i="3"/>
  <c r="N365" i="3"/>
  <c r="N364" i="3"/>
  <c r="N363" i="3"/>
  <c r="N362" i="3"/>
  <c r="N361" i="3"/>
  <c r="N360" i="3"/>
  <c r="N359" i="3"/>
  <c r="N358" i="3"/>
  <c r="N357" i="3"/>
  <c r="N356" i="3"/>
  <c r="N355" i="3"/>
  <c r="N354" i="3"/>
  <c r="N353" i="3"/>
  <c r="N352" i="3"/>
  <c r="N351" i="3"/>
  <c r="N350" i="3"/>
  <c r="N349" i="3"/>
  <c r="N348" i="3"/>
  <c r="N347" i="3"/>
  <c r="N346" i="3"/>
  <c r="N345" i="3"/>
  <c r="N344" i="3"/>
  <c r="N343" i="3"/>
  <c r="N342" i="3"/>
  <c r="N341" i="3"/>
  <c r="N340" i="3"/>
  <c r="N339" i="3"/>
  <c r="N338" i="3"/>
  <c r="N337" i="3"/>
  <c r="N336" i="3"/>
  <c r="N335" i="3"/>
  <c r="N334" i="3"/>
  <c r="N333" i="3"/>
  <c r="N332" i="3"/>
  <c r="N331" i="3"/>
  <c r="N330" i="3"/>
  <c r="J21" i="3" s="1"/>
  <c r="N329" i="3"/>
  <c r="J20" i="3" s="1"/>
  <c r="N328" i="3"/>
  <c r="N327" i="3"/>
  <c r="J25" i="3" s="1"/>
  <c r="F66" i="12" s="1"/>
  <c r="N326" i="3"/>
  <c r="N325" i="3"/>
  <c r="J24" i="3" s="1"/>
  <c r="N324" i="3"/>
  <c r="J23" i="3" s="1"/>
  <c r="N323" i="3"/>
  <c r="N322" i="3"/>
  <c r="J8" i="3" s="1"/>
  <c r="N321" i="3"/>
  <c r="J7" i="3" s="1"/>
  <c r="N320" i="3"/>
  <c r="J18" i="3" s="1"/>
  <c r="F58" i="12" s="1"/>
  <c r="N319" i="3"/>
  <c r="J15" i="3" s="1"/>
  <c r="N318" i="3"/>
  <c r="N317" i="3"/>
  <c r="N316" i="3"/>
  <c r="J12" i="3" s="1"/>
  <c r="F54" i="12" s="1"/>
  <c r="N315" i="3"/>
  <c r="N314" i="3"/>
  <c r="J17" i="3" s="1"/>
  <c r="F52" i="12" s="1"/>
  <c r="N313" i="3"/>
  <c r="N312" i="3"/>
  <c r="N311" i="3"/>
  <c r="N310" i="3"/>
  <c r="N309" i="3"/>
  <c r="N308" i="3"/>
  <c r="N307" i="3"/>
  <c r="N306" i="3"/>
  <c r="N305" i="3"/>
  <c r="N304" i="3"/>
  <c r="N303" i="3"/>
  <c r="N302" i="3"/>
  <c r="N301" i="3"/>
  <c r="N300" i="3"/>
  <c r="M384" i="3"/>
  <c r="M383" i="3"/>
  <c r="M382" i="3"/>
  <c r="M381" i="3"/>
  <c r="M380" i="3"/>
  <c r="M379" i="3"/>
  <c r="M378" i="3"/>
  <c r="M377" i="3"/>
  <c r="M376" i="3"/>
  <c r="M375" i="3"/>
  <c r="M374" i="3"/>
  <c r="M373" i="3"/>
  <c r="M372" i="3"/>
  <c r="M371" i="3"/>
  <c r="M370" i="3"/>
  <c r="M369" i="3"/>
  <c r="M368" i="3"/>
  <c r="M367" i="3"/>
  <c r="M366" i="3"/>
  <c r="M365" i="3"/>
  <c r="M364" i="3"/>
  <c r="M363" i="3"/>
  <c r="M362" i="3"/>
  <c r="M361" i="3"/>
  <c r="M360" i="3"/>
  <c r="M359" i="3"/>
  <c r="M358" i="3"/>
  <c r="M357" i="3"/>
  <c r="M356" i="3"/>
  <c r="M355" i="3"/>
  <c r="M354" i="3"/>
  <c r="M353" i="3"/>
  <c r="M352" i="3"/>
  <c r="M351" i="3"/>
  <c r="M350" i="3"/>
  <c r="M349" i="3"/>
  <c r="M348" i="3"/>
  <c r="M347" i="3"/>
  <c r="M346" i="3"/>
  <c r="M345" i="3"/>
  <c r="M344" i="3"/>
  <c r="M343" i="3"/>
  <c r="M342" i="3"/>
  <c r="M341" i="3"/>
  <c r="M340" i="3"/>
  <c r="M339" i="3"/>
  <c r="M338" i="3"/>
  <c r="M337" i="3"/>
  <c r="M336" i="3"/>
  <c r="M335" i="3"/>
  <c r="M334" i="3"/>
  <c r="M333" i="3"/>
  <c r="M332" i="3"/>
  <c r="M331" i="3"/>
  <c r="M330" i="3"/>
  <c r="M329" i="3"/>
  <c r="M328" i="3"/>
  <c r="M327" i="3"/>
  <c r="M326" i="3"/>
  <c r="M325" i="3"/>
  <c r="M324" i="3"/>
  <c r="M323" i="3"/>
  <c r="M322" i="3"/>
  <c r="M321" i="3"/>
  <c r="M320" i="3"/>
  <c r="M319" i="3"/>
  <c r="M318" i="3"/>
  <c r="M317" i="3"/>
  <c r="M316" i="3"/>
  <c r="M315" i="3"/>
  <c r="M314" i="3"/>
  <c r="M313" i="3"/>
  <c r="M312" i="3"/>
  <c r="M311" i="3"/>
  <c r="M310" i="3"/>
  <c r="M309" i="3"/>
  <c r="M308" i="3"/>
  <c r="M307" i="3"/>
  <c r="M306" i="3"/>
  <c r="M305" i="3"/>
  <c r="M304" i="3"/>
  <c r="M303" i="3"/>
  <c r="M302" i="3"/>
  <c r="M301" i="3"/>
  <c r="L384" i="3"/>
  <c r="L380" i="3"/>
  <c r="L376" i="3"/>
  <c r="L372" i="3"/>
  <c r="L368" i="3"/>
  <c r="L364" i="3"/>
  <c r="L360" i="3"/>
  <c r="L356" i="3"/>
  <c r="L352" i="3"/>
  <c r="L348" i="3"/>
  <c r="L344" i="3"/>
  <c r="L340" i="3"/>
  <c r="L336" i="3"/>
  <c r="L332" i="3"/>
  <c r="L328" i="3"/>
  <c r="L324" i="3"/>
  <c r="L320" i="3"/>
  <c r="L316" i="3"/>
  <c r="L312" i="3"/>
  <c r="L308" i="3"/>
  <c r="L304" i="3"/>
  <c r="M300" i="3"/>
  <c r="L299" i="3"/>
  <c r="L298" i="3"/>
  <c r="L297" i="3"/>
  <c r="L296" i="3"/>
  <c r="L295" i="3"/>
  <c r="L294" i="3"/>
  <c r="L293" i="3"/>
  <c r="L292" i="3"/>
  <c r="L291" i="3"/>
  <c r="L290" i="3"/>
  <c r="L289" i="3"/>
  <c r="L288" i="3"/>
  <c r="L287" i="3"/>
  <c r="L286" i="3"/>
  <c r="L285" i="3"/>
  <c r="L284" i="3"/>
  <c r="L283" i="3"/>
  <c r="L282" i="3"/>
  <c r="L281" i="3"/>
  <c r="L280" i="3"/>
  <c r="L279" i="3"/>
  <c r="L278" i="3"/>
  <c r="L277" i="3"/>
  <c r="L383" i="3"/>
  <c r="L379" i="3"/>
  <c r="L375" i="3"/>
  <c r="L371" i="3"/>
  <c r="L367" i="3"/>
  <c r="L363" i="3"/>
  <c r="L359" i="3"/>
  <c r="L355" i="3"/>
  <c r="L351" i="3"/>
  <c r="L347" i="3"/>
  <c r="L343" i="3"/>
  <c r="L339" i="3"/>
  <c r="L335" i="3"/>
  <c r="L331" i="3"/>
  <c r="L327" i="3"/>
  <c r="L323" i="3"/>
  <c r="L319" i="3"/>
  <c r="L315" i="3"/>
  <c r="L311" i="3"/>
  <c r="L307" i="3"/>
  <c r="L303" i="3"/>
  <c r="L300" i="3"/>
  <c r="K299" i="3"/>
  <c r="K298" i="3"/>
  <c r="K297" i="3"/>
  <c r="K296" i="3"/>
  <c r="K295" i="3"/>
  <c r="K294" i="3"/>
  <c r="K293" i="3"/>
  <c r="K292" i="3"/>
  <c r="K291" i="3"/>
  <c r="K290" i="3"/>
  <c r="K289" i="3"/>
  <c r="K288" i="3"/>
  <c r="K287" i="3"/>
  <c r="K286" i="3"/>
  <c r="K285" i="3"/>
  <c r="K284" i="3"/>
  <c r="K283" i="3"/>
  <c r="K282" i="3"/>
  <c r="K281" i="3"/>
  <c r="K280" i="3"/>
  <c r="K279" i="3"/>
  <c r="K278" i="3"/>
  <c r="K277" i="3"/>
  <c r="L382" i="3"/>
  <c r="L378" i="3"/>
  <c r="L374" i="3"/>
  <c r="L370" i="3"/>
  <c r="L366" i="3"/>
  <c r="L362" i="3"/>
  <c r="L358" i="3"/>
  <c r="L354" i="3"/>
  <c r="L350" i="3"/>
  <c r="L346" i="3"/>
  <c r="L342" i="3"/>
  <c r="L338" i="3"/>
  <c r="L334" i="3"/>
  <c r="L330" i="3"/>
  <c r="L326" i="3"/>
  <c r="L322" i="3"/>
  <c r="L318" i="3"/>
  <c r="L314" i="3"/>
  <c r="L310" i="3"/>
  <c r="L306" i="3"/>
  <c r="L302" i="3"/>
  <c r="N299" i="3"/>
  <c r="N298" i="3"/>
  <c r="N297" i="3"/>
  <c r="N296" i="3"/>
  <c r="N295" i="3"/>
  <c r="N294" i="3"/>
  <c r="I21" i="3" s="1"/>
  <c r="N293" i="3"/>
  <c r="I20" i="3" s="1"/>
  <c r="N292" i="3"/>
  <c r="I10" i="3" s="1"/>
  <c r="J67" i="12" s="1"/>
  <c r="N291" i="3"/>
  <c r="I25" i="3" s="1"/>
  <c r="J66" i="12" s="1"/>
  <c r="N290" i="3"/>
  <c r="I9" i="3" s="1"/>
  <c r="J65" i="12" s="1"/>
  <c r="N289" i="3"/>
  <c r="I24" i="3" s="1"/>
  <c r="T10" i="12" s="1"/>
  <c r="P29" i="12" s="1"/>
  <c r="I43" i="12" s="1"/>
  <c r="N288" i="3"/>
  <c r="I23" i="3" s="1"/>
  <c r="J63" i="12" s="1"/>
  <c r="N287" i="3"/>
  <c r="I22" i="3" s="1"/>
  <c r="J62" i="12" s="1"/>
  <c r="N286" i="3"/>
  <c r="I8" i="3" s="1"/>
  <c r="J61" i="12" s="1"/>
  <c r="N285" i="3"/>
  <c r="I7" i="3" s="1"/>
  <c r="J60" i="12" s="1"/>
  <c r="N284" i="3"/>
  <c r="I18" i="3" s="1"/>
  <c r="J58" i="12" s="1"/>
  <c r="N283" i="3"/>
  <c r="I15" i="3" s="1"/>
  <c r="R10" i="12" s="1"/>
  <c r="P28" i="12" s="1"/>
  <c r="I42" i="12" s="1"/>
  <c r="N282" i="3"/>
  <c r="I14" i="3" s="1"/>
  <c r="J56" i="12" s="1"/>
  <c r="N281" i="3"/>
  <c r="I13" i="3" s="1"/>
  <c r="J55" i="12" s="1"/>
  <c r="N280" i="3"/>
  <c r="I12" i="3" s="1"/>
  <c r="J54" i="12" s="1"/>
  <c r="N279" i="3"/>
  <c r="I6" i="3" s="1"/>
  <c r="J53" i="12" s="1"/>
  <c r="N278" i="3"/>
  <c r="I17" i="3" s="1"/>
  <c r="J52" i="12" s="1"/>
  <c r="N277" i="3"/>
  <c r="I5" i="3" s="1"/>
  <c r="L381" i="3"/>
  <c r="L365" i="3"/>
  <c r="L349" i="3"/>
  <c r="L333" i="3"/>
  <c r="L317" i="3"/>
  <c r="L301" i="3"/>
  <c r="M296" i="3"/>
  <c r="M292" i="3"/>
  <c r="M288" i="3"/>
  <c r="M284" i="3"/>
  <c r="M280" i="3"/>
  <c r="L377" i="3"/>
  <c r="L361" i="3"/>
  <c r="L345" i="3"/>
  <c r="L329" i="3"/>
  <c r="L313" i="3"/>
  <c r="M299" i="3"/>
  <c r="M295" i="3"/>
  <c r="M291" i="3"/>
  <c r="M287" i="3"/>
  <c r="M283" i="3"/>
  <c r="M279" i="3"/>
  <c r="L369" i="3"/>
  <c r="L353" i="3"/>
  <c r="L337" i="3"/>
  <c r="L321" i="3"/>
  <c r="L305" i="3"/>
  <c r="M297" i="3"/>
  <c r="M293" i="3"/>
  <c r="M289" i="3"/>
  <c r="M285" i="3"/>
  <c r="M281" i="3"/>
  <c r="M277" i="3"/>
  <c r="L373" i="3"/>
  <c r="L309" i="3"/>
  <c r="M286" i="3"/>
  <c r="L357" i="3"/>
  <c r="M298" i="3"/>
  <c r="M282" i="3"/>
  <c r="L341" i="3"/>
  <c r="M294" i="3"/>
  <c r="M278" i="3"/>
  <c r="L325" i="3"/>
  <c r="M290" i="3"/>
  <c r="P105" i="6"/>
  <c r="Q105" i="6"/>
  <c r="K390" i="9"/>
  <c r="O390" i="9"/>
  <c r="M390" i="9"/>
  <c r="D626" i="8"/>
  <c r="D514" i="8"/>
  <c r="D350" i="8"/>
  <c r="M628" i="8"/>
  <c r="M596" i="8"/>
  <c r="M564" i="8"/>
  <c r="M532" i="8"/>
  <c r="M500" i="8"/>
  <c r="M436" i="8"/>
  <c r="M420" i="8"/>
  <c r="M404" i="8"/>
  <c r="M388" i="8"/>
  <c r="M372" i="8"/>
  <c r="M359" i="8"/>
  <c r="N348" i="8"/>
  <c r="L338" i="8"/>
  <c r="M327" i="8"/>
  <c r="N316" i="8"/>
  <c r="M307" i="8"/>
  <c r="D610" i="8"/>
  <c r="D464" i="8"/>
  <c r="D318" i="8"/>
  <c r="M620" i="8"/>
  <c r="M588" i="8"/>
  <c r="M556" i="8"/>
  <c r="M524" i="8"/>
  <c r="M474" i="8"/>
  <c r="M432" i="8"/>
  <c r="M416" i="8"/>
  <c r="M400" i="8"/>
  <c r="M384" i="8"/>
  <c r="M368" i="8"/>
  <c r="N356" i="8"/>
  <c r="L346" i="8"/>
  <c r="M335" i="8"/>
  <c r="N324" i="8"/>
  <c r="L314" i="8"/>
  <c r="M305" i="8"/>
  <c r="D578" i="8"/>
  <c r="D414" i="8"/>
  <c r="M612" i="8"/>
  <c r="M580" i="8"/>
  <c r="M548" i="8"/>
  <c r="M516" i="8"/>
  <c r="M466" i="8"/>
  <c r="M428" i="8"/>
  <c r="M412" i="8"/>
  <c r="M396" i="8"/>
  <c r="M380" i="8"/>
  <c r="N364" i="8"/>
  <c r="L354" i="8"/>
  <c r="M343" i="8"/>
  <c r="N332" i="8"/>
  <c r="L322" i="8"/>
  <c r="M311" i="8"/>
  <c r="M303" i="8"/>
  <c r="M636" i="8"/>
  <c r="M508" i="8"/>
  <c r="M392" i="8"/>
  <c r="N340" i="8"/>
  <c r="M301" i="8"/>
  <c r="D546" i="8"/>
  <c r="M604" i="8"/>
  <c r="M441" i="8"/>
  <c r="M376" i="8"/>
  <c r="L330" i="8"/>
  <c r="M540" i="8"/>
  <c r="M408" i="8"/>
  <c r="M351" i="8"/>
  <c r="M309" i="8"/>
  <c r="D382" i="8"/>
  <c r="L362" i="8"/>
  <c r="M319" i="8"/>
  <c r="M572" i="8"/>
  <c r="M424" i="8"/>
  <c r="P43" i="6"/>
  <c r="Q43" i="6"/>
  <c r="Q521" i="6"/>
  <c r="P109" i="6"/>
  <c r="P89" i="6"/>
  <c r="P31" i="6"/>
  <c r="Q31" i="6"/>
  <c r="N201" i="15"/>
  <c r="D634" i="8"/>
  <c r="P559" i="6"/>
  <c r="Q545" i="6"/>
  <c r="Q111" i="6"/>
  <c r="Q549" i="6" s="1"/>
  <c r="P111" i="6"/>
  <c r="P549" i="6" s="1"/>
  <c r="P76" i="6"/>
  <c r="Q76" i="6"/>
  <c r="Q531" i="6" s="1"/>
  <c r="D390" i="9"/>
  <c r="P284" i="9"/>
  <c r="J12" i="9" s="1"/>
  <c r="Q53" i="6"/>
  <c r="P53" i="6"/>
  <c r="O483" i="6"/>
  <c r="P365" i="9"/>
  <c r="P24" i="9" s="1"/>
  <c r="N24" i="9" s="1"/>
  <c r="P293" i="9"/>
  <c r="J24" i="9" s="1"/>
  <c r="P302" i="9"/>
  <c r="K12" i="9" s="1"/>
  <c r="K11" i="9" s="1"/>
  <c r="K301" i="8"/>
  <c r="K303" i="8"/>
  <c r="K305" i="8"/>
  <c r="K307" i="8"/>
  <c r="K309" i="8"/>
  <c r="K311" i="8"/>
  <c r="M313" i="8"/>
  <c r="L316" i="8"/>
  <c r="N318" i="8"/>
  <c r="M321" i="8"/>
  <c r="L324" i="8"/>
  <c r="N326" i="8"/>
  <c r="M329" i="8"/>
  <c r="L332" i="8"/>
  <c r="N334" i="8"/>
  <c r="M337" i="8"/>
  <c r="L340" i="8"/>
  <c r="N342" i="8"/>
  <c r="M345" i="8"/>
  <c r="L348" i="8"/>
  <c r="N350" i="8"/>
  <c r="M353" i="8"/>
  <c r="L356" i="8"/>
  <c r="N358" i="8"/>
  <c r="M361" i="8"/>
  <c r="L364" i="8"/>
  <c r="M367" i="8"/>
  <c r="M371" i="8"/>
  <c r="M375" i="8"/>
  <c r="M379" i="8"/>
  <c r="M383" i="8"/>
  <c r="M387" i="8"/>
  <c r="M391" i="8"/>
  <c r="M395" i="8"/>
  <c r="M399" i="8"/>
  <c r="M403" i="8"/>
  <c r="M407" i="8"/>
  <c r="M411" i="8"/>
  <c r="M415" i="8"/>
  <c r="M419" i="8"/>
  <c r="M423" i="8"/>
  <c r="M427" i="8"/>
  <c r="M431" i="8"/>
  <c r="M435" i="8"/>
  <c r="L440" i="8"/>
  <c r="M464" i="8"/>
  <c r="M472" i="8"/>
  <c r="M498" i="8"/>
  <c r="M506" i="8"/>
  <c r="M514" i="8"/>
  <c r="M522" i="8"/>
  <c r="M530" i="8"/>
  <c r="M538" i="8"/>
  <c r="M546" i="8"/>
  <c r="M554" i="8"/>
  <c r="M562" i="8"/>
  <c r="M570" i="8"/>
  <c r="M578" i="8"/>
  <c r="M586" i="8"/>
  <c r="M594" i="8"/>
  <c r="M602" i="8"/>
  <c r="M610" i="8"/>
  <c r="M618" i="8"/>
  <c r="M626" i="8"/>
  <c r="M634" i="8"/>
  <c r="D310" i="8"/>
  <c r="D342" i="8"/>
  <c r="D374" i="8"/>
  <c r="D406" i="8"/>
  <c r="D438" i="8"/>
  <c r="D506" i="8"/>
  <c r="D538" i="8"/>
  <c r="D570" i="8"/>
  <c r="D602" i="8"/>
  <c r="L289" i="14"/>
  <c r="L293" i="14"/>
  <c r="L279" i="14"/>
  <c r="M285" i="14"/>
  <c r="M292" i="14"/>
  <c r="M300" i="14"/>
  <c r="M309" i="14"/>
  <c r="L288" i="14"/>
  <c r="L296" i="14"/>
  <c r="L305" i="14"/>
  <c r="L313" i="14"/>
  <c r="M284" i="14"/>
  <c r="M293" i="14"/>
  <c r="M301" i="14"/>
  <c r="M308" i="14"/>
  <c r="K279" i="14"/>
  <c r="K283" i="14"/>
  <c r="K287" i="14"/>
  <c r="K291" i="14"/>
  <c r="K295" i="14"/>
  <c r="K299" i="14"/>
  <c r="K303" i="14"/>
  <c r="K307" i="14"/>
  <c r="K311" i="14"/>
  <c r="N279" i="14"/>
  <c r="H17" i="14" s="1"/>
  <c r="N283" i="14"/>
  <c r="H14" i="14" s="1"/>
  <c r="N287" i="14"/>
  <c r="H8" i="14" s="1"/>
  <c r="N291" i="14"/>
  <c r="H9" i="14" s="1"/>
  <c r="N294" i="14"/>
  <c r="N297" i="14"/>
  <c r="F17" i="14" s="1"/>
  <c r="N301" i="14"/>
  <c r="F14" i="14" s="1"/>
  <c r="N305" i="14"/>
  <c r="F8" i="14" s="1"/>
  <c r="N309" i="14"/>
  <c r="F9" i="14" s="1"/>
  <c r="N313" i="14"/>
  <c r="F21" i="14" s="1"/>
  <c r="L281" i="14"/>
  <c r="K93" i="15"/>
  <c r="K89" i="15"/>
  <c r="K85" i="15"/>
  <c r="K81" i="15"/>
  <c r="K77" i="15"/>
  <c r="K73" i="15"/>
  <c r="K69" i="15"/>
  <c r="K65" i="15"/>
  <c r="M97" i="15"/>
  <c r="M86" i="15"/>
  <c r="M78" i="15"/>
  <c r="M69" i="15"/>
  <c r="N95" i="15"/>
  <c r="N88" i="15"/>
  <c r="N80" i="15"/>
  <c r="N76" i="15"/>
  <c r="N68" i="15"/>
  <c r="L97" i="15"/>
  <c r="L93" i="15"/>
  <c r="L89" i="15"/>
  <c r="L85" i="15"/>
  <c r="L81" i="15"/>
  <c r="L77" i="15"/>
  <c r="L73" i="15"/>
  <c r="L69" i="15"/>
  <c r="L65" i="15"/>
  <c r="M96" i="15"/>
  <c r="M91" i="15"/>
  <c r="M83" i="15"/>
  <c r="M75" i="15"/>
  <c r="M68" i="15"/>
  <c r="N97" i="15"/>
  <c r="N87" i="15"/>
  <c r="N79" i="15"/>
  <c r="N71" i="15"/>
  <c r="N63" i="15"/>
  <c r="K112" i="15"/>
  <c r="K108" i="15"/>
  <c r="K104" i="15"/>
  <c r="K99" i="15"/>
  <c r="N102" i="15"/>
  <c r="L112" i="15"/>
  <c r="L104" i="15"/>
  <c r="M114" i="15"/>
  <c r="M105" i="15"/>
  <c r="N113" i="15"/>
  <c r="N105" i="15"/>
  <c r="K126" i="15"/>
  <c r="K118" i="15"/>
  <c r="L127" i="15"/>
  <c r="L119" i="15"/>
  <c r="M125" i="15"/>
  <c r="N131" i="15"/>
  <c r="N123" i="15"/>
  <c r="M121" i="15"/>
  <c r="K148" i="15"/>
  <c r="K140" i="15"/>
  <c r="N149" i="15"/>
  <c r="N134" i="15"/>
  <c r="L144" i="15"/>
  <c r="L136" i="15"/>
  <c r="M146" i="15"/>
  <c r="M138" i="15"/>
  <c r="N143" i="15"/>
  <c r="K166" i="15"/>
  <c r="K158" i="15"/>
  <c r="N167" i="15"/>
  <c r="N152" i="15"/>
  <c r="L162" i="15"/>
  <c r="L154" i="15"/>
  <c r="M164" i="15"/>
  <c r="M156" i="15"/>
  <c r="N161" i="15"/>
  <c r="K184" i="15"/>
  <c r="K176" i="15"/>
  <c r="L186" i="15"/>
  <c r="L178" i="15"/>
  <c r="L170" i="15"/>
  <c r="M180" i="15"/>
  <c r="M172" i="15"/>
  <c r="N182" i="15"/>
  <c r="N174" i="15"/>
  <c r="K202" i="15"/>
  <c r="K194" i="15"/>
  <c r="N205" i="15"/>
  <c r="L205" i="15"/>
  <c r="L197" i="15"/>
  <c r="L189" i="15"/>
  <c r="M199" i="15"/>
  <c r="M190" i="15"/>
  <c r="M300" i="8"/>
  <c r="M302" i="8"/>
  <c r="M304" i="8"/>
  <c r="M306" i="8"/>
  <c r="M308" i="8"/>
  <c r="M310" i="8"/>
  <c r="N312" i="8"/>
  <c r="M315" i="8"/>
  <c r="L318" i="8"/>
  <c r="N320" i="8"/>
  <c r="M323" i="8"/>
  <c r="L326" i="8"/>
  <c r="N328" i="8"/>
  <c r="M331" i="8"/>
  <c r="L334" i="8"/>
  <c r="N336" i="8"/>
  <c r="M339" i="8"/>
  <c r="L342" i="8"/>
  <c r="N344" i="8"/>
  <c r="M347" i="8"/>
  <c r="L350" i="8"/>
  <c r="N352" i="8"/>
  <c r="M355" i="8"/>
  <c r="L358" i="8"/>
  <c r="N360" i="8"/>
  <c r="M363" i="8"/>
  <c r="M366" i="8"/>
  <c r="M370" i="8"/>
  <c r="M374" i="8"/>
  <c r="M378" i="8"/>
  <c r="M382" i="8"/>
  <c r="M386" i="8"/>
  <c r="M390" i="8"/>
  <c r="M394" i="8"/>
  <c r="M398" i="8"/>
  <c r="M402" i="8"/>
  <c r="M406" i="8"/>
  <c r="M410" i="8"/>
  <c r="M414" i="8"/>
  <c r="M418" i="8"/>
  <c r="M422" i="8"/>
  <c r="M426" i="8"/>
  <c r="M430" i="8"/>
  <c r="M434" i="8"/>
  <c r="N438" i="8"/>
  <c r="M462" i="8"/>
  <c r="M470" i="8"/>
  <c r="M478" i="8"/>
  <c r="M504" i="8"/>
  <c r="M512" i="8"/>
  <c r="M520" i="8"/>
  <c r="M528" i="8"/>
  <c r="M536" i="8"/>
  <c r="M544" i="8"/>
  <c r="M552" i="8"/>
  <c r="M560" i="8"/>
  <c r="M568" i="8"/>
  <c r="M576" i="8"/>
  <c r="M584" i="8"/>
  <c r="M592" i="8"/>
  <c r="M600" i="8"/>
  <c r="M608" i="8"/>
  <c r="M616" i="8"/>
  <c r="M624" i="8"/>
  <c r="M632" i="8"/>
  <c r="M640" i="8"/>
  <c r="D302" i="8"/>
  <c r="D334" i="8"/>
  <c r="D366" i="8"/>
  <c r="D398" i="8"/>
  <c r="D430" i="8"/>
  <c r="D498" i="8"/>
  <c r="D530" i="8"/>
  <c r="D562" i="8"/>
  <c r="D594" i="8"/>
  <c r="N191" i="15"/>
  <c r="N199" i="15"/>
  <c r="N204" i="15"/>
  <c r="M191" i="15"/>
  <c r="M195" i="15"/>
  <c r="M200" i="15"/>
  <c r="M204" i="15"/>
  <c r="L190" i="15"/>
  <c r="L194" i="15"/>
  <c r="L198" i="15"/>
  <c r="L202" i="15"/>
  <c r="N188" i="15"/>
  <c r="N196" i="15"/>
  <c r="M198" i="15"/>
  <c r="K191" i="15"/>
  <c r="K195" i="15"/>
  <c r="K199" i="15"/>
  <c r="K203" i="15"/>
  <c r="N171" i="15"/>
  <c r="N175" i="15"/>
  <c r="N179" i="15"/>
  <c r="N183" i="15"/>
  <c r="N187" i="15"/>
  <c r="M173" i="15"/>
  <c r="M177" i="15"/>
  <c r="M181" i="15"/>
  <c r="M185" i="15"/>
  <c r="L171" i="15"/>
  <c r="L175" i="15"/>
  <c r="L179" i="15"/>
  <c r="L183" i="15"/>
  <c r="L187" i="15"/>
  <c r="K173" i="15"/>
  <c r="K177" i="15"/>
  <c r="K181" i="15"/>
  <c r="K185" i="15"/>
  <c r="N155" i="15"/>
  <c r="N164" i="15"/>
  <c r="M153" i="15"/>
  <c r="M157" i="15"/>
  <c r="M161" i="15"/>
  <c r="M165" i="15"/>
  <c r="M169" i="15"/>
  <c r="L155" i="15"/>
  <c r="L159" i="15"/>
  <c r="L163" i="15"/>
  <c r="L167" i="15"/>
  <c r="N154" i="15"/>
  <c r="N162" i="15"/>
  <c r="N169" i="15"/>
  <c r="K155" i="15"/>
  <c r="K159" i="15"/>
  <c r="K163" i="15"/>
  <c r="K167" i="15"/>
  <c r="N137" i="15"/>
  <c r="N145" i="15"/>
  <c r="M135" i="15"/>
  <c r="M139" i="15"/>
  <c r="M143" i="15"/>
  <c r="M147" i="15"/>
  <c r="M151" i="15"/>
  <c r="L137" i="15"/>
  <c r="L141" i="15"/>
  <c r="L145" i="15"/>
  <c r="L149" i="15"/>
  <c r="N136" i="15"/>
  <c r="N144" i="15"/>
  <c r="N151" i="15"/>
  <c r="K137" i="15"/>
  <c r="K141" i="15"/>
  <c r="K145" i="15"/>
  <c r="K149" i="15"/>
  <c r="L133" i="15"/>
  <c r="M123" i="15"/>
  <c r="N118" i="15"/>
  <c r="N122" i="15"/>
  <c r="N126" i="15"/>
  <c r="N130" i="15"/>
  <c r="M116" i="15"/>
  <c r="M124" i="15"/>
  <c r="M130" i="15"/>
  <c r="L118" i="15"/>
  <c r="L122" i="15"/>
  <c r="L126" i="15"/>
  <c r="L130" i="15"/>
  <c r="K117" i="15"/>
  <c r="K121" i="15"/>
  <c r="K125" i="15"/>
  <c r="K129" i="15"/>
  <c r="N101" i="15"/>
  <c r="N106" i="15"/>
  <c r="N110" i="15"/>
  <c r="N115" i="15"/>
  <c r="M102" i="15"/>
  <c r="M106" i="15"/>
  <c r="M110" i="15"/>
  <c r="M115" i="15"/>
  <c r="L101" i="15"/>
  <c r="L105" i="15"/>
  <c r="L109" i="15"/>
  <c r="L113" i="15"/>
  <c r="N100" i="15"/>
  <c r="M111" i="15"/>
  <c r="K101" i="15"/>
  <c r="K205" i="15"/>
  <c r="N195" i="15"/>
  <c r="N202" i="15"/>
  <c r="M189" i="15"/>
  <c r="M193" i="15"/>
  <c r="M197" i="15"/>
  <c r="M202" i="15"/>
  <c r="L188" i="15"/>
  <c r="L192" i="15"/>
  <c r="L196" i="15"/>
  <c r="L200" i="15"/>
  <c r="L204" i="15"/>
  <c r="N192" i="15"/>
  <c r="N200" i="15"/>
  <c r="K189" i="15"/>
  <c r="K193" i="15"/>
  <c r="K197" i="15"/>
  <c r="K201" i="15"/>
  <c r="K187" i="15"/>
  <c r="N173" i="15"/>
  <c r="N177" i="15"/>
  <c r="N181" i="15"/>
  <c r="N185" i="15"/>
  <c r="M171" i="15"/>
  <c r="M175" i="15"/>
  <c r="M179" i="15"/>
  <c r="M183" i="15"/>
  <c r="M187" i="15"/>
  <c r="L173" i="15"/>
  <c r="L177" i="15"/>
  <c r="L181" i="15"/>
  <c r="L185" i="15"/>
  <c r="K171" i="15"/>
  <c r="K175" i="15"/>
  <c r="K179" i="15"/>
  <c r="K183" i="15"/>
  <c r="K169" i="15"/>
  <c r="N159" i="15"/>
  <c r="N168" i="15"/>
  <c r="M155" i="15"/>
  <c r="M159" i="15"/>
  <c r="M163" i="15"/>
  <c r="M167" i="15"/>
  <c r="L153" i="15"/>
  <c r="L157" i="15"/>
  <c r="L161" i="15"/>
  <c r="L165" i="15"/>
  <c r="L169" i="15"/>
  <c r="N158" i="15"/>
  <c r="N166" i="15"/>
  <c r="K153" i="15"/>
  <c r="K157" i="15"/>
  <c r="K161" i="15"/>
  <c r="K165" i="15"/>
  <c r="K151" i="15"/>
  <c r="N141" i="15"/>
  <c r="N150" i="15"/>
  <c r="M137" i="15"/>
  <c r="M141" i="15"/>
  <c r="M145" i="15"/>
  <c r="M149" i="15"/>
  <c r="L135" i="15"/>
  <c r="L139" i="15"/>
  <c r="L143" i="15"/>
  <c r="L147" i="15"/>
  <c r="L151" i="15"/>
  <c r="N140" i="15"/>
  <c r="N148" i="15"/>
  <c r="K135" i="15"/>
  <c r="K139" i="15"/>
  <c r="K143" i="15"/>
  <c r="K147" i="15"/>
  <c r="K133" i="15"/>
  <c r="M119" i="15"/>
  <c r="M128" i="15"/>
  <c r="N116" i="15"/>
  <c r="N120" i="15"/>
  <c r="N124" i="15"/>
  <c r="N128" i="15"/>
  <c r="N132" i="15"/>
  <c r="M120" i="15"/>
  <c r="M127" i="15"/>
  <c r="L116" i="15"/>
  <c r="L120" i="15"/>
  <c r="L124" i="15"/>
  <c r="L128" i="15"/>
  <c r="L132" i="15"/>
  <c r="K119" i="15"/>
  <c r="K123" i="15"/>
  <c r="K127" i="15"/>
  <c r="K131" i="15"/>
  <c r="K115" i="15"/>
  <c r="N104" i="15"/>
  <c r="N108" i="15"/>
  <c r="N112" i="15"/>
  <c r="M100" i="15"/>
  <c r="M104" i="15"/>
  <c r="M108" i="15"/>
  <c r="M113" i="15"/>
  <c r="L99" i="15"/>
  <c r="L103" i="15"/>
  <c r="L107" i="15"/>
  <c r="L111" i="15"/>
  <c r="D640" i="8"/>
  <c r="D636" i="8"/>
  <c r="D632" i="8"/>
  <c r="D628" i="8"/>
  <c r="D624" i="8"/>
  <c r="D620" i="8"/>
  <c r="D616" i="8"/>
  <c r="D612" i="8"/>
  <c r="D608" i="8"/>
  <c r="D604" i="8"/>
  <c r="D600" i="8"/>
  <c r="D596" i="8"/>
  <c r="D592" i="8"/>
  <c r="D588" i="8"/>
  <c r="D584" i="8"/>
  <c r="D580" i="8"/>
  <c r="D576" i="8"/>
  <c r="D572" i="8"/>
  <c r="D568" i="8"/>
  <c r="D564" i="8"/>
  <c r="D560" i="8"/>
  <c r="D556" i="8"/>
  <c r="D552" i="8"/>
  <c r="D548" i="8"/>
  <c r="D544" i="8"/>
  <c r="D540" i="8"/>
  <c r="D536" i="8"/>
  <c r="D532" i="8"/>
  <c r="D528" i="8"/>
  <c r="D524" i="8"/>
  <c r="D520" i="8"/>
  <c r="D516" i="8"/>
  <c r="D512" i="8"/>
  <c r="D508" i="8"/>
  <c r="D504" i="8"/>
  <c r="D500" i="8"/>
  <c r="D478" i="8"/>
  <c r="D474" i="8"/>
  <c r="D470" i="8"/>
  <c r="D466" i="8"/>
  <c r="D462" i="8"/>
  <c r="D440" i="8"/>
  <c r="D436" i="8"/>
  <c r="D432" i="8"/>
  <c r="D428" i="8"/>
  <c r="D424" i="8"/>
  <c r="D420" i="8"/>
  <c r="D416" i="8"/>
  <c r="D412" i="8"/>
  <c r="D408" i="8"/>
  <c r="D404" i="8"/>
  <c r="D400" i="8"/>
  <c r="D396" i="8"/>
  <c r="D392" i="8"/>
  <c r="D388" i="8"/>
  <c r="D384" i="8"/>
  <c r="D380" i="8"/>
  <c r="D376" i="8"/>
  <c r="D372" i="8"/>
  <c r="D368" i="8"/>
  <c r="D364" i="8"/>
  <c r="D360" i="8"/>
  <c r="D356" i="8"/>
  <c r="D352" i="8"/>
  <c r="D348" i="8"/>
  <c r="D344" i="8"/>
  <c r="D340" i="8"/>
  <c r="D336" i="8"/>
  <c r="D332" i="8"/>
  <c r="D328" i="8"/>
  <c r="D324" i="8"/>
  <c r="D320" i="8"/>
  <c r="D316" i="8"/>
  <c r="D312" i="8"/>
  <c r="D308" i="8"/>
  <c r="D304" i="8"/>
  <c r="D300" i="8"/>
  <c r="N641" i="8"/>
  <c r="N640" i="8"/>
  <c r="N639" i="8"/>
  <c r="N638" i="8"/>
  <c r="N637" i="8"/>
  <c r="N636" i="8"/>
  <c r="N635" i="8"/>
  <c r="N634" i="8"/>
  <c r="N633" i="8"/>
  <c r="N632" i="8"/>
  <c r="N631" i="8"/>
  <c r="N630" i="8"/>
  <c r="N629" i="8"/>
  <c r="N628" i="8"/>
  <c r="N627" i="8"/>
  <c r="N626" i="8"/>
  <c r="N625" i="8"/>
  <c r="N624" i="8"/>
  <c r="N623" i="8"/>
  <c r="N622" i="8"/>
  <c r="N621" i="8"/>
  <c r="N620" i="8"/>
  <c r="N619" i="8"/>
  <c r="N618" i="8"/>
  <c r="N617" i="8"/>
  <c r="N616" i="8"/>
  <c r="N615" i="8"/>
  <c r="N614" i="8"/>
  <c r="N613" i="8"/>
  <c r="N612" i="8"/>
  <c r="N611" i="8"/>
  <c r="N610" i="8"/>
  <c r="N609" i="8"/>
  <c r="N608" i="8"/>
  <c r="N607" i="8"/>
  <c r="N606" i="8"/>
  <c r="N605" i="8"/>
  <c r="N604" i="8"/>
  <c r="N603" i="8"/>
  <c r="N602" i="8"/>
  <c r="N601" i="8"/>
  <c r="N600" i="8"/>
  <c r="N599" i="8"/>
  <c r="N598" i="8"/>
  <c r="N597" i="8"/>
  <c r="N596" i="8"/>
  <c r="N595" i="8"/>
  <c r="N594" i="8"/>
  <c r="N593" i="8"/>
  <c r="N592" i="8"/>
  <c r="N591" i="8"/>
  <c r="N590" i="8"/>
  <c r="N589" i="8"/>
  <c r="N588" i="8"/>
  <c r="N587" i="8"/>
  <c r="N586" i="8"/>
  <c r="N585" i="8"/>
  <c r="N584" i="8"/>
  <c r="N583" i="8"/>
  <c r="N582" i="8"/>
  <c r="N581" i="8"/>
  <c r="N580" i="8"/>
  <c r="N579" i="8"/>
  <c r="N578" i="8"/>
  <c r="N577" i="8"/>
  <c r="N576" i="8"/>
  <c r="N575" i="8"/>
  <c r="N574" i="8"/>
  <c r="N573" i="8"/>
  <c r="N572" i="8"/>
  <c r="N571" i="8"/>
  <c r="N570" i="8"/>
  <c r="N569" i="8"/>
  <c r="N568" i="8"/>
  <c r="N567" i="8"/>
  <c r="N566" i="8"/>
  <c r="N565" i="8"/>
  <c r="N564" i="8"/>
  <c r="N563" i="8"/>
  <c r="N562" i="8"/>
  <c r="N561" i="8"/>
  <c r="N560" i="8"/>
  <c r="N559" i="8"/>
  <c r="N558" i="8"/>
  <c r="N557" i="8"/>
  <c r="N556" i="8"/>
  <c r="N555" i="8"/>
  <c r="N554" i="8"/>
  <c r="N553" i="8"/>
  <c r="N552" i="8"/>
  <c r="N551" i="8"/>
  <c r="N550" i="8"/>
  <c r="N549" i="8"/>
  <c r="N548" i="8"/>
  <c r="N547" i="8"/>
  <c r="N546" i="8"/>
  <c r="N545" i="8"/>
  <c r="N544" i="8"/>
  <c r="N543" i="8"/>
  <c r="N542" i="8"/>
  <c r="N541" i="8"/>
  <c r="N540" i="8"/>
  <c r="N539" i="8"/>
  <c r="N538" i="8"/>
  <c r="N537" i="8"/>
  <c r="N536" i="8"/>
  <c r="N535" i="8"/>
  <c r="N534" i="8"/>
  <c r="N533" i="8"/>
  <c r="N532" i="8"/>
  <c r="N531" i="8"/>
  <c r="N530" i="8"/>
  <c r="N529" i="8"/>
  <c r="N528" i="8"/>
  <c r="N527" i="8"/>
  <c r="N526" i="8"/>
  <c r="N525" i="8"/>
  <c r="N524" i="8"/>
  <c r="N523" i="8"/>
  <c r="N522" i="8"/>
  <c r="N521" i="8"/>
  <c r="N520" i="8"/>
  <c r="N519" i="8"/>
  <c r="N518" i="8"/>
  <c r="N517" i="8"/>
  <c r="N516" i="8"/>
  <c r="N515" i="8"/>
  <c r="N514" i="8"/>
  <c r="N513" i="8"/>
  <c r="N512" i="8"/>
  <c r="N511" i="8"/>
  <c r="N510" i="8"/>
  <c r="N509" i="8"/>
  <c r="N508" i="8"/>
  <c r="N507" i="8"/>
  <c r="N506" i="8"/>
  <c r="N505" i="8"/>
  <c r="N504" i="8"/>
  <c r="N503" i="8"/>
  <c r="N502" i="8"/>
  <c r="N501" i="8"/>
  <c r="N500" i="8"/>
  <c r="N499" i="8"/>
  <c r="N498" i="8"/>
  <c r="N479" i="8"/>
  <c r="N478" i="8"/>
  <c r="N477" i="8"/>
  <c r="N476" i="8"/>
  <c r="N475" i="8"/>
  <c r="N474" i="8"/>
  <c r="N473" i="8"/>
  <c r="N472" i="8"/>
  <c r="N471" i="8"/>
  <c r="N470" i="8"/>
  <c r="N469" i="8"/>
  <c r="N468" i="8"/>
  <c r="N467" i="8"/>
  <c r="N466" i="8"/>
  <c r="N465" i="8"/>
  <c r="N464" i="8"/>
  <c r="N463" i="8"/>
  <c r="N462" i="8"/>
  <c r="N443" i="8"/>
  <c r="D641" i="8"/>
  <c r="D637" i="8"/>
  <c r="D633" i="8"/>
  <c r="D629" i="8"/>
  <c r="D625" i="8"/>
  <c r="D621" i="8"/>
  <c r="D617" i="8"/>
  <c r="D613" i="8"/>
  <c r="D609" i="8"/>
  <c r="D605" i="8"/>
  <c r="D601" i="8"/>
  <c r="D597" i="8"/>
  <c r="D593" i="8"/>
  <c r="D589" i="8"/>
  <c r="D585" i="8"/>
  <c r="D581" i="8"/>
  <c r="D577" i="8"/>
  <c r="D573" i="8"/>
  <c r="D569" i="8"/>
  <c r="D565" i="8"/>
  <c r="D561" i="8"/>
  <c r="D557" i="8"/>
  <c r="D553" i="8"/>
  <c r="D549" i="8"/>
  <c r="D545" i="8"/>
  <c r="D541" i="8"/>
  <c r="D537" i="8"/>
  <c r="D533" i="8"/>
  <c r="D529" i="8"/>
  <c r="D525" i="8"/>
  <c r="D521" i="8"/>
  <c r="D517" i="8"/>
  <c r="D513" i="8"/>
  <c r="D509" i="8"/>
  <c r="D505" i="8"/>
  <c r="D501" i="8"/>
  <c r="D479" i="8"/>
  <c r="D475" i="8"/>
  <c r="D471" i="8"/>
  <c r="D467" i="8"/>
  <c r="D463" i="8"/>
  <c r="D441" i="8"/>
  <c r="D437" i="8"/>
  <c r="D433" i="8"/>
  <c r="D429" i="8"/>
  <c r="D425" i="8"/>
  <c r="D421" i="8"/>
  <c r="D417" i="8"/>
  <c r="D413" i="8"/>
  <c r="D409" i="8"/>
  <c r="D405" i="8"/>
  <c r="D401" i="8"/>
  <c r="D397" i="8"/>
  <c r="D393" i="8"/>
  <c r="D389" i="8"/>
  <c r="D385" i="8"/>
  <c r="D381" i="8"/>
  <c r="D377" i="8"/>
  <c r="D373" i="8"/>
  <c r="D369" i="8"/>
  <c r="D365" i="8"/>
  <c r="D361" i="8"/>
  <c r="D357" i="8"/>
  <c r="D353" i="8"/>
  <c r="D349" i="8"/>
  <c r="D345" i="8"/>
  <c r="D341" i="8"/>
  <c r="D337" i="8"/>
  <c r="D333" i="8"/>
  <c r="D329" i="8"/>
  <c r="D325" i="8"/>
  <c r="D321" i="8"/>
  <c r="D317" i="8"/>
  <c r="D313" i="8"/>
  <c r="D309" i="8"/>
  <c r="D305" i="8"/>
  <c r="D301" i="8"/>
  <c r="K641" i="8"/>
  <c r="K640" i="8"/>
  <c r="K639" i="8"/>
  <c r="K638" i="8"/>
  <c r="K637" i="8"/>
  <c r="K636" i="8"/>
  <c r="K635" i="8"/>
  <c r="K634" i="8"/>
  <c r="K633" i="8"/>
  <c r="K632" i="8"/>
  <c r="K631" i="8"/>
  <c r="K630" i="8"/>
  <c r="K629" i="8"/>
  <c r="K628" i="8"/>
  <c r="K627" i="8"/>
  <c r="K626" i="8"/>
  <c r="K625" i="8"/>
  <c r="K624" i="8"/>
  <c r="K623" i="8"/>
  <c r="K622" i="8"/>
  <c r="K621" i="8"/>
  <c r="K620" i="8"/>
  <c r="K619" i="8"/>
  <c r="K618" i="8"/>
  <c r="K617" i="8"/>
  <c r="K616" i="8"/>
  <c r="K615" i="8"/>
  <c r="K614" i="8"/>
  <c r="K613" i="8"/>
  <c r="K612" i="8"/>
  <c r="K611" i="8"/>
  <c r="K610" i="8"/>
  <c r="K609" i="8"/>
  <c r="K608" i="8"/>
  <c r="K607" i="8"/>
  <c r="K606" i="8"/>
  <c r="K605" i="8"/>
  <c r="K604" i="8"/>
  <c r="K603" i="8"/>
  <c r="K602" i="8"/>
  <c r="K601" i="8"/>
  <c r="K600" i="8"/>
  <c r="K599" i="8"/>
  <c r="K598" i="8"/>
  <c r="K597" i="8"/>
  <c r="K596" i="8"/>
  <c r="K595" i="8"/>
  <c r="K594" i="8"/>
  <c r="K593" i="8"/>
  <c r="K592" i="8"/>
  <c r="K591" i="8"/>
  <c r="K590" i="8"/>
  <c r="K589" i="8"/>
  <c r="K588" i="8"/>
  <c r="K587" i="8"/>
  <c r="K586" i="8"/>
  <c r="K585" i="8"/>
  <c r="K584" i="8"/>
  <c r="K583" i="8"/>
  <c r="K582" i="8"/>
  <c r="K581" i="8"/>
  <c r="K580" i="8"/>
  <c r="K579" i="8"/>
  <c r="K578" i="8"/>
  <c r="K577" i="8"/>
  <c r="K576" i="8"/>
  <c r="K575" i="8"/>
  <c r="K574" i="8"/>
  <c r="K573" i="8"/>
  <c r="K572" i="8"/>
  <c r="K571" i="8"/>
  <c r="K570" i="8"/>
  <c r="K569" i="8"/>
  <c r="K568" i="8"/>
  <c r="K567" i="8"/>
  <c r="K566" i="8"/>
  <c r="K565" i="8"/>
  <c r="K564" i="8"/>
  <c r="K563" i="8"/>
  <c r="K562" i="8"/>
  <c r="K561" i="8"/>
  <c r="K560" i="8"/>
  <c r="K559" i="8"/>
  <c r="K558" i="8"/>
  <c r="K557" i="8"/>
  <c r="K556" i="8"/>
  <c r="K555" i="8"/>
  <c r="K554" i="8"/>
  <c r="K553" i="8"/>
  <c r="K552" i="8"/>
  <c r="K551" i="8"/>
  <c r="K550" i="8"/>
  <c r="K549" i="8"/>
  <c r="K548" i="8"/>
  <c r="K547" i="8"/>
  <c r="K546" i="8"/>
  <c r="K545" i="8"/>
  <c r="K544" i="8"/>
  <c r="K543" i="8"/>
  <c r="K542" i="8"/>
  <c r="K541" i="8"/>
  <c r="K540" i="8"/>
  <c r="K539" i="8"/>
  <c r="K538" i="8"/>
  <c r="K537" i="8"/>
  <c r="K536" i="8"/>
  <c r="K535" i="8"/>
  <c r="K534" i="8"/>
  <c r="K533" i="8"/>
  <c r="K532" i="8"/>
  <c r="K531" i="8"/>
  <c r="K530" i="8"/>
  <c r="K529" i="8"/>
  <c r="K528" i="8"/>
  <c r="K527" i="8"/>
  <c r="K526" i="8"/>
  <c r="K525" i="8"/>
  <c r="K524" i="8"/>
  <c r="K523" i="8"/>
  <c r="K522" i="8"/>
  <c r="K521" i="8"/>
  <c r="K520" i="8"/>
  <c r="K519" i="8"/>
  <c r="K518" i="8"/>
  <c r="K517" i="8"/>
  <c r="K516" i="8"/>
  <c r="K515" i="8"/>
  <c r="K514" i="8"/>
  <c r="K513" i="8"/>
  <c r="K512" i="8"/>
  <c r="K511" i="8"/>
  <c r="K510" i="8"/>
  <c r="K509" i="8"/>
  <c r="K508" i="8"/>
  <c r="K507" i="8"/>
  <c r="K506" i="8"/>
  <c r="K505" i="8"/>
  <c r="K504" i="8"/>
  <c r="K503" i="8"/>
  <c r="K502" i="8"/>
  <c r="K501" i="8"/>
  <c r="K500" i="8"/>
  <c r="K499" i="8"/>
  <c r="K498" i="8"/>
  <c r="K479" i="8"/>
  <c r="K478" i="8"/>
  <c r="K477" i="8"/>
  <c r="K476" i="8"/>
  <c r="K475" i="8"/>
  <c r="K474" i="8"/>
  <c r="K473" i="8"/>
  <c r="K472" i="8"/>
  <c r="K471" i="8"/>
  <c r="K470" i="8"/>
  <c r="K469" i="8"/>
  <c r="K468" i="8"/>
  <c r="K467" i="8"/>
  <c r="K466" i="8"/>
  <c r="K465" i="8"/>
  <c r="K464" i="8"/>
  <c r="K463" i="8"/>
  <c r="K462" i="8"/>
  <c r="K443" i="8"/>
  <c r="K442" i="8"/>
  <c r="K441" i="8"/>
  <c r="K440" i="8"/>
  <c r="K439" i="8"/>
  <c r="K438" i="8"/>
  <c r="D635" i="8"/>
  <c r="D627" i="8"/>
  <c r="D619" i="8"/>
  <c r="D611" i="8"/>
  <c r="D603" i="8"/>
  <c r="D595" i="8"/>
  <c r="D587" i="8"/>
  <c r="D579" i="8"/>
  <c r="D571" i="8"/>
  <c r="D563" i="8"/>
  <c r="D555" i="8"/>
  <c r="D547" i="8"/>
  <c r="D539" i="8"/>
  <c r="D531" i="8"/>
  <c r="D523" i="8"/>
  <c r="D515" i="8"/>
  <c r="D507" i="8"/>
  <c r="D499" i="8"/>
  <c r="D473" i="8"/>
  <c r="D465" i="8"/>
  <c r="D439" i="8"/>
  <c r="D431" i="8"/>
  <c r="D423" i="8"/>
  <c r="D415" i="8"/>
  <c r="D407" i="8"/>
  <c r="D399" i="8"/>
  <c r="D391" i="8"/>
  <c r="D383" i="8"/>
  <c r="D375" i="8"/>
  <c r="D367" i="8"/>
  <c r="D359" i="8"/>
  <c r="D351" i="8"/>
  <c r="D343" i="8"/>
  <c r="D335" i="8"/>
  <c r="D327" i="8"/>
  <c r="D319" i="8"/>
  <c r="D311" i="8"/>
  <c r="D303" i="8"/>
  <c r="L641" i="8"/>
  <c r="L639" i="8"/>
  <c r="L637" i="8"/>
  <c r="L635" i="8"/>
  <c r="L633" i="8"/>
  <c r="L631" i="8"/>
  <c r="L629" i="8"/>
  <c r="L627" i="8"/>
  <c r="L625" i="8"/>
  <c r="L623" i="8"/>
  <c r="L621" i="8"/>
  <c r="L619" i="8"/>
  <c r="L617" i="8"/>
  <c r="L615" i="8"/>
  <c r="L613" i="8"/>
  <c r="L611" i="8"/>
  <c r="L609" i="8"/>
  <c r="L607" i="8"/>
  <c r="L605" i="8"/>
  <c r="L603" i="8"/>
  <c r="L601" i="8"/>
  <c r="L599" i="8"/>
  <c r="L597" i="8"/>
  <c r="L595" i="8"/>
  <c r="L593" i="8"/>
  <c r="L591" i="8"/>
  <c r="L589" i="8"/>
  <c r="L587" i="8"/>
  <c r="L585" i="8"/>
  <c r="L583" i="8"/>
  <c r="L581" i="8"/>
  <c r="L579" i="8"/>
  <c r="L577" i="8"/>
  <c r="L575" i="8"/>
  <c r="L573" i="8"/>
  <c r="L571" i="8"/>
  <c r="L569" i="8"/>
  <c r="L567" i="8"/>
  <c r="L565" i="8"/>
  <c r="L563" i="8"/>
  <c r="L561" i="8"/>
  <c r="L559" i="8"/>
  <c r="L557" i="8"/>
  <c r="L555" i="8"/>
  <c r="L553" i="8"/>
  <c r="L551" i="8"/>
  <c r="L549" i="8"/>
  <c r="L547" i="8"/>
  <c r="L545" i="8"/>
  <c r="L543" i="8"/>
  <c r="L541" i="8"/>
  <c r="L539" i="8"/>
  <c r="L537" i="8"/>
  <c r="L535" i="8"/>
  <c r="L533" i="8"/>
  <c r="L531" i="8"/>
  <c r="L529" i="8"/>
  <c r="L527" i="8"/>
  <c r="L525" i="8"/>
  <c r="L523" i="8"/>
  <c r="L521" i="8"/>
  <c r="L519" i="8"/>
  <c r="L517" i="8"/>
  <c r="L515" i="8"/>
  <c r="L513" i="8"/>
  <c r="L511" i="8"/>
  <c r="L509" i="8"/>
  <c r="L507" i="8"/>
  <c r="L505" i="8"/>
  <c r="L503" i="8"/>
  <c r="L501" i="8"/>
  <c r="L499" i="8"/>
  <c r="L479" i="8"/>
  <c r="L477" i="8"/>
  <c r="L475" i="8"/>
  <c r="L473" i="8"/>
  <c r="L471" i="8"/>
  <c r="L469" i="8"/>
  <c r="L467" i="8"/>
  <c r="L465" i="8"/>
  <c r="L463" i="8"/>
  <c r="L443" i="8"/>
  <c r="N441" i="8"/>
  <c r="M440" i="8"/>
  <c r="L439" i="8"/>
  <c r="N437" i="8"/>
  <c r="N436" i="8"/>
  <c r="N435" i="8"/>
  <c r="N434" i="8"/>
  <c r="N433" i="8"/>
  <c r="N432" i="8"/>
  <c r="N431" i="8"/>
  <c r="N430" i="8"/>
  <c r="N429" i="8"/>
  <c r="N428" i="8"/>
  <c r="N427" i="8"/>
  <c r="N426" i="8"/>
  <c r="N425" i="8"/>
  <c r="N424" i="8"/>
  <c r="N423" i="8"/>
  <c r="N422" i="8"/>
  <c r="N421" i="8"/>
  <c r="N420" i="8"/>
  <c r="N419" i="8"/>
  <c r="N418" i="8"/>
  <c r="N417" i="8"/>
  <c r="N416" i="8"/>
  <c r="N415" i="8"/>
  <c r="N414" i="8"/>
  <c r="N413" i="8"/>
  <c r="N412" i="8"/>
  <c r="N411" i="8"/>
  <c r="N410" i="8"/>
  <c r="N409" i="8"/>
  <c r="N408" i="8"/>
  <c r="N407" i="8"/>
  <c r="N406" i="8"/>
  <c r="N405" i="8"/>
  <c r="N404" i="8"/>
  <c r="N403" i="8"/>
  <c r="N402" i="8"/>
  <c r="N401" i="8"/>
  <c r="N400" i="8"/>
  <c r="N399" i="8"/>
  <c r="N398" i="8"/>
  <c r="N397" i="8"/>
  <c r="N396" i="8"/>
  <c r="N395" i="8"/>
  <c r="N394" i="8"/>
  <c r="N393" i="8"/>
  <c r="N392" i="8"/>
  <c r="N391" i="8"/>
  <c r="N390" i="8"/>
  <c r="N389" i="8"/>
  <c r="N388" i="8"/>
  <c r="N387" i="8"/>
  <c r="N386" i="8"/>
  <c r="N385" i="8"/>
  <c r="N384" i="8"/>
  <c r="N383" i="8"/>
  <c r="N382" i="8"/>
  <c r="N381" i="8"/>
  <c r="N380" i="8"/>
  <c r="N379" i="8"/>
  <c r="N378" i="8"/>
  <c r="N377" i="8"/>
  <c r="N376" i="8"/>
  <c r="N375" i="8"/>
  <c r="N374" i="8"/>
  <c r="N373" i="8"/>
  <c r="N372" i="8"/>
  <c r="N371" i="8"/>
  <c r="N370" i="8"/>
  <c r="N369" i="8"/>
  <c r="N368" i="8"/>
  <c r="N367" i="8"/>
  <c r="N366" i="8"/>
  <c r="N365" i="8"/>
  <c r="D638" i="8"/>
  <c r="D630" i="8"/>
  <c r="D622" i="8"/>
  <c r="D614" i="8"/>
  <c r="D606" i="8"/>
  <c r="D598" i="8"/>
  <c r="D590" i="8"/>
  <c r="D582" i="8"/>
  <c r="D574" i="8"/>
  <c r="D566" i="8"/>
  <c r="D558" i="8"/>
  <c r="D550" i="8"/>
  <c r="D542" i="8"/>
  <c r="D534" i="8"/>
  <c r="D526" i="8"/>
  <c r="D518" i="8"/>
  <c r="D510" i="8"/>
  <c r="D502" i="8"/>
  <c r="D476" i="8"/>
  <c r="D468" i="8"/>
  <c r="D442" i="8"/>
  <c r="D434" i="8"/>
  <c r="D426" i="8"/>
  <c r="D418" i="8"/>
  <c r="D410" i="8"/>
  <c r="D402" i="8"/>
  <c r="D394" i="8"/>
  <c r="D386" i="8"/>
  <c r="D378" i="8"/>
  <c r="D370" i="8"/>
  <c r="D362" i="8"/>
  <c r="D354" i="8"/>
  <c r="D346" i="8"/>
  <c r="D338" i="8"/>
  <c r="D330" i="8"/>
  <c r="D322" i="8"/>
  <c r="D314" i="8"/>
  <c r="D306" i="8"/>
  <c r="M641" i="8"/>
  <c r="M639" i="8"/>
  <c r="M637" i="8"/>
  <c r="M635" i="8"/>
  <c r="M633" i="8"/>
  <c r="M631" i="8"/>
  <c r="M629" i="8"/>
  <c r="M627" i="8"/>
  <c r="M625" i="8"/>
  <c r="M623" i="8"/>
  <c r="M621" i="8"/>
  <c r="M619" i="8"/>
  <c r="M617" i="8"/>
  <c r="M615" i="8"/>
  <c r="M613" i="8"/>
  <c r="M611" i="8"/>
  <c r="M609" i="8"/>
  <c r="M607" i="8"/>
  <c r="M605" i="8"/>
  <c r="M603" i="8"/>
  <c r="M601" i="8"/>
  <c r="M599" i="8"/>
  <c r="M597" i="8"/>
  <c r="M595" i="8"/>
  <c r="M593" i="8"/>
  <c r="M591" i="8"/>
  <c r="M589" i="8"/>
  <c r="M587" i="8"/>
  <c r="M585" i="8"/>
  <c r="M583" i="8"/>
  <c r="M581" i="8"/>
  <c r="M579" i="8"/>
  <c r="M577" i="8"/>
  <c r="M575" i="8"/>
  <c r="M573" i="8"/>
  <c r="M571" i="8"/>
  <c r="M569" i="8"/>
  <c r="M567" i="8"/>
  <c r="M565" i="8"/>
  <c r="M563" i="8"/>
  <c r="M561" i="8"/>
  <c r="M559" i="8"/>
  <c r="M557" i="8"/>
  <c r="M555" i="8"/>
  <c r="M553" i="8"/>
  <c r="M551" i="8"/>
  <c r="M549" i="8"/>
  <c r="M547" i="8"/>
  <c r="M545" i="8"/>
  <c r="M543" i="8"/>
  <c r="M541" i="8"/>
  <c r="M539" i="8"/>
  <c r="M537" i="8"/>
  <c r="M535" i="8"/>
  <c r="M533" i="8"/>
  <c r="M531" i="8"/>
  <c r="M529" i="8"/>
  <c r="M527" i="8"/>
  <c r="M525" i="8"/>
  <c r="M523" i="8"/>
  <c r="M521" i="8"/>
  <c r="M519" i="8"/>
  <c r="M517" i="8"/>
  <c r="M515" i="8"/>
  <c r="M513" i="8"/>
  <c r="M511" i="8"/>
  <c r="M509" i="8"/>
  <c r="M507" i="8"/>
  <c r="M505" i="8"/>
  <c r="M503" i="8"/>
  <c r="M501" i="8"/>
  <c r="M499" i="8"/>
  <c r="M479" i="8"/>
  <c r="M477" i="8"/>
  <c r="M475" i="8"/>
  <c r="M473" i="8"/>
  <c r="M471" i="8"/>
  <c r="M469" i="8"/>
  <c r="M467" i="8"/>
  <c r="M465" i="8"/>
  <c r="M463" i="8"/>
  <c r="M443" i="8"/>
  <c r="L442" i="8"/>
  <c r="N440" i="8"/>
  <c r="M439" i="8"/>
  <c r="L438" i="8"/>
  <c r="K437" i="8"/>
  <c r="K436" i="8"/>
  <c r="K435" i="8"/>
  <c r="K434" i="8"/>
  <c r="K433" i="8"/>
  <c r="K432" i="8"/>
  <c r="K431" i="8"/>
  <c r="K430" i="8"/>
  <c r="K429" i="8"/>
  <c r="K428" i="8"/>
  <c r="K427" i="8"/>
  <c r="K426" i="8"/>
  <c r="K425" i="8"/>
  <c r="K424" i="8"/>
  <c r="K423" i="8"/>
  <c r="K422" i="8"/>
  <c r="K421" i="8"/>
  <c r="K420" i="8"/>
  <c r="K419" i="8"/>
  <c r="K418" i="8"/>
  <c r="K417" i="8"/>
  <c r="K416" i="8"/>
  <c r="K415" i="8"/>
  <c r="K414" i="8"/>
  <c r="K413" i="8"/>
  <c r="K412" i="8"/>
  <c r="K411" i="8"/>
  <c r="K410" i="8"/>
  <c r="K409" i="8"/>
  <c r="K408" i="8"/>
  <c r="K407" i="8"/>
  <c r="K406" i="8"/>
  <c r="K405" i="8"/>
  <c r="K404" i="8"/>
  <c r="K403" i="8"/>
  <c r="K402" i="8"/>
  <c r="K401" i="8"/>
  <c r="K400" i="8"/>
  <c r="K399" i="8"/>
  <c r="K398" i="8"/>
  <c r="K397" i="8"/>
  <c r="K396" i="8"/>
  <c r="K395" i="8"/>
  <c r="K394" i="8"/>
  <c r="K393" i="8"/>
  <c r="K392" i="8"/>
  <c r="K391" i="8"/>
  <c r="K390" i="8"/>
  <c r="K389" i="8"/>
  <c r="K388" i="8"/>
  <c r="K387" i="8"/>
  <c r="K386" i="8"/>
  <c r="K385" i="8"/>
  <c r="K384" i="8"/>
  <c r="K383" i="8"/>
  <c r="K382" i="8"/>
  <c r="K381" i="8"/>
  <c r="K380" i="8"/>
  <c r="K379" i="8"/>
  <c r="K378" i="8"/>
  <c r="K377" i="8"/>
  <c r="K376" i="8"/>
  <c r="K375" i="8"/>
  <c r="K374" i="8"/>
  <c r="K373" i="8"/>
  <c r="K372" i="8"/>
  <c r="K371" i="8"/>
  <c r="K370" i="8"/>
  <c r="K369" i="8"/>
  <c r="K368" i="8"/>
  <c r="K367" i="8"/>
  <c r="K366" i="8"/>
  <c r="K365" i="8"/>
  <c r="K364" i="8"/>
  <c r="K363" i="8"/>
  <c r="K362" i="8"/>
  <c r="K361" i="8"/>
  <c r="K360" i="8"/>
  <c r="K359" i="8"/>
  <c r="K358" i="8"/>
  <c r="K357" i="8"/>
  <c r="K356" i="8"/>
  <c r="K355" i="8"/>
  <c r="K354" i="8"/>
  <c r="K353" i="8"/>
  <c r="K352" i="8"/>
  <c r="K351" i="8"/>
  <c r="K350" i="8"/>
  <c r="K349" i="8"/>
  <c r="K348" i="8"/>
  <c r="K347" i="8"/>
  <c r="K346" i="8"/>
  <c r="K345" i="8"/>
  <c r="K344" i="8"/>
  <c r="K343" i="8"/>
  <c r="K342" i="8"/>
  <c r="K341" i="8"/>
  <c r="K340" i="8"/>
  <c r="K339" i="8"/>
  <c r="K338" i="8"/>
  <c r="K337" i="8"/>
  <c r="K336" i="8"/>
  <c r="K335" i="8"/>
  <c r="K334" i="8"/>
  <c r="K333" i="8"/>
  <c r="K332" i="8"/>
  <c r="K331" i="8"/>
  <c r="K330" i="8"/>
  <c r="K329" i="8"/>
  <c r="K328" i="8"/>
  <c r="K327" i="8"/>
  <c r="K326" i="8"/>
  <c r="K325" i="8"/>
  <c r="K324" i="8"/>
  <c r="K323" i="8"/>
  <c r="K322" i="8"/>
  <c r="K321" i="8"/>
  <c r="K320" i="8"/>
  <c r="K319" i="8"/>
  <c r="K318" i="8"/>
  <c r="K317" i="8"/>
  <c r="K316" i="8"/>
  <c r="K315" i="8"/>
  <c r="K314" i="8"/>
  <c r="K313" i="8"/>
  <c r="K312" i="8"/>
  <c r="D631" i="8"/>
  <c r="D615" i="8"/>
  <c r="D599" i="8"/>
  <c r="D583" i="8"/>
  <c r="D567" i="8"/>
  <c r="D551" i="8"/>
  <c r="D535" i="8"/>
  <c r="D519" i="8"/>
  <c r="D503" i="8"/>
  <c r="D469" i="8"/>
  <c r="D435" i="8"/>
  <c r="D419" i="8"/>
  <c r="D403" i="8"/>
  <c r="D387" i="8"/>
  <c r="D371" i="8"/>
  <c r="D355" i="8"/>
  <c r="D339" i="8"/>
  <c r="D323" i="8"/>
  <c r="D307" i="8"/>
  <c r="L640" i="8"/>
  <c r="L636" i="8"/>
  <c r="L632" i="8"/>
  <c r="L628" i="8"/>
  <c r="L624" i="8"/>
  <c r="L620" i="8"/>
  <c r="L616" i="8"/>
  <c r="L612" i="8"/>
  <c r="L608" i="8"/>
  <c r="L604" i="8"/>
  <c r="L600" i="8"/>
  <c r="L596" i="8"/>
  <c r="L592" i="8"/>
  <c r="L588" i="8"/>
  <c r="L584" i="8"/>
  <c r="L580" i="8"/>
  <c r="L576" i="8"/>
  <c r="L572" i="8"/>
  <c r="L568" i="8"/>
  <c r="L564" i="8"/>
  <c r="L560" i="8"/>
  <c r="L556" i="8"/>
  <c r="L552" i="8"/>
  <c r="L548" i="8"/>
  <c r="L544" i="8"/>
  <c r="L540" i="8"/>
  <c r="L536" i="8"/>
  <c r="L532" i="8"/>
  <c r="L528" i="8"/>
  <c r="L524" i="8"/>
  <c r="L520" i="8"/>
  <c r="L516" i="8"/>
  <c r="L512" i="8"/>
  <c r="L508" i="8"/>
  <c r="L504" i="8"/>
  <c r="L500" i="8"/>
  <c r="L478" i="8"/>
  <c r="L474" i="8"/>
  <c r="L470" i="8"/>
  <c r="L466" i="8"/>
  <c r="L462" i="8"/>
  <c r="L441" i="8"/>
  <c r="M438" i="8"/>
  <c r="L436" i="8"/>
  <c r="L434" i="8"/>
  <c r="L432" i="8"/>
  <c r="L430" i="8"/>
  <c r="L428" i="8"/>
  <c r="L426" i="8"/>
  <c r="L424" i="8"/>
  <c r="L422" i="8"/>
  <c r="L420" i="8"/>
  <c r="L418" i="8"/>
  <c r="L416" i="8"/>
  <c r="L414" i="8"/>
  <c r="L412" i="8"/>
  <c r="L410" i="8"/>
  <c r="L408" i="8"/>
  <c r="L406" i="8"/>
  <c r="L404" i="8"/>
  <c r="L402" i="8"/>
  <c r="L400" i="8"/>
  <c r="L398" i="8"/>
  <c r="L396" i="8"/>
  <c r="L394" i="8"/>
  <c r="L392" i="8"/>
  <c r="L390" i="8"/>
  <c r="L388" i="8"/>
  <c r="L386" i="8"/>
  <c r="L384" i="8"/>
  <c r="L382" i="8"/>
  <c r="L380" i="8"/>
  <c r="L378" i="8"/>
  <c r="L376" i="8"/>
  <c r="L374" i="8"/>
  <c r="L372" i="8"/>
  <c r="L370" i="8"/>
  <c r="L368" i="8"/>
  <c r="L366" i="8"/>
  <c r="M364" i="8"/>
  <c r="L363" i="8"/>
  <c r="N361" i="8"/>
  <c r="M360" i="8"/>
  <c r="L359" i="8"/>
  <c r="N357" i="8"/>
  <c r="M356" i="8"/>
  <c r="L355" i="8"/>
  <c r="N353" i="8"/>
  <c r="M352" i="8"/>
  <c r="L351" i="8"/>
  <c r="N349" i="8"/>
  <c r="M348" i="8"/>
  <c r="L347" i="8"/>
  <c r="N345" i="8"/>
  <c r="M344" i="8"/>
  <c r="L343" i="8"/>
  <c r="N341" i="8"/>
  <c r="M340" i="8"/>
  <c r="L339" i="8"/>
  <c r="N337" i="8"/>
  <c r="M336" i="8"/>
  <c r="L335" i="8"/>
  <c r="N333" i="8"/>
  <c r="M332" i="8"/>
  <c r="L331" i="8"/>
  <c r="N329" i="8"/>
  <c r="M328" i="8"/>
  <c r="L327" i="8"/>
  <c r="N325" i="8"/>
  <c r="M324" i="8"/>
  <c r="L323" i="8"/>
  <c r="N321" i="8"/>
  <c r="M320" i="8"/>
  <c r="L319" i="8"/>
  <c r="N317" i="8"/>
  <c r="M316" i="8"/>
  <c r="L315" i="8"/>
  <c r="N313" i="8"/>
  <c r="M312" i="8"/>
  <c r="L311" i="8"/>
  <c r="L310" i="8"/>
  <c r="L309" i="8"/>
  <c r="L308" i="8"/>
  <c r="L307" i="8"/>
  <c r="L306" i="8"/>
  <c r="L305" i="8"/>
  <c r="L304" i="8"/>
  <c r="L303" i="8"/>
  <c r="L302" i="8"/>
  <c r="L301" i="8"/>
  <c r="L300" i="8"/>
  <c r="D639" i="8"/>
  <c r="D623" i="8"/>
  <c r="D607" i="8"/>
  <c r="D591" i="8"/>
  <c r="D575" i="8"/>
  <c r="D559" i="8"/>
  <c r="D543" i="8"/>
  <c r="D527" i="8"/>
  <c r="D511" i="8"/>
  <c r="D477" i="8"/>
  <c r="D443" i="8"/>
  <c r="D427" i="8"/>
  <c r="D411" i="8"/>
  <c r="D395" i="8"/>
  <c r="D379" i="8"/>
  <c r="D363" i="8"/>
  <c r="D347" i="8"/>
  <c r="D331" i="8"/>
  <c r="D315" i="8"/>
  <c r="L638" i="8"/>
  <c r="L634" i="8"/>
  <c r="L630" i="8"/>
  <c r="L626" i="8"/>
  <c r="L622" i="8"/>
  <c r="L618" i="8"/>
  <c r="L614" i="8"/>
  <c r="L610" i="8"/>
  <c r="L606" i="8"/>
  <c r="L602" i="8"/>
  <c r="L598" i="8"/>
  <c r="L594" i="8"/>
  <c r="L590" i="8"/>
  <c r="L586" i="8"/>
  <c r="L582" i="8"/>
  <c r="L578" i="8"/>
  <c r="L574" i="8"/>
  <c r="L570" i="8"/>
  <c r="L566" i="8"/>
  <c r="L562" i="8"/>
  <c r="L558" i="8"/>
  <c r="L554" i="8"/>
  <c r="L550" i="8"/>
  <c r="L546" i="8"/>
  <c r="L542" i="8"/>
  <c r="L538" i="8"/>
  <c r="L534" i="8"/>
  <c r="L530" i="8"/>
  <c r="L526" i="8"/>
  <c r="L522" i="8"/>
  <c r="L518" i="8"/>
  <c r="L514" i="8"/>
  <c r="L510" i="8"/>
  <c r="L506" i="8"/>
  <c r="L502" i="8"/>
  <c r="L498" i="8"/>
  <c r="L476" i="8"/>
  <c r="L472" i="8"/>
  <c r="L468" i="8"/>
  <c r="L464" i="8"/>
  <c r="M442" i="8"/>
  <c r="N439" i="8"/>
  <c r="L437" i="8"/>
  <c r="L435" i="8"/>
  <c r="L433" i="8"/>
  <c r="L431" i="8"/>
  <c r="L429" i="8"/>
  <c r="L427" i="8"/>
  <c r="L425" i="8"/>
  <c r="L423" i="8"/>
  <c r="L421" i="8"/>
  <c r="L419" i="8"/>
  <c r="L417" i="8"/>
  <c r="L415" i="8"/>
  <c r="L413" i="8"/>
  <c r="L411" i="8"/>
  <c r="L409" i="8"/>
  <c r="L407" i="8"/>
  <c r="L405" i="8"/>
  <c r="L403" i="8"/>
  <c r="L401" i="8"/>
  <c r="L399" i="8"/>
  <c r="L397" i="8"/>
  <c r="L395" i="8"/>
  <c r="L393" i="8"/>
  <c r="L391" i="8"/>
  <c r="L389" i="8"/>
  <c r="L387" i="8"/>
  <c r="L385" i="8"/>
  <c r="L383" i="8"/>
  <c r="L381" i="8"/>
  <c r="L379" i="8"/>
  <c r="L377" i="8"/>
  <c r="L375" i="8"/>
  <c r="L373" i="8"/>
  <c r="L371" i="8"/>
  <c r="L369" i="8"/>
  <c r="L367" i="8"/>
  <c r="L365" i="8"/>
  <c r="N363" i="8"/>
  <c r="M362" i="8"/>
  <c r="L361" i="8"/>
  <c r="N359" i="8"/>
  <c r="M358" i="8"/>
  <c r="L357" i="8"/>
  <c r="N355" i="8"/>
  <c r="M354" i="8"/>
  <c r="L353" i="8"/>
  <c r="N351" i="8"/>
  <c r="M350" i="8"/>
  <c r="L349" i="8"/>
  <c r="N347" i="8"/>
  <c r="M346" i="8"/>
  <c r="L345" i="8"/>
  <c r="N343" i="8"/>
  <c r="M342" i="8"/>
  <c r="L341" i="8"/>
  <c r="N339" i="8"/>
  <c r="M338" i="8"/>
  <c r="L337" i="8"/>
  <c r="N335" i="8"/>
  <c r="M334" i="8"/>
  <c r="L333" i="8"/>
  <c r="N331" i="8"/>
  <c r="M330" i="8"/>
  <c r="L329" i="8"/>
  <c r="N327" i="8"/>
  <c r="M326" i="8"/>
  <c r="L325" i="8"/>
  <c r="N323" i="8"/>
  <c r="M322" i="8"/>
  <c r="L321" i="8"/>
  <c r="N319" i="8"/>
  <c r="M318" i="8"/>
  <c r="L317" i="8"/>
  <c r="N315" i="8"/>
  <c r="M314" i="8"/>
  <c r="L313" i="8"/>
  <c r="N311" i="8"/>
  <c r="N310" i="8"/>
  <c r="N309" i="8"/>
  <c r="N308" i="8"/>
  <c r="N307" i="8"/>
  <c r="N306" i="8"/>
  <c r="N305" i="8"/>
  <c r="N304" i="8"/>
  <c r="N303" i="8"/>
  <c r="N302" i="8"/>
  <c r="N301" i="8"/>
  <c r="N300" i="8"/>
  <c r="L297" i="14"/>
  <c r="L301" i="14"/>
  <c r="L287" i="14"/>
  <c r="M283" i="14"/>
  <c r="M290" i="14"/>
  <c r="M298" i="14"/>
  <c r="M307" i="14"/>
  <c r="L286" i="14"/>
  <c r="L294" i="14"/>
  <c r="L302" i="14"/>
  <c r="L311" i="14"/>
  <c r="M282" i="14"/>
  <c r="M291" i="14"/>
  <c r="M299" i="14"/>
  <c r="M306" i="14"/>
  <c r="K278" i="14"/>
  <c r="K282" i="14"/>
  <c r="K286" i="14"/>
  <c r="K290" i="14"/>
  <c r="K294" i="14"/>
  <c r="K298" i="14"/>
  <c r="K302" i="14"/>
  <c r="K306" i="14"/>
  <c r="K310" i="14"/>
  <c r="N278" i="14"/>
  <c r="H5" i="14" s="1"/>
  <c r="N282" i="14"/>
  <c r="H13" i="14" s="1"/>
  <c r="N286" i="14"/>
  <c r="H7" i="14" s="1"/>
  <c r="N290" i="14"/>
  <c r="H24" i="14" s="1"/>
  <c r="N296" i="14"/>
  <c r="F5" i="14" s="1"/>
  <c r="N300" i="14"/>
  <c r="F13" i="14" s="1"/>
  <c r="N304" i="14"/>
  <c r="F7" i="14" s="1"/>
  <c r="N308" i="14"/>
  <c r="F24" i="14" s="1"/>
  <c r="N312" i="14"/>
  <c r="F20" i="14" s="1"/>
  <c r="L285" i="14"/>
  <c r="K94" i="15"/>
  <c r="K90" i="15"/>
  <c r="K86" i="15"/>
  <c r="K82" i="15"/>
  <c r="K78" i="15"/>
  <c r="K74" i="15"/>
  <c r="K70" i="15"/>
  <c r="K66" i="15"/>
  <c r="K62" i="15"/>
  <c r="M88" i="15"/>
  <c r="M80" i="15"/>
  <c r="M71" i="15"/>
  <c r="M63" i="15"/>
  <c r="N90" i="15"/>
  <c r="N82" i="15"/>
  <c r="N78" i="15"/>
  <c r="N70" i="15"/>
  <c r="N62" i="15"/>
  <c r="L94" i="15"/>
  <c r="L90" i="15"/>
  <c r="L86" i="15"/>
  <c r="L82" i="15"/>
  <c r="L78" i="15"/>
  <c r="L74" i="15"/>
  <c r="L70" i="15"/>
  <c r="L66" i="15"/>
  <c r="L62" i="15"/>
  <c r="M93" i="15"/>
  <c r="M85" i="15"/>
  <c r="M77" i="15"/>
  <c r="M70" i="15"/>
  <c r="M62" i="15"/>
  <c r="N89" i="15"/>
  <c r="N81" i="15"/>
  <c r="N73" i="15"/>
  <c r="N65" i="15"/>
  <c r="K113" i="15"/>
  <c r="K109" i="15"/>
  <c r="K105" i="15"/>
  <c r="K100" i="15"/>
  <c r="N114" i="15"/>
  <c r="L114" i="15"/>
  <c r="L106" i="15"/>
  <c r="L98" i="15"/>
  <c r="M107" i="15"/>
  <c r="M98" i="15"/>
  <c r="N107" i="15"/>
  <c r="K128" i="15"/>
  <c r="K120" i="15"/>
  <c r="L129" i="15"/>
  <c r="L121" i="15"/>
  <c r="M129" i="15"/>
  <c r="N133" i="15"/>
  <c r="N125" i="15"/>
  <c r="N117" i="15"/>
  <c r="M126" i="15"/>
  <c r="K150" i="15"/>
  <c r="K142" i="15"/>
  <c r="K134" i="15"/>
  <c r="N138" i="15"/>
  <c r="L146" i="15"/>
  <c r="L138" i="15"/>
  <c r="M148" i="15"/>
  <c r="M140" i="15"/>
  <c r="N147" i="15"/>
  <c r="K168" i="15"/>
  <c r="K160" i="15"/>
  <c r="K152" i="15"/>
  <c r="N156" i="15"/>
  <c r="L164" i="15"/>
  <c r="L156" i="15"/>
  <c r="M166" i="15"/>
  <c r="M158" i="15"/>
  <c r="N165" i="15"/>
  <c r="K186" i="15"/>
  <c r="K178" i="15"/>
  <c r="K170" i="15"/>
  <c r="L180" i="15"/>
  <c r="L172" i="15"/>
  <c r="M182" i="15"/>
  <c r="M174" i="15"/>
  <c r="N184" i="15"/>
  <c r="N176" i="15"/>
  <c r="K204" i="15"/>
  <c r="K196" i="15"/>
  <c r="K188" i="15"/>
  <c r="N190" i="15"/>
  <c r="L199" i="15"/>
  <c r="L191" i="15"/>
  <c r="M201" i="15"/>
  <c r="M192" i="15"/>
  <c r="K302" i="8"/>
  <c r="K304" i="8"/>
  <c r="K306" i="8"/>
  <c r="K308" i="8"/>
  <c r="K310" i="8"/>
  <c r="L312" i="8"/>
  <c r="N314" i="8"/>
  <c r="M317" i="8"/>
  <c r="L320" i="8"/>
  <c r="N322" i="8"/>
  <c r="M325" i="8"/>
  <c r="L328" i="8"/>
  <c r="N330" i="8"/>
  <c r="M333" i="8"/>
  <c r="L336" i="8"/>
  <c r="N338" i="8"/>
  <c r="M341" i="8"/>
  <c r="L344" i="8"/>
  <c r="N346" i="8"/>
  <c r="M349" i="8"/>
  <c r="L352" i="8"/>
  <c r="N354" i="8"/>
  <c r="M357" i="8"/>
  <c r="L360" i="8"/>
  <c r="N362" i="8"/>
  <c r="M365" i="8"/>
  <c r="M369" i="8"/>
  <c r="M373" i="8"/>
  <c r="M377" i="8"/>
  <c r="M381" i="8"/>
  <c r="M385" i="8"/>
  <c r="M389" i="8"/>
  <c r="M393" i="8"/>
  <c r="M397" i="8"/>
  <c r="M401" i="8"/>
  <c r="M405" i="8"/>
  <c r="M409" i="8"/>
  <c r="M413" i="8"/>
  <c r="M417" i="8"/>
  <c r="M421" i="8"/>
  <c r="M425" i="8"/>
  <c r="M429" i="8"/>
  <c r="M433" i="8"/>
  <c r="M437" i="8"/>
  <c r="N442" i="8"/>
  <c r="M468" i="8"/>
  <c r="M476" i="8"/>
  <c r="M502" i="8"/>
  <c r="M510" i="8"/>
  <c r="M518" i="8"/>
  <c r="M526" i="8"/>
  <c r="M534" i="8"/>
  <c r="M542" i="8"/>
  <c r="M550" i="8"/>
  <c r="M558" i="8"/>
  <c r="M566" i="8"/>
  <c r="M574" i="8"/>
  <c r="M582" i="8"/>
  <c r="M590" i="8"/>
  <c r="M598" i="8"/>
  <c r="M606" i="8"/>
  <c r="M614" i="8"/>
  <c r="M622" i="8"/>
  <c r="M630" i="8"/>
  <c r="M638" i="8"/>
  <c r="D326" i="8"/>
  <c r="D358" i="8"/>
  <c r="D390" i="8"/>
  <c r="D422" i="8"/>
  <c r="D472" i="8"/>
  <c r="D522" i="8"/>
  <c r="D554" i="8"/>
  <c r="D586" i="8"/>
  <c r="D618" i="8"/>
  <c r="C8" i="12"/>
  <c r="J23" i="5" s="1"/>
  <c r="N281" i="8"/>
  <c r="K300" i="8"/>
  <c r="J390" i="9"/>
  <c r="O142" i="4" l="1"/>
  <c r="X142" i="4"/>
  <c r="R142" i="4"/>
  <c r="U142" i="4"/>
  <c r="H17" i="3"/>
  <c r="E52" i="12" s="1"/>
  <c r="H15" i="3"/>
  <c r="E57" i="12" s="1"/>
  <c r="H22" i="3"/>
  <c r="E62" i="12" s="1"/>
  <c r="H25" i="3"/>
  <c r="E66" i="12" s="1"/>
  <c r="H14" i="3"/>
  <c r="P5" i="12" s="1"/>
  <c r="H9" i="3"/>
  <c r="E65" i="12" s="1"/>
  <c r="H21" i="3"/>
  <c r="N5" i="12"/>
  <c r="H12" i="3"/>
  <c r="E54" i="12" s="1"/>
  <c r="H23" i="3"/>
  <c r="E23" i="3" s="1"/>
  <c r="L142" i="4"/>
  <c r="M17" i="5"/>
  <c r="O17" i="5" s="1"/>
  <c r="P17" i="5" s="1"/>
  <c r="E21" i="9"/>
  <c r="E17" i="9"/>
  <c r="G52" i="12" s="1"/>
  <c r="E9" i="9"/>
  <c r="G65" i="12" s="1"/>
  <c r="E6" i="9"/>
  <c r="G53" i="12" s="1"/>
  <c r="F24" i="9"/>
  <c r="E24" i="9" s="1"/>
  <c r="T7" i="12" s="1"/>
  <c r="J29" i="12" s="1"/>
  <c r="E5" i="9"/>
  <c r="G51" i="12" s="1"/>
  <c r="E22" i="9"/>
  <c r="G62" i="12" s="1"/>
  <c r="J11" i="9"/>
  <c r="J3" i="9" s="1"/>
  <c r="F12" i="9"/>
  <c r="E12" i="9" s="1"/>
  <c r="K8" i="9"/>
  <c r="F8" i="9" s="1"/>
  <c r="E8" i="9" s="1"/>
  <c r="G61" i="12" s="1"/>
  <c r="K18" i="9"/>
  <c r="E14" i="9"/>
  <c r="P7" i="12" s="1"/>
  <c r="J27" i="12" s="1"/>
  <c r="N15" i="9"/>
  <c r="F15" i="9"/>
  <c r="P13" i="9"/>
  <c r="N13" i="9" s="1"/>
  <c r="E13" i="9" s="1"/>
  <c r="P25" i="9"/>
  <c r="N25" i="9" s="1"/>
  <c r="E25" i="9" s="1"/>
  <c r="G66" i="12" s="1"/>
  <c r="P20" i="9"/>
  <c r="N20" i="9" s="1"/>
  <c r="N19" i="9" s="1"/>
  <c r="P10" i="9"/>
  <c r="N10" i="9" s="1"/>
  <c r="N4" i="9" s="1"/>
  <c r="E23" i="9"/>
  <c r="G63" i="12" s="1"/>
  <c r="O3" i="9"/>
  <c r="H5" i="3"/>
  <c r="E51" i="12" s="1"/>
  <c r="H13" i="3"/>
  <c r="E55" i="12" s="1"/>
  <c r="H8" i="3"/>
  <c r="H7" i="3"/>
  <c r="H24" i="3"/>
  <c r="H20" i="3"/>
  <c r="H6" i="3"/>
  <c r="E53" i="12" s="1"/>
  <c r="H18" i="3"/>
  <c r="H10" i="3"/>
  <c r="E67" i="12" s="1"/>
  <c r="Z106" i="12"/>
  <c r="Z87" i="12"/>
  <c r="Q464" i="6"/>
  <c r="P473" i="6"/>
  <c r="P480" i="6"/>
  <c r="P471" i="6"/>
  <c r="Q475" i="6"/>
  <c r="P481" i="6"/>
  <c r="Q573" i="6"/>
  <c r="Q478" i="6"/>
  <c r="Q473" i="6"/>
  <c r="V104" i="6"/>
  <c r="Q471" i="6"/>
  <c r="Q540" i="6"/>
  <c r="Q481" i="6"/>
  <c r="V50" i="6"/>
  <c r="Q480" i="6"/>
  <c r="P478" i="6"/>
  <c r="P477" i="6"/>
  <c r="Q467" i="6"/>
  <c r="P475" i="6"/>
  <c r="Q470" i="6"/>
  <c r="P476" i="6"/>
  <c r="R476" i="6"/>
  <c r="R471" i="6"/>
  <c r="Q546" i="6"/>
  <c r="Q469" i="6"/>
  <c r="R463" i="6"/>
  <c r="R465" i="6"/>
  <c r="V112" i="6"/>
  <c r="Q477" i="6"/>
  <c r="P467" i="6"/>
  <c r="P470" i="6"/>
  <c r="Q476" i="6"/>
  <c r="Q463" i="6"/>
  <c r="P469" i="6"/>
  <c r="P464" i="6"/>
  <c r="Q465" i="6"/>
  <c r="P463" i="6"/>
  <c r="P474" i="6"/>
  <c r="Q468" i="6"/>
  <c r="P565" i="6"/>
  <c r="R571" i="6"/>
  <c r="P571" i="6"/>
  <c r="P532" i="6"/>
  <c r="P531" i="6"/>
  <c r="V76" i="6"/>
  <c r="V531" i="6" s="1"/>
  <c r="V109" i="6"/>
  <c r="W109" i="6" s="1"/>
  <c r="Y109" i="6" s="1"/>
  <c r="P552" i="6"/>
  <c r="V552" i="6"/>
  <c r="V105" i="6"/>
  <c r="V113" i="6"/>
  <c r="W113" i="6" s="1"/>
  <c r="Y113" i="6" s="1"/>
  <c r="W50" i="6"/>
  <c r="P546" i="6"/>
  <c r="V53" i="6"/>
  <c r="V89" i="6"/>
  <c r="P556" i="6"/>
  <c r="P511" i="6"/>
  <c r="W46" i="6"/>
  <c r="V535" i="6"/>
  <c r="Q568" i="6"/>
  <c r="R511" i="6"/>
  <c r="P515" i="6"/>
  <c r="P568" i="6"/>
  <c r="Q526" i="6"/>
  <c r="P555" i="6"/>
  <c r="V68" i="6"/>
  <c r="P545" i="6"/>
  <c r="V545" i="6"/>
  <c r="P521" i="6"/>
  <c r="V521" i="6"/>
  <c r="P540" i="6"/>
  <c r="V43" i="6"/>
  <c r="Q511" i="6"/>
  <c r="Q518" i="6"/>
  <c r="V111" i="6"/>
  <c r="Q565" i="6"/>
  <c r="Q555" i="6"/>
  <c r="V79" i="6"/>
  <c r="Q515" i="6"/>
  <c r="Q571" i="6"/>
  <c r="P573" i="6"/>
  <c r="P526" i="6"/>
  <c r="P518" i="6"/>
  <c r="V72" i="6"/>
  <c r="F16" i="14"/>
  <c r="F19" i="14"/>
  <c r="F19" i="9"/>
  <c r="P16" i="9"/>
  <c r="J15" i="8"/>
  <c r="J18" i="8"/>
  <c r="J20" i="8"/>
  <c r="J22" i="8"/>
  <c r="J8" i="8"/>
  <c r="I33" i="5"/>
  <c r="I37" i="5" s="1"/>
  <c r="E18" i="14"/>
  <c r="I58" i="12" s="1"/>
  <c r="H18" i="14"/>
  <c r="H16" i="14" s="1"/>
  <c r="J14" i="8"/>
  <c r="J17" i="8"/>
  <c r="J19" i="8"/>
  <c r="J21" i="8"/>
  <c r="J23" i="8"/>
  <c r="E21" i="14"/>
  <c r="H21" i="14"/>
  <c r="F4" i="14"/>
  <c r="J10" i="8"/>
  <c r="J12" i="8"/>
  <c r="J6" i="8"/>
  <c r="H11" i="14"/>
  <c r="F11" i="14"/>
  <c r="E22" i="14"/>
  <c r="N9" i="12" s="1"/>
  <c r="N26" i="12" s="1"/>
  <c r="H40" i="12" s="1"/>
  <c r="H22" i="14"/>
  <c r="E20" i="14"/>
  <c r="H20" i="14"/>
  <c r="E10" i="14"/>
  <c r="I67" i="12" s="1"/>
  <c r="H10" i="14"/>
  <c r="E6" i="14"/>
  <c r="I53" i="12" s="1"/>
  <c r="H6" i="14"/>
  <c r="J16" i="8"/>
  <c r="J5" i="8"/>
  <c r="J9" i="8"/>
  <c r="J11" i="8"/>
  <c r="J7" i="8"/>
  <c r="J13" i="8"/>
  <c r="B2" i="13"/>
  <c r="H11" i="12"/>
  <c r="R23" i="12" s="1"/>
  <c r="J37" i="12" s="1"/>
  <c r="E25" i="15"/>
  <c r="M66" i="12" s="1"/>
  <c r="N576" i="6"/>
  <c r="U27" i="6"/>
  <c r="T27" i="6"/>
  <c r="J31" i="5"/>
  <c r="J33" i="5" s="1"/>
  <c r="J37" i="5" s="1"/>
  <c r="Y6" i="4"/>
  <c r="Y19" i="4"/>
  <c r="Y123" i="4"/>
  <c r="B56" i="12" s="1"/>
  <c r="Y56" i="4"/>
  <c r="M10" i="5" s="1"/>
  <c r="O10" i="5" s="1"/>
  <c r="P10" i="5" s="1"/>
  <c r="G30" i="12"/>
  <c r="C15" i="12"/>
  <c r="E23" i="14"/>
  <c r="I63" i="12" s="1"/>
  <c r="N748" i="8"/>
  <c r="P485" i="9"/>
  <c r="F140" i="12"/>
  <c r="K58" i="12"/>
  <c r="K68" i="12" s="1"/>
  <c r="M24" i="5" s="1"/>
  <c r="O24" i="5" s="1"/>
  <c r="P24" i="5" s="1"/>
  <c r="J136" i="12"/>
  <c r="J140" i="12" s="1"/>
  <c r="Y52" i="4"/>
  <c r="R6" i="12"/>
  <c r="H28" i="12" s="1"/>
  <c r="E42" i="12" s="1"/>
  <c r="F57" i="12"/>
  <c r="L6" i="12"/>
  <c r="H25" i="12" s="1"/>
  <c r="E39" i="12" s="1"/>
  <c r="F63" i="12"/>
  <c r="T6" i="12"/>
  <c r="H29" i="12" s="1"/>
  <c r="E43" i="12" s="1"/>
  <c r="F64" i="12"/>
  <c r="E12" i="15"/>
  <c r="M54" i="12" s="1"/>
  <c r="E23" i="15"/>
  <c r="Y36" i="4"/>
  <c r="M7" i="5" s="1"/>
  <c r="O7" i="5" s="1"/>
  <c r="P7" i="5" s="1"/>
  <c r="G33" i="5"/>
  <c r="G37" i="5" s="1"/>
  <c r="V29" i="6"/>
  <c r="F33" i="5"/>
  <c r="F37" i="5" s="1"/>
  <c r="Y40" i="4"/>
  <c r="V31" i="6"/>
  <c r="J64" i="12"/>
  <c r="E21" i="15"/>
  <c r="E14" i="15"/>
  <c r="E18" i="15"/>
  <c r="E15" i="15"/>
  <c r="E24" i="15"/>
  <c r="E13" i="15"/>
  <c r="M55" i="12" s="1"/>
  <c r="E17" i="15"/>
  <c r="M52" i="12" s="1"/>
  <c r="V41" i="6"/>
  <c r="E15" i="14"/>
  <c r="D12" i="12"/>
  <c r="T21" i="12" s="1"/>
  <c r="E3" i="10"/>
  <c r="Y118" i="4"/>
  <c r="M15" i="5" s="1"/>
  <c r="O15" i="5" s="1"/>
  <c r="P15" i="5" s="1"/>
  <c r="Y77" i="4"/>
  <c r="M11" i="5" s="1"/>
  <c r="O11" i="5" s="1"/>
  <c r="P11" i="5" s="1"/>
  <c r="Y103" i="4"/>
  <c r="M14" i="5" s="1"/>
  <c r="O14" i="5" s="1"/>
  <c r="P14" i="5" s="1"/>
  <c r="V40" i="6"/>
  <c r="Y94" i="4"/>
  <c r="M25" i="5"/>
  <c r="O25" i="5" s="1"/>
  <c r="P25" i="5" s="1"/>
  <c r="H33" i="5"/>
  <c r="H37" i="5" s="1"/>
  <c r="Y84" i="4"/>
  <c r="K290" i="8"/>
  <c r="K282" i="8"/>
  <c r="N296" i="8"/>
  <c r="E25" i="8" s="1"/>
  <c r="H66" i="12" s="1"/>
  <c r="K288" i="8"/>
  <c r="N282" i="8"/>
  <c r="E5" i="8" s="1"/>
  <c r="N286" i="8"/>
  <c r="E13" i="8" s="1"/>
  <c r="H55" i="12" s="1"/>
  <c r="N290" i="8"/>
  <c r="E7" i="8" s="1"/>
  <c r="H60" i="12" s="1"/>
  <c r="L295" i="8"/>
  <c r="K295" i="8"/>
  <c r="K299" i="8"/>
  <c r="N10" i="12"/>
  <c r="P26" i="12" s="1"/>
  <c r="I40" i="12" s="1"/>
  <c r="J19" i="3"/>
  <c r="F6" i="12" s="1"/>
  <c r="H22" i="12" s="1"/>
  <c r="E36" i="12" s="1"/>
  <c r="K298" i="8"/>
  <c r="P390" i="9"/>
  <c r="L285" i="8"/>
  <c r="L293" i="8"/>
  <c r="M288" i="8"/>
  <c r="K289" i="8"/>
  <c r="M293" i="8"/>
  <c r="N289" i="8"/>
  <c r="E18" i="8" s="1"/>
  <c r="H58" i="12" s="1"/>
  <c r="L299" i="8"/>
  <c r="L284" i="8"/>
  <c r="L292" i="8"/>
  <c r="M282" i="8"/>
  <c r="K291" i="8"/>
  <c r="K283" i="8"/>
  <c r="M285" i="8"/>
  <c r="K292" i="8"/>
  <c r="K284" i="8"/>
  <c r="N284" i="8"/>
  <c r="E6" i="8" s="1"/>
  <c r="H53" i="12" s="1"/>
  <c r="N288" i="8"/>
  <c r="E15" i="8" s="1"/>
  <c r="N292" i="8"/>
  <c r="E22" i="8" s="1"/>
  <c r="N297" i="8"/>
  <c r="E10" i="8" s="1"/>
  <c r="H67" i="12" s="1"/>
  <c r="L283" i="8"/>
  <c r="L287" i="8"/>
  <c r="L291" i="8"/>
  <c r="N295" i="8"/>
  <c r="E9" i="8" s="1"/>
  <c r="H65" i="12" s="1"/>
  <c r="K297" i="8"/>
  <c r="M292" i="8"/>
  <c r="M284" i="8"/>
  <c r="K293" i="8"/>
  <c r="K285" i="8"/>
  <c r="M283" i="8"/>
  <c r="L296" i="8"/>
  <c r="L289" i="8"/>
  <c r="M298" i="8"/>
  <c r="M297" i="8"/>
  <c r="L298" i="8"/>
  <c r="M289" i="8"/>
  <c r="M299" i="8"/>
  <c r="N285" i="8"/>
  <c r="E12" i="8" s="1"/>
  <c r="N293" i="8"/>
  <c r="E23" i="8" s="1"/>
  <c r="H63" i="12" s="1"/>
  <c r="L288" i="8"/>
  <c r="L297" i="8"/>
  <c r="K294" i="8"/>
  <c r="M290" i="8"/>
  <c r="L294" i="8"/>
  <c r="K286" i="8"/>
  <c r="N283" i="8"/>
  <c r="E17" i="8" s="1"/>
  <c r="N287" i="8"/>
  <c r="E14" i="8" s="1"/>
  <c r="N291" i="8"/>
  <c r="E8" i="8" s="1"/>
  <c r="H61" i="12" s="1"/>
  <c r="M296" i="8"/>
  <c r="L282" i="8"/>
  <c r="L286" i="8"/>
  <c r="L290" i="8"/>
  <c r="M294" i="8"/>
  <c r="N299" i="8"/>
  <c r="E21" i="8" s="1"/>
  <c r="K296" i="8"/>
  <c r="N294" i="8"/>
  <c r="E24" i="8" s="1"/>
  <c r="M286" i="8"/>
  <c r="M295" i="8"/>
  <c r="K287" i="8"/>
  <c r="M291" i="8"/>
  <c r="M287" i="8"/>
  <c r="N298" i="8"/>
  <c r="F59" i="12"/>
  <c r="J5" i="3"/>
  <c r="F51" i="12" s="1"/>
  <c r="L10" i="12"/>
  <c r="P25" i="12" s="1"/>
  <c r="I39" i="12" s="1"/>
  <c r="E25" i="14"/>
  <c r="I66" i="12" s="1"/>
  <c r="E12" i="14"/>
  <c r="I54" i="12" s="1"/>
  <c r="J57" i="12"/>
  <c r="J10" i="3"/>
  <c r="F67" i="12" s="1"/>
  <c r="F61" i="12"/>
  <c r="J9" i="3"/>
  <c r="F65" i="12" s="1"/>
  <c r="F60" i="12"/>
  <c r="E8" i="14"/>
  <c r="I61" i="12" s="1"/>
  <c r="J16" i="3"/>
  <c r="H6" i="12" s="1"/>
  <c r="H23" i="12" s="1"/>
  <c r="E37" i="12" s="1"/>
  <c r="P10" i="12"/>
  <c r="P27" i="12" s="1"/>
  <c r="I41" i="12" s="1"/>
  <c r="M386" i="3"/>
  <c r="I4" i="3"/>
  <c r="I19" i="3"/>
  <c r="F10" i="12" s="1"/>
  <c r="P22" i="12" s="1"/>
  <c r="I36" i="12" s="1"/>
  <c r="K386" i="3"/>
  <c r="I16" i="3"/>
  <c r="H10" i="12" s="1"/>
  <c r="P23" i="12" s="1"/>
  <c r="I37" i="12" s="1"/>
  <c r="L386" i="3"/>
  <c r="E9" i="14"/>
  <c r="I65" i="12" s="1"/>
  <c r="J14" i="3"/>
  <c r="E21" i="3"/>
  <c r="R21" i="12"/>
  <c r="J6" i="3"/>
  <c r="F53" i="12" s="1"/>
  <c r="C30" i="12"/>
  <c r="E6" i="15"/>
  <c r="M53" i="12" s="1"/>
  <c r="L315" i="14"/>
  <c r="I11" i="3"/>
  <c r="J10" i="12" s="1"/>
  <c r="P24" i="12" s="1"/>
  <c r="I38" i="12" s="1"/>
  <c r="E25" i="3"/>
  <c r="J13" i="3"/>
  <c r="E22" i="15"/>
  <c r="M315" i="14"/>
  <c r="J22" i="3"/>
  <c r="N386" i="3"/>
  <c r="N483" i="6"/>
  <c r="V30" i="6"/>
  <c r="L207" i="15"/>
  <c r="L264" i="15"/>
  <c r="E5" i="14"/>
  <c r="N315" i="14"/>
  <c r="M264" i="15"/>
  <c r="M207" i="15"/>
  <c r="D287" i="8"/>
  <c r="D286" i="8"/>
  <c r="D299" i="8"/>
  <c r="D298" i="8"/>
  <c r="D284" i="8"/>
  <c r="E10" i="15"/>
  <c r="M67" i="12" s="1"/>
  <c r="E20" i="15"/>
  <c r="E13" i="14"/>
  <c r="D289" i="8"/>
  <c r="D296" i="8"/>
  <c r="D295" i="8"/>
  <c r="D293" i="8"/>
  <c r="D294" i="8"/>
  <c r="D292" i="8"/>
  <c r="E17" i="14"/>
  <c r="E5" i="15"/>
  <c r="M51" i="12" s="1"/>
  <c r="N207" i="15"/>
  <c r="N264" i="15"/>
  <c r="E7" i="15"/>
  <c r="M60" i="12" s="1"/>
  <c r="K264" i="15"/>
  <c r="K207" i="15"/>
  <c r="E24" i="14"/>
  <c r="K315" i="14"/>
  <c r="D285" i="8"/>
  <c r="D283" i="8"/>
  <c r="D297" i="8"/>
  <c r="D282" i="8"/>
  <c r="E9" i="15"/>
  <c r="M65" i="12" s="1"/>
  <c r="E7" i="14"/>
  <c r="I60" i="12" s="1"/>
  <c r="D291" i="8"/>
  <c r="D290" i="8"/>
  <c r="D288" i="8"/>
  <c r="E8" i="15"/>
  <c r="M61" i="12" s="1"/>
  <c r="E14" i="14"/>
  <c r="Y142" i="4" l="1"/>
  <c r="B58" i="12"/>
  <c r="M8" i="5"/>
  <c r="B64" i="12"/>
  <c r="B59" i="12"/>
  <c r="E12" i="3"/>
  <c r="E56" i="12"/>
  <c r="R5" i="12"/>
  <c r="F28" i="12" s="1"/>
  <c r="D42" i="12" s="1"/>
  <c r="E20" i="3"/>
  <c r="E19" i="3" s="1"/>
  <c r="E59" i="12"/>
  <c r="E8" i="3"/>
  <c r="E61" i="12"/>
  <c r="E18" i="3"/>
  <c r="E58" i="12"/>
  <c r="E7" i="3"/>
  <c r="E60" i="12"/>
  <c r="E24" i="3"/>
  <c r="E64" i="12"/>
  <c r="T5" i="12"/>
  <c r="F29" i="12" s="1"/>
  <c r="D43" i="12" s="1"/>
  <c r="E63" i="12"/>
  <c r="L5" i="12"/>
  <c r="L7" i="12"/>
  <c r="J25" i="12" s="1"/>
  <c r="F39" i="12" s="1"/>
  <c r="F4" i="9"/>
  <c r="K4" i="9"/>
  <c r="F11" i="9"/>
  <c r="E20" i="9"/>
  <c r="E19" i="9" s="1"/>
  <c r="G59" i="12" s="1"/>
  <c r="P19" i="9"/>
  <c r="P4" i="9"/>
  <c r="E11" i="9"/>
  <c r="J7" i="12" s="1"/>
  <c r="G55" i="12"/>
  <c r="K16" i="9"/>
  <c r="F18" i="9"/>
  <c r="E10" i="9"/>
  <c r="G67" i="12" s="1"/>
  <c r="N11" i="9"/>
  <c r="N3" i="9" s="1"/>
  <c r="P11" i="9"/>
  <c r="E15" i="9"/>
  <c r="G57" i="12" s="1"/>
  <c r="M16" i="5"/>
  <c r="O16" i="5" s="1"/>
  <c r="P16" i="5" s="1"/>
  <c r="W111" i="6"/>
  <c r="V549" i="6"/>
  <c r="E14" i="3"/>
  <c r="E6" i="3"/>
  <c r="E15" i="3"/>
  <c r="E9" i="3"/>
  <c r="E5" i="3"/>
  <c r="E22" i="3"/>
  <c r="E10" i="3"/>
  <c r="E17" i="3"/>
  <c r="E13" i="3"/>
  <c r="V481" i="6"/>
  <c r="V468" i="6"/>
  <c r="V465" i="6"/>
  <c r="W466" i="6"/>
  <c r="V476" i="6"/>
  <c r="V464" i="6"/>
  <c r="V478" i="6"/>
  <c r="W68" i="6"/>
  <c r="V474" i="6"/>
  <c r="W112" i="6"/>
  <c r="V477" i="6"/>
  <c r="V463" i="6"/>
  <c r="V473" i="6"/>
  <c r="W480" i="6"/>
  <c r="V480" i="6"/>
  <c r="V546" i="6"/>
  <c r="V469" i="6"/>
  <c r="Y468" i="6"/>
  <c r="W468" i="6"/>
  <c r="W104" i="6"/>
  <c r="V471" i="6"/>
  <c r="W79" i="6"/>
  <c r="V467" i="6"/>
  <c r="W89" i="6"/>
  <c r="V475" i="6"/>
  <c r="W105" i="6"/>
  <c r="V470" i="6"/>
  <c r="V466" i="6"/>
  <c r="Y466" i="6"/>
  <c r="W545" i="6"/>
  <c r="W53" i="6"/>
  <c r="V515" i="6"/>
  <c r="V518" i="6"/>
  <c r="V573" i="6"/>
  <c r="W552" i="6"/>
  <c r="W515" i="6"/>
  <c r="W41" i="6"/>
  <c r="V568" i="6"/>
  <c r="W43" i="6"/>
  <c r="V540" i="6"/>
  <c r="V555" i="6"/>
  <c r="V556" i="6"/>
  <c r="Y50" i="6"/>
  <c r="Y515" i="6"/>
  <c r="W573" i="6"/>
  <c r="V511" i="6"/>
  <c r="W76" i="6"/>
  <c r="V527" i="6"/>
  <c r="V559" i="6"/>
  <c r="V519" i="6"/>
  <c r="W72" i="6"/>
  <c r="Y46" i="6"/>
  <c r="Y535" i="6" s="1"/>
  <c r="C100" i="12" s="1"/>
  <c r="O100" i="12" s="1"/>
  <c r="W535" i="6"/>
  <c r="V532" i="6"/>
  <c r="V565" i="6"/>
  <c r="V571" i="6"/>
  <c r="V526" i="6"/>
  <c r="M12" i="5"/>
  <c r="O12" i="5" s="1"/>
  <c r="P12" i="5" s="1"/>
  <c r="B57" i="12"/>
  <c r="M13" i="5"/>
  <c r="O13" i="5" s="1"/>
  <c r="P13" i="5" s="1"/>
  <c r="B66" i="12"/>
  <c r="O8" i="5"/>
  <c r="P8" i="5" s="1"/>
  <c r="M6" i="5"/>
  <c r="O6" i="5" s="1"/>
  <c r="P6" i="5" s="1"/>
  <c r="M9" i="5"/>
  <c r="O9" i="5" s="1"/>
  <c r="P9" i="5" s="1"/>
  <c r="B54" i="12"/>
  <c r="H4" i="14"/>
  <c r="E19" i="14"/>
  <c r="I59" i="12" s="1"/>
  <c r="I62" i="12"/>
  <c r="J3" i="8"/>
  <c r="H19" i="14"/>
  <c r="F3" i="14"/>
  <c r="B11" i="12"/>
  <c r="N7" i="12"/>
  <c r="J26" i="12" s="1"/>
  <c r="F40" i="12" s="1"/>
  <c r="G56" i="12"/>
  <c r="L9" i="12"/>
  <c r="N25" i="12" s="1"/>
  <c r="H39" i="12" s="1"/>
  <c r="M62" i="12"/>
  <c r="N13" i="12"/>
  <c r="V26" i="12" s="1"/>
  <c r="L40" i="12" s="1"/>
  <c r="L13" i="12"/>
  <c r="V25" i="12" s="1"/>
  <c r="L39" i="12" s="1"/>
  <c r="M63" i="12"/>
  <c r="R13" i="12"/>
  <c r="V28" i="12" s="1"/>
  <c r="L42" i="12" s="1"/>
  <c r="M58" i="12"/>
  <c r="M57" i="12"/>
  <c r="M64" i="12"/>
  <c r="T13" i="12"/>
  <c r="V29" i="12" s="1"/>
  <c r="L43" i="12" s="1"/>
  <c r="M56" i="12"/>
  <c r="P13" i="12"/>
  <c r="V27" i="12" s="1"/>
  <c r="L41" i="12" s="1"/>
  <c r="P6" i="12"/>
  <c r="H27" i="12" s="1"/>
  <c r="E41" i="12" s="1"/>
  <c r="F56" i="12"/>
  <c r="J143" i="12"/>
  <c r="P576" i="6"/>
  <c r="R576" i="6"/>
  <c r="Q576" i="6"/>
  <c r="K136" i="12"/>
  <c r="K140" i="12" s="1"/>
  <c r="K143" i="12" s="1"/>
  <c r="W31" i="6"/>
  <c r="W29" i="6"/>
  <c r="F26" i="12"/>
  <c r="D40" i="12" s="1"/>
  <c r="F25" i="12"/>
  <c r="D39" i="12" s="1"/>
  <c r="N6" i="12"/>
  <c r="H26" i="12" s="1"/>
  <c r="E40" i="12" s="1"/>
  <c r="F62" i="12"/>
  <c r="J11" i="3"/>
  <c r="J6" i="12" s="1"/>
  <c r="H24" i="12" s="1"/>
  <c r="E38" i="12" s="1"/>
  <c r="F55" i="12"/>
  <c r="W30" i="6"/>
  <c r="B12" i="12"/>
  <c r="W40" i="6"/>
  <c r="W465" i="6" s="1"/>
  <c r="D10" i="12"/>
  <c r="P21" i="12" s="1"/>
  <c r="I35" i="12" s="1"/>
  <c r="I44" i="12" s="1"/>
  <c r="I3" i="3"/>
  <c r="T30" i="12"/>
  <c r="K35" i="12"/>
  <c r="K44" i="12" s="1"/>
  <c r="G54" i="12"/>
  <c r="G64" i="12"/>
  <c r="E11" i="15"/>
  <c r="J13" i="12" s="1"/>
  <c r="V24" i="12" s="1"/>
  <c r="L38" i="12" s="1"/>
  <c r="J4" i="3"/>
  <c r="J59" i="12"/>
  <c r="J51" i="12"/>
  <c r="I57" i="12"/>
  <c r="R9" i="12"/>
  <c r="N28" i="12" s="1"/>
  <c r="H42" i="12" s="1"/>
  <c r="H4" i="3"/>
  <c r="D5" i="12" s="1"/>
  <c r="R483" i="6"/>
  <c r="P483" i="6"/>
  <c r="H16" i="3"/>
  <c r="M5" i="5"/>
  <c r="J35" i="12"/>
  <c r="J44" i="12" s="1"/>
  <c r="R30" i="12"/>
  <c r="F27" i="12"/>
  <c r="D41" i="12" s="1"/>
  <c r="Q483" i="6"/>
  <c r="H19" i="3"/>
  <c r="H11" i="3"/>
  <c r="T9" i="12"/>
  <c r="N29" i="12" s="1"/>
  <c r="H43" i="12" s="1"/>
  <c r="I64" i="12"/>
  <c r="I55" i="12"/>
  <c r="E11" i="14"/>
  <c r="J9" i="12" s="1"/>
  <c r="N24" i="12" s="1"/>
  <c r="H38" i="12" s="1"/>
  <c r="E4" i="15"/>
  <c r="D13" i="12" s="1"/>
  <c r="E16" i="15"/>
  <c r="H13" i="12" s="1"/>
  <c r="V23" i="12" s="1"/>
  <c r="L37" i="12" s="1"/>
  <c r="I56" i="12"/>
  <c r="P9" i="12"/>
  <c r="N27" i="12" s="1"/>
  <c r="H41" i="12" s="1"/>
  <c r="E16" i="14"/>
  <c r="H9" i="12" s="1"/>
  <c r="N23" i="12" s="1"/>
  <c r="H37" i="12" s="1"/>
  <c r="I52" i="12"/>
  <c r="E4" i="14"/>
  <c r="I51" i="12"/>
  <c r="D643" i="8"/>
  <c r="E19" i="15"/>
  <c r="L8" i="12"/>
  <c r="H56" i="12"/>
  <c r="P8" i="12"/>
  <c r="E11" i="8"/>
  <c r="J8" i="12" s="1"/>
  <c r="L24" i="12" s="1"/>
  <c r="G38" i="12" s="1"/>
  <c r="H54" i="12"/>
  <c r="H62" i="12"/>
  <c r="N8" i="12"/>
  <c r="L643" i="8"/>
  <c r="K643" i="8"/>
  <c r="N643" i="8"/>
  <c r="E19" i="8"/>
  <c r="E20" i="8"/>
  <c r="H64" i="12"/>
  <c r="T8" i="12"/>
  <c r="E16" i="8"/>
  <c r="H8" i="12" s="1"/>
  <c r="H52" i="12"/>
  <c r="H51" i="12"/>
  <c r="E4" i="8"/>
  <c r="M643" i="8"/>
  <c r="F43" i="12"/>
  <c r="F41" i="12"/>
  <c r="F5" i="12" l="1"/>
  <c r="J5" i="12"/>
  <c r="F24" i="12" s="1"/>
  <c r="D38" i="12" s="1"/>
  <c r="H5" i="12"/>
  <c r="F23" i="12" s="1"/>
  <c r="D37" i="12" s="1"/>
  <c r="W518" i="6"/>
  <c r="K3" i="9"/>
  <c r="F7" i="12"/>
  <c r="J22" i="12" s="1"/>
  <c r="F36" i="12" s="1"/>
  <c r="E4" i="9"/>
  <c r="D7" i="12" s="1"/>
  <c r="J21" i="12" s="1"/>
  <c r="F35" i="12" s="1"/>
  <c r="R7" i="12"/>
  <c r="J28" i="12" s="1"/>
  <c r="F42" i="12" s="1"/>
  <c r="P3" i="9"/>
  <c r="E18" i="9"/>
  <c r="F16" i="9"/>
  <c r="F3" i="9" s="1"/>
  <c r="Y111" i="6"/>
  <c r="Y549" i="6" s="1"/>
  <c r="C114" i="12" s="1"/>
  <c r="O114" i="12" s="1"/>
  <c r="W549" i="6"/>
  <c r="Z100" i="12"/>
  <c r="Y573" i="6"/>
  <c r="C138" i="12" s="1"/>
  <c r="O138" i="12" s="1"/>
  <c r="Y480" i="6"/>
  <c r="W568" i="6"/>
  <c r="W476" i="6"/>
  <c r="Y105" i="6"/>
  <c r="W470" i="6"/>
  <c r="Y79" i="6"/>
  <c r="Y467" i="6" s="1"/>
  <c r="W467" i="6"/>
  <c r="Y112" i="6"/>
  <c r="Y477" i="6" s="1"/>
  <c r="W477" i="6"/>
  <c r="Y478" i="6"/>
  <c r="H25" i="6" s="1"/>
  <c r="D66" i="12" s="1"/>
  <c r="C66" i="12" s="1"/>
  <c r="O66" i="12" s="1"/>
  <c r="W478" i="6"/>
  <c r="Y53" i="6"/>
  <c r="W469" i="6"/>
  <c r="W526" i="6"/>
  <c r="W571" i="6"/>
  <c r="W473" i="6"/>
  <c r="W565" i="6"/>
  <c r="W464" i="6"/>
  <c r="Y89" i="6"/>
  <c r="Y475" i="6" s="1"/>
  <c r="H23" i="6" s="1"/>
  <c r="D63" i="12" s="1"/>
  <c r="C63" i="12" s="1"/>
  <c r="O63" i="12" s="1"/>
  <c r="W475" i="6"/>
  <c r="Y104" i="6"/>
  <c r="Y471" i="6" s="1"/>
  <c r="W471" i="6"/>
  <c r="Y68" i="6"/>
  <c r="W474" i="6"/>
  <c r="W481" i="6"/>
  <c r="W463" i="6"/>
  <c r="Y545" i="6"/>
  <c r="C110" i="12" s="1"/>
  <c r="O110" i="12" s="1"/>
  <c r="Y552" i="6"/>
  <c r="C117" i="12" s="1"/>
  <c r="O117" i="12" s="1"/>
  <c r="W511" i="6"/>
  <c r="W546" i="6"/>
  <c r="Y41" i="6"/>
  <c r="Y72" i="6"/>
  <c r="Y519" i="6" s="1"/>
  <c r="C84" i="12" s="1"/>
  <c r="O84" i="12" s="1"/>
  <c r="W519" i="6"/>
  <c r="Y559" i="6"/>
  <c r="C124" i="12" s="1"/>
  <c r="O124" i="12" s="1"/>
  <c r="W559" i="6"/>
  <c r="Y76" i="6"/>
  <c r="Y531" i="6" s="1"/>
  <c r="C96" i="12" s="1"/>
  <c r="O96" i="12" s="1"/>
  <c r="W531" i="6"/>
  <c r="Y43" i="6"/>
  <c r="W540" i="6"/>
  <c r="Y521" i="6"/>
  <c r="C86" i="12" s="1"/>
  <c r="O86" i="12" s="1"/>
  <c r="W521" i="6"/>
  <c r="Y556" i="6"/>
  <c r="C121" i="12" s="1"/>
  <c r="O121" i="12" s="1"/>
  <c r="W556" i="6"/>
  <c r="Y555" i="6"/>
  <c r="C120" i="12" s="1"/>
  <c r="O120" i="12" s="1"/>
  <c r="W555" i="6"/>
  <c r="Y527" i="6"/>
  <c r="C92" i="12" s="1"/>
  <c r="O92" i="12" s="1"/>
  <c r="W527" i="6"/>
  <c r="Y532" i="6"/>
  <c r="C97" i="12" s="1"/>
  <c r="O97" i="12" s="1"/>
  <c r="W532" i="6"/>
  <c r="H3" i="14"/>
  <c r="C80" i="12"/>
  <c r="O80" i="12" s="1"/>
  <c r="Y31" i="6"/>
  <c r="H6" i="6"/>
  <c r="D53" i="12" s="1"/>
  <c r="C53" i="12" s="1"/>
  <c r="O53" i="12" s="1"/>
  <c r="B68" i="12"/>
  <c r="B71" i="12" s="1"/>
  <c r="H13" i="6"/>
  <c r="D55" i="12" s="1"/>
  <c r="C55" i="12" s="1"/>
  <c r="O55" i="12" s="1"/>
  <c r="F9" i="12"/>
  <c r="N22" i="12" s="1"/>
  <c r="H36" i="12" s="1"/>
  <c r="V21" i="12"/>
  <c r="I46" i="12"/>
  <c r="L71" i="12"/>
  <c r="K46" i="12"/>
  <c r="M59" i="12"/>
  <c r="M68" i="12" s="1"/>
  <c r="F13" i="12"/>
  <c r="V22" i="12" s="1"/>
  <c r="L36" i="12" s="1"/>
  <c r="K71" i="12"/>
  <c r="J46" i="12"/>
  <c r="E16" i="3"/>
  <c r="Y40" i="6"/>
  <c r="E11" i="3"/>
  <c r="E68" i="12"/>
  <c r="M29" i="5" s="1"/>
  <c r="O29" i="5" s="1"/>
  <c r="P29" i="5" s="1"/>
  <c r="F68" i="12"/>
  <c r="E143" i="12" s="1"/>
  <c r="Y29" i="6"/>
  <c r="Y30" i="6"/>
  <c r="Y473" i="6" s="1"/>
  <c r="E3" i="8"/>
  <c r="K3" i="8" s="1"/>
  <c r="E3" i="14"/>
  <c r="P30" i="12"/>
  <c r="H3" i="3"/>
  <c r="D6" i="12"/>
  <c r="J3" i="3"/>
  <c r="E3" i="15"/>
  <c r="L136" i="12" s="1"/>
  <c r="L140" i="12" s="1"/>
  <c r="B10" i="12"/>
  <c r="E4" i="3"/>
  <c r="J68" i="12"/>
  <c r="I68" i="12"/>
  <c r="O5" i="5"/>
  <c r="M18" i="5"/>
  <c r="H10" i="6"/>
  <c r="D67" i="12" s="1"/>
  <c r="C67" i="12" s="1"/>
  <c r="O67" i="12" s="1"/>
  <c r="D9" i="12"/>
  <c r="L25" i="12"/>
  <c r="D8" i="12"/>
  <c r="L29" i="12"/>
  <c r="L26" i="12"/>
  <c r="L27" i="12"/>
  <c r="L23" i="12"/>
  <c r="H59" i="12"/>
  <c r="F8" i="12"/>
  <c r="H57" i="12"/>
  <c r="R8" i="12"/>
  <c r="J24" i="12"/>
  <c r="B5" i="12" l="1"/>
  <c r="F22" i="12"/>
  <c r="D36" i="12" s="1"/>
  <c r="B13" i="12"/>
  <c r="G58" i="12"/>
  <c r="G68" i="12" s="1"/>
  <c r="M22" i="5" s="1"/>
  <c r="O22" i="5" s="1"/>
  <c r="P22" i="5" s="1"/>
  <c r="E16" i="9"/>
  <c r="Z114" i="12"/>
  <c r="Z110" i="12"/>
  <c r="Z80" i="12"/>
  <c r="Z97" i="12"/>
  <c r="Z86" i="12"/>
  <c r="Z84" i="12"/>
  <c r="Y526" i="6"/>
  <c r="C91" i="12" s="1"/>
  <c r="O91" i="12" s="1"/>
  <c r="Y474" i="6"/>
  <c r="H22" i="6" s="1"/>
  <c r="N4" i="12" s="1"/>
  <c r="Y470" i="6"/>
  <c r="H15" i="6" s="1"/>
  <c r="D57" i="12" s="1"/>
  <c r="C57" i="12" s="1"/>
  <c r="O57" i="12" s="1"/>
  <c r="Y463" i="6"/>
  <c r="Y464" i="6"/>
  <c r="H5" i="6" s="1"/>
  <c r="D51" i="12" s="1"/>
  <c r="C51" i="12" s="1"/>
  <c r="O51" i="12" s="1"/>
  <c r="Y568" i="6"/>
  <c r="C133" i="12" s="1"/>
  <c r="O133" i="12" s="1"/>
  <c r="Y476" i="6"/>
  <c r="H24" i="6" s="1"/>
  <c r="D64" i="12" s="1"/>
  <c r="C64" i="12" s="1"/>
  <c r="O64" i="12" s="1"/>
  <c r="Y546" i="6"/>
  <c r="C111" i="12" s="1"/>
  <c r="O111" i="12" s="1"/>
  <c r="Y469" i="6"/>
  <c r="H14" i="6" s="1"/>
  <c r="Y518" i="6"/>
  <c r="C83" i="12" s="1"/>
  <c r="O83" i="12" s="1"/>
  <c r="Y511" i="6"/>
  <c r="C76" i="12" s="1"/>
  <c r="O76" i="12" s="1"/>
  <c r="Y465" i="6"/>
  <c r="H17" i="6" s="1"/>
  <c r="D52" i="12" s="1"/>
  <c r="C52" i="12" s="1"/>
  <c r="O52" i="12" s="1"/>
  <c r="Y540" i="6"/>
  <c r="C105" i="12" s="1"/>
  <c r="O105" i="12" s="1"/>
  <c r="Y481" i="6"/>
  <c r="H21" i="6" s="1"/>
  <c r="Y565" i="6"/>
  <c r="C130" i="12" s="1"/>
  <c r="O130" i="12" s="1"/>
  <c r="H8" i="6"/>
  <c r="D61" i="12" s="1"/>
  <c r="C61" i="12" s="1"/>
  <c r="O61" i="12" s="1"/>
  <c r="Y571" i="6"/>
  <c r="H7" i="6"/>
  <c r="D60" i="12" s="1"/>
  <c r="C60" i="12" s="1"/>
  <c r="O60" i="12" s="1"/>
  <c r="H20" i="6"/>
  <c r="L143" i="12"/>
  <c r="L35" i="12"/>
  <c r="L44" i="12" s="1"/>
  <c r="V30" i="12"/>
  <c r="H18" i="6"/>
  <c r="D58" i="12" s="1"/>
  <c r="O18" i="5"/>
  <c r="P18" i="5" s="1"/>
  <c r="P5" i="5"/>
  <c r="H9" i="6"/>
  <c r="H12" i="6"/>
  <c r="E3" i="3"/>
  <c r="K3" i="3" s="1"/>
  <c r="D143" i="12"/>
  <c r="M28" i="5"/>
  <c r="O28" i="5" s="1"/>
  <c r="P28" i="5" s="1"/>
  <c r="M35" i="5"/>
  <c r="O35" i="5" s="1"/>
  <c r="L4" i="12"/>
  <c r="M27" i="5"/>
  <c r="O27" i="5" s="1"/>
  <c r="P27" i="5" s="1"/>
  <c r="I143" i="12"/>
  <c r="M26" i="5"/>
  <c r="O26" i="5" s="1"/>
  <c r="P26" i="5" s="1"/>
  <c r="H143" i="12"/>
  <c r="J71" i="12"/>
  <c r="F21" i="12"/>
  <c r="D35" i="12" s="1"/>
  <c r="B6" i="12"/>
  <c r="H21" i="12"/>
  <c r="B9" i="12"/>
  <c r="N21" i="12"/>
  <c r="G39" i="12"/>
  <c r="G37" i="12"/>
  <c r="G40" i="12"/>
  <c r="L21" i="12"/>
  <c r="B8" i="12"/>
  <c r="L28" i="12"/>
  <c r="G41" i="12"/>
  <c r="G43" i="12"/>
  <c r="L22" i="12"/>
  <c r="H68" i="12"/>
  <c r="F38" i="12"/>
  <c r="D44" i="12" l="1"/>
  <c r="D46" i="12" s="1"/>
  <c r="C58" i="12"/>
  <c r="O58" i="12" s="1"/>
  <c r="F143" i="12"/>
  <c r="H7" i="12"/>
  <c r="E3" i="9"/>
  <c r="Q3" i="9" s="1"/>
  <c r="Z105" i="12"/>
  <c r="Z111" i="12"/>
  <c r="H19" i="6"/>
  <c r="F4" i="12" s="1"/>
  <c r="F15" i="12" s="1"/>
  <c r="L46" i="12"/>
  <c r="M71" i="12"/>
  <c r="D26" i="12"/>
  <c r="B26" i="12" s="1"/>
  <c r="N15" i="12"/>
  <c r="D25" i="12"/>
  <c r="B25" i="12" s="1"/>
  <c r="L15" i="12"/>
  <c r="D62" i="12"/>
  <c r="C62" i="12" s="1"/>
  <c r="O62" i="12" s="1"/>
  <c r="R4" i="12"/>
  <c r="T4" i="12"/>
  <c r="T15" i="12" s="1"/>
  <c r="H11" i="6"/>
  <c r="J4" i="12" s="1"/>
  <c r="J15" i="12" s="1"/>
  <c r="D54" i="12"/>
  <c r="C54" i="12" s="1"/>
  <c r="O54" i="12" s="1"/>
  <c r="C136" i="12"/>
  <c r="H16" i="6"/>
  <c r="H4" i="12" s="1"/>
  <c r="P4" i="12"/>
  <c r="P15" i="12" s="1"/>
  <c r="D56" i="12"/>
  <c r="C56" i="12" s="1"/>
  <c r="O56" i="12" s="1"/>
  <c r="D65" i="12"/>
  <c r="C65" i="12" s="1"/>
  <c r="O65" i="12" s="1"/>
  <c r="H4" i="6"/>
  <c r="D4" i="12" s="1"/>
  <c r="D15" i="12" s="1"/>
  <c r="F30" i="12"/>
  <c r="M23" i="5"/>
  <c r="O23" i="5" s="1"/>
  <c r="P23" i="5" s="1"/>
  <c r="G143" i="12"/>
  <c r="E35" i="12"/>
  <c r="E44" i="12" s="1"/>
  <c r="H30" i="12"/>
  <c r="H35" i="12"/>
  <c r="H44" i="12" s="1"/>
  <c r="N30" i="12"/>
  <c r="G36" i="12"/>
  <c r="L30" i="12"/>
  <c r="G35" i="12"/>
  <c r="G42" i="12"/>
  <c r="E71" i="12" l="1"/>
  <c r="J23" i="12"/>
  <c r="B7" i="12"/>
  <c r="Z140" i="12"/>
  <c r="D22" i="12"/>
  <c r="B22" i="12" s="1"/>
  <c r="D59" i="12"/>
  <c r="C59" i="12" s="1"/>
  <c r="O59" i="12" s="1"/>
  <c r="F71" i="12"/>
  <c r="E46" i="12"/>
  <c r="I71" i="12"/>
  <c r="H46" i="12"/>
  <c r="C39" i="12"/>
  <c r="B39" i="12" s="1"/>
  <c r="C40" i="12"/>
  <c r="B40" i="12" s="1"/>
  <c r="D23" i="12"/>
  <c r="H15" i="12"/>
  <c r="D28" i="12"/>
  <c r="B28" i="12" s="1"/>
  <c r="R15" i="12"/>
  <c r="C140" i="12"/>
  <c r="D29" i="12"/>
  <c r="B29" i="12" s="1"/>
  <c r="D24" i="12"/>
  <c r="B24" i="12" s="1"/>
  <c r="D27" i="12"/>
  <c r="B27" i="12" s="1"/>
  <c r="H3" i="6"/>
  <c r="D21" i="12"/>
  <c r="B21" i="12" s="1"/>
  <c r="B4" i="12"/>
  <c r="B15" i="12" s="1"/>
  <c r="G44" i="12"/>
  <c r="F37" i="12" l="1"/>
  <c r="F44" i="12" s="1"/>
  <c r="J30" i="12"/>
  <c r="B23" i="12"/>
  <c r="B82" i="12"/>
  <c r="P82" i="12" s="1"/>
  <c r="B126" i="12"/>
  <c r="AA126" i="12" s="1"/>
  <c r="B119" i="12"/>
  <c r="D68" i="12"/>
  <c r="C36" i="12"/>
  <c r="B36" i="12" s="1"/>
  <c r="B127" i="12"/>
  <c r="P127" i="12" s="1"/>
  <c r="B139" i="12"/>
  <c r="B81" i="12"/>
  <c r="B103" i="12"/>
  <c r="P103" i="12" s="1"/>
  <c r="B133" i="12"/>
  <c r="B106" i="12"/>
  <c r="P106" i="12" s="1"/>
  <c r="B105" i="12"/>
  <c r="P105" i="12" s="1"/>
  <c r="B108" i="12"/>
  <c r="P108" i="12" s="1"/>
  <c r="B84" i="12"/>
  <c r="P84" i="12" s="1"/>
  <c r="B86" i="12"/>
  <c r="P86" i="12" s="1"/>
  <c r="B98" i="12"/>
  <c r="P98" i="12" s="1"/>
  <c r="B129" i="12"/>
  <c r="P129" i="12" s="1"/>
  <c r="B93" i="12"/>
  <c r="B88" i="12"/>
  <c r="B117" i="12"/>
  <c r="B87" i="12"/>
  <c r="P87" i="12" s="1"/>
  <c r="B79" i="12"/>
  <c r="B100" i="12"/>
  <c r="P100" i="12" s="1"/>
  <c r="B91" i="12"/>
  <c r="P91" i="12" s="1"/>
  <c r="B109" i="12"/>
  <c r="P109" i="12" s="1"/>
  <c r="B99" i="12"/>
  <c r="P99" i="12" s="1"/>
  <c r="B112" i="12"/>
  <c r="P112" i="12" s="1"/>
  <c r="B77" i="12"/>
  <c r="B90" i="12"/>
  <c r="P90" i="12" s="1"/>
  <c r="B89" i="12"/>
  <c r="P89" i="12" s="1"/>
  <c r="B101" i="12"/>
  <c r="P101" i="12" s="1"/>
  <c r="B132" i="12"/>
  <c r="B104" i="12"/>
  <c r="P104" i="12" s="1"/>
  <c r="B78" i="12"/>
  <c r="B107" i="12"/>
  <c r="P107" i="12" s="1"/>
  <c r="B131" i="12"/>
  <c r="B116" i="12"/>
  <c r="P116" i="12" s="1"/>
  <c r="B130" i="12"/>
  <c r="B94" i="12"/>
  <c r="B113" i="12"/>
  <c r="P113" i="12" s="1"/>
  <c r="B102" i="12"/>
  <c r="P102" i="12" s="1"/>
  <c r="B115" i="12"/>
  <c r="P115" i="12" s="1"/>
  <c r="B80" i="12"/>
  <c r="P80" i="12" s="1"/>
  <c r="B128" i="12"/>
  <c r="P128" i="12" s="1"/>
  <c r="B92" i="12"/>
  <c r="B134" i="12"/>
  <c r="B111" i="12"/>
  <c r="P111" i="12" s="1"/>
  <c r="B120" i="12"/>
  <c r="B97" i="12"/>
  <c r="P97" i="12" s="1"/>
  <c r="B118" i="12"/>
  <c r="B83" i="12"/>
  <c r="B95" i="12"/>
  <c r="B125" i="12"/>
  <c r="B121" i="12"/>
  <c r="B138" i="12"/>
  <c r="B85" i="12"/>
  <c r="P85" i="12" s="1"/>
  <c r="B114" i="12"/>
  <c r="P114" i="12" s="1"/>
  <c r="B123" i="12"/>
  <c r="P123" i="12" s="1"/>
  <c r="B137" i="12"/>
  <c r="B135" i="12"/>
  <c r="B96" i="12"/>
  <c r="B110" i="12"/>
  <c r="P110" i="12" s="1"/>
  <c r="B122" i="12"/>
  <c r="B124" i="12"/>
  <c r="O136" i="12"/>
  <c r="H71" i="12"/>
  <c r="G46" i="12"/>
  <c r="C68" i="12"/>
  <c r="C37" i="12"/>
  <c r="O68" i="12"/>
  <c r="C41" i="12"/>
  <c r="B41" i="12" s="1"/>
  <c r="C42" i="12"/>
  <c r="B42" i="12" s="1"/>
  <c r="C43" i="12"/>
  <c r="B43" i="12" s="1"/>
  <c r="C38" i="12"/>
  <c r="B38" i="12" s="1"/>
  <c r="C35" i="12"/>
  <c r="B35" i="12" s="1"/>
  <c r="D30" i="12"/>
  <c r="B37" i="12" l="1"/>
  <c r="B44" i="12" s="1"/>
  <c r="G71" i="12"/>
  <c r="F46" i="12"/>
  <c r="M21" i="5"/>
  <c r="M31" i="5" s="1"/>
  <c r="M33" i="5" s="1"/>
  <c r="M37" i="5" s="1"/>
  <c r="O71" i="12" s="1"/>
  <c r="P96" i="12"/>
  <c r="AA96" i="12"/>
  <c r="P125" i="12"/>
  <c r="AA125" i="12"/>
  <c r="P92" i="12"/>
  <c r="AA92" i="12"/>
  <c r="P118" i="12"/>
  <c r="AA118" i="12"/>
  <c r="P78" i="12"/>
  <c r="AA78" i="12" s="1"/>
  <c r="P93" i="12"/>
  <c r="AA93" i="12"/>
  <c r="P133" i="12"/>
  <c r="AA133" i="12"/>
  <c r="P122" i="12"/>
  <c r="AA122" i="12"/>
  <c r="P137" i="12"/>
  <c r="AA137" i="12"/>
  <c r="P138" i="12"/>
  <c r="AA138" i="12"/>
  <c r="P83" i="12"/>
  <c r="AA83" i="12"/>
  <c r="P94" i="12"/>
  <c r="AA94" i="12"/>
  <c r="P88" i="12"/>
  <c r="AA88" i="12"/>
  <c r="P139" i="12"/>
  <c r="AA139" i="12"/>
  <c r="AA123" i="12"/>
  <c r="P121" i="12"/>
  <c r="AA121" i="12"/>
  <c r="P134" i="12"/>
  <c r="AA134" i="12"/>
  <c r="P130" i="12"/>
  <c r="AA130" i="12"/>
  <c r="P79" i="12"/>
  <c r="AA79" i="12" s="1"/>
  <c r="P124" i="12"/>
  <c r="AA124" i="12"/>
  <c r="P135" i="12"/>
  <c r="AA135" i="12"/>
  <c r="P95" i="12"/>
  <c r="AA95" i="12"/>
  <c r="P120" i="12"/>
  <c r="AA120" i="12"/>
  <c r="P131" i="12"/>
  <c r="AA131" i="12"/>
  <c r="P132" i="12"/>
  <c r="AA132" i="12"/>
  <c r="P77" i="12"/>
  <c r="AA77" i="12" s="1"/>
  <c r="AA91" i="12"/>
  <c r="P117" i="12"/>
  <c r="AA117" i="12"/>
  <c r="P81" i="12"/>
  <c r="AA81" i="12"/>
  <c r="P126" i="12"/>
  <c r="P119" i="12"/>
  <c r="O21" i="5"/>
  <c r="P21" i="5" s="1"/>
  <c r="C143" i="12"/>
  <c r="B143" i="12" s="1"/>
  <c r="B136" i="12"/>
  <c r="P136" i="12" s="1"/>
  <c r="B30" i="12"/>
  <c r="C44" i="12"/>
  <c r="O31" i="5" l="1"/>
  <c r="O33" i="5" s="1"/>
  <c r="AA136" i="12"/>
  <c r="C46" i="12"/>
  <c r="B46" i="12" s="1"/>
  <c r="D71" i="12"/>
  <c r="C71" i="12" s="1"/>
  <c r="P31" i="5" l="1"/>
  <c r="P35" i="5"/>
  <c r="P33" i="5"/>
  <c r="O37" i="5" l="1"/>
  <c r="P37" i="5" s="1"/>
  <c r="O140" i="12"/>
  <c r="B76" i="12"/>
  <c r="B140" i="12" l="1"/>
  <c r="P76" i="12"/>
  <c r="P140" i="12" s="1"/>
  <c r="P143" i="12" s="1"/>
  <c r="J3" i="6"/>
  <c r="AA76" i="12" l="1"/>
  <c r="AA140" i="12" s="1"/>
  <c r="S576" i="6"/>
  <c r="S27" i="6"/>
  <c r="V483" i="6"/>
  <c r="V576" i="6"/>
  <c r="S483" i="6"/>
  <c r="Y576" i="6" l="1"/>
  <c r="W576" i="6"/>
  <c r="Y483" i="6" l="1"/>
  <c r="W483" i="6"/>
</calcChain>
</file>

<file path=xl/comments1.xml><?xml version="1.0" encoding="utf-8"?>
<comments xmlns="http://schemas.openxmlformats.org/spreadsheetml/2006/main">
  <authors>
    <author>jharrington</author>
    <author>Kip Anderson</author>
  </authors>
  <commentList>
    <comment ref="J15" authorId="0" shapeId="0">
      <text>
        <r>
          <rPr>
            <b/>
            <sz val="9"/>
            <color indexed="81"/>
            <rFont val="Tahoma"/>
            <family val="2"/>
          </rPr>
          <t>jharrington:</t>
        </r>
        <r>
          <rPr>
            <sz val="9"/>
            <color indexed="81"/>
            <rFont val="Tahoma"/>
            <family val="2"/>
          </rPr>
          <t xml:space="preserve">
An anomaly that can be ignored for budget purposes - </t>
        </r>
      </text>
    </comment>
    <comment ref="D17" authorId="0" shapeId="0">
      <text>
        <r>
          <rPr>
            <b/>
            <sz val="9"/>
            <color indexed="81"/>
            <rFont val="Tahoma"/>
            <family val="2"/>
          </rPr>
          <t>jharrington:</t>
        </r>
        <r>
          <rPr>
            <sz val="9"/>
            <color indexed="81"/>
            <rFont val="Tahoma"/>
            <family val="2"/>
          </rPr>
          <t xml:space="preserve">
Restricted program interest earned</t>
        </r>
      </text>
    </comment>
    <comment ref="H33" authorId="0" shapeId="0">
      <text>
        <r>
          <rPr>
            <b/>
            <sz val="9"/>
            <color indexed="81"/>
            <rFont val="Tahoma"/>
            <family val="2"/>
          </rPr>
          <t>jharrington:</t>
        </r>
        <r>
          <rPr>
            <sz val="9"/>
            <color indexed="81"/>
            <rFont val="Tahoma"/>
            <family val="2"/>
          </rPr>
          <t xml:space="preserve">
Not included in budget for FY 13</t>
        </r>
      </text>
    </comment>
    <comment ref="H37" authorId="0" shapeId="0">
      <text>
        <r>
          <rPr>
            <b/>
            <sz val="9"/>
            <color indexed="81"/>
            <rFont val="Tahoma"/>
            <family val="2"/>
          </rPr>
          <t>jharrington:</t>
        </r>
        <r>
          <rPr>
            <sz val="9"/>
            <color indexed="81"/>
            <rFont val="Tahoma"/>
            <family val="2"/>
          </rPr>
          <t xml:space="preserve">
Change in net position from combined financials + non-cash (depreciation, bad debt, etc.)</t>
        </r>
      </text>
    </comment>
    <comment ref="I37" authorId="0" shapeId="0">
      <text>
        <r>
          <rPr>
            <b/>
            <sz val="9"/>
            <color indexed="81"/>
            <rFont val="Tahoma"/>
            <family val="2"/>
          </rPr>
          <t>jharrington:</t>
        </r>
        <r>
          <rPr>
            <sz val="9"/>
            <color indexed="81"/>
            <rFont val="Tahoma"/>
            <family val="2"/>
          </rPr>
          <t xml:space="preserve">
Change in net position from combined financials + non-cash (depreciation, bad debt, etc.)</t>
        </r>
      </text>
    </comment>
    <comment ref="J37" authorId="0" shapeId="0">
      <text>
        <r>
          <rPr>
            <b/>
            <sz val="9"/>
            <color indexed="81"/>
            <rFont val="Tahoma"/>
            <family val="2"/>
          </rPr>
          <t>jharrington:</t>
        </r>
        <r>
          <rPr>
            <sz val="9"/>
            <color indexed="81"/>
            <rFont val="Tahoma"/>
            <family val="2"/>
          </rPr>
          <t xml:space="preserve">
Change in net position from combined financials + non-cash (depreciation, bad debt, etc.)</t>
        </r>
      </text>
    </comment>
    <comment ref="K37" authorId="0" shapeId="0">
      <text>
        <r>
          <rPr>
            <b/>
            <sz val="9"/>
            <color indexed="81"/>
            <rFont val="Tahoma"/>
            <family val="2"/>
          </rPr>
          <t>jharrington:</t>
        </r>
        <r>
          <rPr>
            <sz val="9"/>
            <color indexed="81"/>
            <rFont val="Tahoma"/>
            <family val="2"/>
          </rPr>
          <t xml:space="preserve">
CASH RECEIVED</t>
        </r>
      </text>
    </comment>
    <comment ref="G41" authorId="0" shapeId="0">
      <text>
        <r>
          <rPr>
            <b/>
            <sz val="9"/>
            <color indexed="81"/>
            <rFont val="Tahoma"/>
            <family val="2"/>
          </rPr>
          <t>jharrington:</t>
        </r>
        <r>
          <rPr>
            <sz val="9"/>
            <color indexed="81"/>
            <rFont val="Tahoma"/>
            <family val="2"/>
          </rPr>
          <t xml:space="preserve">
Includes Carryover admin for:
2011  $ 35,981.00
2012     16,088.04
2013         657.20
See Winona's email from 03/09/16 for details.</t>
        </r>
      </text>
    </comment>
    <comment ref="H44" authorId="0" shapeId="0">
      <text>
        <r>
          <rPr>
            <b/>
            <sz val="9"/>
            <color indexed="81"/>
            <rFont val="Tahoma"/>
            <family val="2"/>
          </rPr>
          <t>jharrington:</t>
        </r>
        <r>
          <rPr>
            <sz val="9"/>
            <color indexed="81"/>
            <rFont val="Tahoma"/>
            <family val="2"/>
          </rPr>
          <t xml:space="preserve">
03/2013 - 06/2013</t>
        </r>
      </text>
    </comment>
    <comment ref="H46" authorId="0" shapeId="0">
      <text>
        <r>
          <rPr>
            <b/>
            <sz val="9"/>
            <color indexed="81"/>
            <rFont val="Tahoma"/>
            <family val="2"/>
          </rPr>
          <t>jharrington:</t>
        </r>
        <r>
          <rPr>
            <sz val="9"/>
            <color indexed="81"/>
            <rFont val="Tahoma"/>
            <family val="2"/>
          </rPr>
          <t xml:space="preserve">
03/2013 - 06/2013</t>
        </r>
      </text>
    </comment>
    <comment ref="G58" authorId="0" shapeId="0">
      <text>
        <r>
          <rPr>
            <b/>
            <sz val="9"/>
            <color indexed="81"/>
            <rFont val="Tahoma"/>
            <family val="2"/>
          </rPr>
          <t>jharrington:</t>
        </r>
        <r>
          <rPr>
            <sz val="9"/>
            <color indexed="81"/>
            <rFont val="Tahoma"/>
            <family val="2"/>
          </rPr>
          <t xml:space="preserve">
There is a volume cap limit each year.  That number x 5% is the maximum of all the tax credit award fees plus any exceptions/special allocations granted by the state.</t>
        </r>
      </text>
    </comment>
    <comment ref="B59" authorId="1" shapeId="0">
      <text>
        <r>
          <rPr>
            <b/>
            <sz val="9"/>
            <color indexed="81"/>
            <rFont val="Tahoma"/>
            <family val="2"/>
          </rPr>
          <t>Kip Anderson:</t>
        </r>
        <r>
          <rPr>
            <sz val="9"/>
            <color indexed="81"/>
            <rFont val="Tahoma"/>
            <family val="2"/>
          </rPr>
          <t xml:space="preserve">
9%</t>
        </r>
      </text>
    </comment>
    <comment ref="B60" authorId="1" shapeId="0">
      <text>
        <r>
          <rPr>
            <b/>
            <sz val="9"/>
            <color indexed="81"/>
            <rFont val="Tahoma"/>
            <family val="2"/>
          </rPr>
          <t>Kip Anderson:</t>
        </r>
        <r>
          <rPr>
            <sz val="9"/>
            <color indexed="81"/>
            <rFont val="Tahoma"/>
            <family val="2"/>
          </rPr>
          <t xml:space="preserve">
4%</t>
        </r>
      </text>
    </comment>
    <comment ref="B62" authorId="1" shapeId="0">
      <text>
        <r>
          <rPr>
            <b/>
            <sz val="9"/>
            <color indexed="81"/>
            <rFont val="Tahoma"/>
            <family val="2"/>
          </rPr>
          <t>Kip Anderson:</t>
        </r>
        <r>
          <rPr>
            <sz val="9"/>
            <color indexed="81"/>
            <rFont val="Tahoma"/>
            <family val="2"/>
          </rPr>
          <t xml:space="preserve">
9%</t>
        </r>
      </text>
    </comment>
    <comment ref="B63" authorId="1" shapeId="0">
      <text>
        <r>
          <rPr>
            <b/>
            <sz val="9"/>
            <color indexed="81"/>
            <rFont val="Tahoma"/>
            <family val="2"/>
          </rPr>
          <t>Kip Anderson:</t>
        </r>
        <r>
          <rPr>
            <sz val="9"/>
            <color indexed="81"/>
            <rFont val="Tahoma"/>
            <family val="2"/>
          </rPr>
          <t xml:space="preserve">
4%</t>
        </r>
      </text>
    </comment>
    <comment ref="B65" authorId="1" shapeId="0">
      <text>
        <r>
          <rPr>
            <b/>
            <sz val="9"/>
            <color indexed="81"/>
            <rFont val="Tahoma"/>
            <family val="2"/>
          </rPr>
          <t>Kip Anderson:</t>
        </r>
        <r>
          <rPr>
            <sz val="9"/>
            <color indexed="81"/>
            <rFont val="Tahoma"/>
            <family val="2"/>
          </rPr>
          <t xml:space="preserve">
9%</t>
        </r>
      </text>
    </comment>
    <comment ref="B66" authorId="1" shapeId="0">
      <text>
        <r>
          <rPr>
            <b/>
            <sz val="9"/>
            <color indexed="81"/>
            <rFont val="Tahoma"/>
            <family val="2"/>
          </rPr>
          <t>Kip Anderson:</t>
        </r>
        <r>
          <rPr>
            <sz val="9"/>
            <color indexed="81"/>
            <rFont val="Tahoma"/>
            <family val="2"/>
          </rPr>
          <t xml:space="preserve">
4%</t>
        </r>
      </text>
    </comment>
    <comment ref="B68" authorId="1" shapeId="0">
      <text>
        <r>
          <rPr>
            <b/>
            <sz val="9"/>
            <color indexed="81"/>
            <rFont val="Tahoma"/>
            <family val="2"/>
          </rPr>
          <t>Kip Anderson:</t>
        </r>
        <r>
          <rPr>
            <sz val="9"/>
            <color indexed="81"/>
            <rFont val="Tahoma"/>
            <family val="2"/>
          </rPr>
          <t xml:space="preserve">
9%</t>
        </r>
      </text>
    </comment>
    <comment ref="B69" authorId="1" shapeId="0">
      <text>
        <r>
          <rPr>
            <b/>
            <sz val="9"/>
            <color indexed="81"/>
            <rFont val="Tahoma"/>
            <family val="2"/>
          </rPr>
          <t>Kip Anderson:</t>
        </r>
        <r>
          <rPr>
            <sz val="9"/>
            <color indexed="81"/>
            <rFont val="Tahoma"/>
            <family val="2"/>
          </rPr>
          <t xml:space="preserve">
4%</t>
        </r>
      </text>
    </comment>
    <comment ref="A73" authorId="1" shapeId="0">
      <text>
        <r>
          <rPr>
            <b/>
            <sz val="9"/>
            <color indexed="81"/>
            <rFont val="Tahoma"/>
            <family val="2"/>
          </rPr>
          <t>Kip Anderson:</t>
        </r>
        <r>
          <rPr>
            <sz val="9"/>
            <color indexed="81"/>
            <rFont val="Tahoma"/>
            <family val="2"/>
          </rPr>
          <t xml:space="preserve">
Is this where reprocessing goes?</t>
        </r>
      </text>
    </comment>
    <comment ref="G90" authorId="1" shapeId="0">
      <text>
        <r>
          <rPr>
            <b/>
            <sz val="9"/>
            <color indexed="81"/>
            <rFont val="Tahoma"/>
            <family val="2"/>
          </rPr>
          <t>Kip Anderson:</t>
        </r>
        <r>
          <rPr>
            <sz val="9"/>
            <color indexed="81"/>
            <rFont val="Tahoma"/>
            <family val="2"/>
          </rPr>
          <t xml:space="preserve">
67.267 for admin and 457,684 for T&amp;TA</t>
        </r>
      </text>
    </comment>
    <comment ref="G91" authorId="0" shapeId="0">
      <text>
        <r>
          <rPr>
            <b/>
            <sz val="9"/>
            <color indexed="81"/>
            <rFont val="Tahoma"/>
            <family val="2"/>
          </rPr>
          <t>jharrington:</t>
        </r>
        <r>
          <rPr>
            <sz val="9"/>
            <color indexed="81"/>
            <rFont val="Tahoma"/>
            <family val="2"/>
          </rPr>
          <t xml:space="preserve">
Less the amount of Chris Dunn's contract.</t>
        </r>
      </text>
    </comment>
    <comment ref="M91" authorId="0" shapeId="0">
      <text>
        <r>
          <rPr>
            <b/>
            <sz val="9"/>
            <color indexed="81"/>
            <rFont val="Tahoma"/>
            <family val="2"/>
          </rPr>
          <t>jharrington:</t>
        </r>
        <r>
          <rPr>
            <sz val="9"/>
            <color indexed="81"/>
            <rFont val="Tahoma"/>
            <family val="2"/>
          </rPr>
          <t xml:space="preserve">
Reduce by at least $ 18,400</t>
        </r>
      </text>
    </comment>
    <comment ref="Y108" authorId="0" shapeId="0">
      <text>
        <r>
          <rPr>
            <b/>
            <sz val="9"/>
            <color indexed="81"/>
            <rFont val="Tahoma"/>
            <family val="2"/>
          </rPr>
          <t>jharrington:</t>
        </r>
        <r>
          <rPr>
            <sz val="9"/>
            <color indexed="81"/>
            <rFont val="Tahoma"/>
            <family val="2"/>
          </rPr>
          <t xml:space="preserve">
Dependent upon the award of a new grant.</t>
        </r>
      </text>
    </comment>
    <comment ref="A111" authorId="0" shapeId="0">
      <text>
        <r>
          <rPr>
            <b/>
            <sz val="9"/>
            <color indexed="81"/>
            <rFont val="Tahoma"/>
            <family val="2"/>
          </rPr>
          <t>jharrington:</t>
        </r>
        <r>
          <rPr>
            <sz val="9"/>
            <color indexed="81"/>
            <rFont val="Tahoma"/>
            <family val="2"/>
          </rPr>
          <t xml:space="preserve">
Asst Rate</t>
        </r>
      </text>
    </comment>
    <comment ref="A112" authorId="0" shapeId="0">
      <text>
        <r>
          <rPr>
            <b/>
            <sz val="9"/>
            <color indexed="81"/>
            <rFont val="Tahoma"/>
            <family val="2"/>
          </rPr>
          <t>jharrington:</t>
        </r>
        <r>
          <rPr>
            <sz val="9"/>
            <color indexed="81"/>
            <rFont val="Tahoma"/>
            <family val="2"/>
          </rPr>
          <t xml:space="preserve">
CDBG</t>
        </r>
      </text>
    </comment>
    <comment ref="A113" authorId="0" shapeId="0">
      <text>
        <r>
          <rPr>
            <b/>
            <sz val="9"/>
            <color indexed="81"/>
            <rFont val="Tahoma"/>
            <family val="2"/>
          </rPr>
          <t>jharrington:</t>
        </r>
        <r>
          <rPr>
            <sz val="9"/>
            <color indexed="81"/>
            <rFont val="Tahoma"/>
            <family val="2"/>
          </rPr>
          <t xml:space="preserve">
HOME</t>
        </r>
      </text>
    </comment>
    <comment ref="A114" authorId="0" shapeId="0">
      <text>
        <r>
          <rPr>
            <b/>
            <sz val="9"/>
            <color indexed="81"/>
            <rFont val="Tahoma"/>
            <family val="2"/>
          </rPr>
          <t>jharrington:</t>
        </r>
        <r>
          <rPr>
            <sz val="9"/>
            <color indexed="81"/>
            <rFont val="Tahoma"/>
            <family val="2"/>
          </rPr>
          <t xml:space="preserve">
Special Pool</t>
        </r>
      </text>
    </comment>
    <comment ref="A115" authorId="0" shapeId="0">
      <text>
        <r>
          <rPr>
            <b/>
            <sz val="9"/>
            <color indexed="81"/>
            <rFont val="Tahoma"/>
            <family val="2"/>
          </rPr>
          <t>jharrington:</t>
        </r>
        <r>
          <rPr>
            <sz val="9"/>
            <color indexed="81"/>
            <rFont val="Tahoma"/>
            <family val="2"/>
          </rPr>
          <t xml:space="preserve">
Low Rate</t>
        </r>
      </text>
    </comment>
    <comment ref="H121" authorId="0" shapeId="0">
      <text>
        <r>
          <rPr>
            <b/>
            <sz val="9"/>
            <color indexed="81"/>
            <rFont val="Tahoma"/>
            <family val="2"/>
          </rPr>
          <t>jharrington:</t>
        </r>
        <r>
          <rPr>
            <sz val="9"/>
            <color indexed="81"/>
            <rFont val="Tahoma"/>
            <family val="2"/>
          </rPr>
          <t xml:space="preserve">
SF 98A, SF 12A, 202</t>
        </r>
      </text>
    </comment>
    <comment ref="I121" authorId="0" shapeId="0">
      <text>
        <r>
          <rPr>
            <b/>
            <sz val="9"/>
            <color indexed="81"/>
            <rFont val="Tahoma"/>
            <family val="2"/>
          </rPr>
          <t>jharrington:</t>
        </r>
        <r>
          <rPr>
            <sz val="9"/>
            <color indexed="81"/>
            <rFont val="Tahoma"/>
            <family val="2"/>
          </rPr>
          <t xml:space="preserve">
SF 12A, SF 13A</t>
        </r>
      </text>
    </comment>
    <comment ref="J121" authorId="0" shapeId="0">
      <text>
        <r>
          <rPr>
            <b/>
            <sz val="9"/>
            <color indexed="81"/>
            <rFont val="Tahoma"/>
            <family val="2"/>
          </rPr>
          <t>jharrington:</t>
        </r>
        <r>
          <rPr>
            <sz val="9"/>
            <color indexed="81"/>
            <rFont val="Tahoma"/>
            <family val="2"/>
          </rPr>
          <t xml:space="preserve">
SF 06A, SF 06B, SF 06C, SF 06D, SF 08B</t>
        </r>
      </text>
    </comment>
    <comment ref="J135" authorId="0" shapeId="0">
      <text>
        <r>
          <rPr>
            <b/>
            <sz val="9"/>
            <color indexed="81"/>
            <rFont val="Tahoma"/>
            <family val="2"/>
          </rPr>
          <t>jharrington:</t>
        </r>
        <r>
          <rPr>
            <sz val="9"/>
            <color indexed="81"/>
            <rFont val="Tahoma"/>
            <family val="2"/>
          </rPr>
          <t xml:space="preserve">
Was part of the Big CEA until separated in FY 2016</t>
        </r>
      </text>
    </comment>
    <comment ref="G136" authorId="0" shapeId="0">
      <text>
        <r>
          <rPr>
            <b/>
            <sz val="9"/>
            <color indexed="81"/>
            <rFont val="Tahoma"/>
            <family val="2"/>
          </rPr>
          <t>jharrington:</t>
        </r>
        <r>
          <rPr>
            <sz val="9"/>
            <color indexed="81"/>
            <rFont val="Tahoma"/>
            <family val="2"/>
          </rPr>
          <t xml:space="preserve">
CEA shows $ 3,373,488.00
less BC Cont  (2,204,783.00)
plus BC unexp    120,590.62
plus FY 13-16     197,207.69
                    --------------------
                   $ 1,486,503.31</t>
        </r>
      </text>
    </comment>
    <comment ref="F137" authorId="0" shapeId="0">
      <text>
        <r>
          <rPr>
            <b/>
            <sz val="9"/>
            <color indexed="81"/>
            <rFont val="Tahoma"/>
            <family val="2"/>
          </rPr>
          <t>jharrington:</t>
        </r>
        <r>
          <rPr>
            <sz val="9"/>
            <color indexed="81"/>
            <rFont val="Tahoma"/>
            <family val="2"/>
          </rPr>
          <t xml:space="preserve">
Debra says $ has to be expended 04/2017</t>
        </r>
      </text>
    </comment>
    <comment ref="G137" authorId="0" shapeId="0">
      <text>
        <r>
          <rPr>
            <b/>
            <sz val="9"/>
            <color indexed="81"/>
            <rFont val="Tahoma"/>
            <family val="2"/>
          </rPr>
          <t>jharrington:</t>
        </r>
        <r>
          <rPr>
            <sz val="9"/>
            <color indexed="81"/>
            <rFont val="Tahoma"/>
            <family val="2"/>
          </rPr>
          <t xml:space="preserve">
CEA does not show any money for admin????</t>
        </r>
      </text>
    </comment>
  </commentList>
</comments>
</file>

<file path=xl/comments2.xml><?xml version="1.0" encoding="utf-8"?>
<comments xmlns="http://schemas.openxmlformats.org/spreadsheetml/2006/main">
  <authors>
    <author>afulton</author>
  </authors>
  <commentList>
    <comment ref="I25" authorId="0" shapeId="0">
      <text>
        <r>
          <rPr>
            <b/>
            <sz val="10"/>
            <color indexed="81"/>
            <rFont val="Tahoma"/>
            <family val="2"/>
          </rPr>
          <t>$5.7M drawn in first 5 months of bond project</t>
        </r>
      </text>
    </comment>
    <comment ref="E26" authorId="0" shapeId="0">
      <text>
        <r>
          <rPr>
            <b/>
            <sz val="9"/>
            <color indexed="81"/>
            <rFont val="Tahoma"/>
            <family val="2"/>
          </rPr>
          <t xml:space="preserve">Due FY 2015 </t>
        </r>
      </text>
    </comment>
    <comment ref="D27" authorId="0" shapeId="0">
      <text>
        <r>
          <rPr>
            <b/>
            <sz val="9"/>
            <color indexed="81"/>
            <rFont val="Tahoma"/>
            <family val="2"/>
          </rPr>
          <t xml:space="preserve">Due FY 2014 </t>
        </r>
      </text>
    </comment>
    <comment ref="E27" authorId="0" shapeId="0">
      <text>
        <r>
          <rPr>
            <b/>
            <sz val="9"/>
            <color indexed="81"/>
            <rFont val="Tahoma"/>
            <family val="2"/>
          </rPr>
          <t xml:space="preserve">Due FY 2015 </t>
        </r>
      </text>
    </comment>
    <comment ref="E36" authorId="0" shapeId="0">
      <text>
        <r>
          <rPr>
            <b/>
            <sz val="9"/>
            <color indexed="81"/>
            <rFont val="Tahoma"/>
            <family val="2"/>
          </rPr>
          <t xml:space="preserve">Due FY 2015 </t>
        </r>
      </text>
    </comment>
    <comment ref="B38" authorId="0" shapeId="0">
      <text>
        <r>
          <rPr>
            <b/>
            <sz val="8"/>
            <color indexed="81"/>
            <rFont val="Tahoma"/>
            <family val="2"/>
          </rPr>
          <t>afulton:</t>
        </r>
        <r>
          <rPr>
            <sz val="8"/>
            <color indexed="81"/>
            <rFont val="Tahoma"/>
            <family val="2"/>
          </rPr>
          <t xml:space="preserve">
Balance for FY11
</t>
        </r>
      </text>
    </comment>
    <comment ref="B46" authorId="0" shapeId="0">
      <text>
        <r>
          <rPr>
            <b/>
            <sz val="10"/>
            <color indexed="81"/>
            <rFont val="Tahoma"/>
            <family val="2"/>
          </rPr>
          <t>afulton:</t>
        </r>
        <r>
          <rPr>
            <sz val="10"/>
            <color indexed="81"/>
            <rFont val="Tahoma"/>
            <family val="2"/>
          </rPr>
          <t xml:space="preserve">
3   6-month payments
</t>
        </r>
      </text>
    </comment>
    <comment ref="E48" authorId="0" shapeId="0">
      <text>
        <r>
          <rPr>
            <b/>
            <sz val="9"/>
            <color indexed="81"/>
            <rFont val="Tahoma"/>
            <family val="2"/>
          </rPr>
          <t xml:space="preserve">Due FY 2015 </t>
        </r>
      </text>
    </comment>
    <comment ref="E49" authorId="0" shapeId="0">
      <text>
        <r>
          <rPr>
            <b/>
            <sz val="9"/>
            <color indexed="81"/>
            <rFont val="Tahoma"/>
            <family val="2"/>
          </rPr>
          <t xml:space="preserve">Due FY 2015 </t>
        </r>
      </text>
    </comment>
    <comment ref="E50" authorId="0" shapeId="0">
      <text>
        <r>
          <rPr>
            <b/>
            <sz val="9"/>
            <color indexed="81"/>
            <rFont val="Tahoma"/>
            <family val="2"/>
          </rPr>
          <t xml:space="preserve">Due FY 2015 </t>
        </r>
      </text>
    </comment>
  </commentList>
</comments>
</file>

<file path=xl/comments3.xml><?xml version="1.0" encoding="utf-8"?>
<comments xmlns="http://schemas.openxmlformats.org/spreadsheetml/2006/main">
  <authors>
    <author>jharrington</author>
  </authors>
  <commentList>
    <comment ref="H10" authorId="0" shapeId="0">
      <text>
        <r>
          <rPr>
            <b/>
            <sz val="8"/>
            <color indexed="81"/>
            <rFont val="Tahoma"/>
            <family val="2"/>
          </rPr>
          <t>jharrington:</t>
        </r>
        <r>
          <rPr>
            <sz val="8"/>
            <color indexed="81"/>
            <rFont val="Tahoma"/>
            <family val="2"/>
          </rPr>
          <t xml:space="preserve">
Where does this need to go?</t>
        </r>
      </text>
    </comment>
    <comment ref="C318" authorId="0" shapeId="0">
      <text>
        <r>
          <rPr>
            <b/>
            <sz val="9"/>
            <color indexed="81"/>
            <rFont val="Tahoma"/>
            <family val="2"/>
          </rPr>
          <t>jharrington:</t>
        </r>
        <r>
          <rPr>
            <sz val="9"/>
            <color indexed="81"/>
            <rFont val="Tahoma"/>
            <family val="2"/>
          </rPr>
          <t xml:space="preserve">
What is the intent concerning this employee?</t>
        </r>
      </text>
    </comment>
    <comment ref="C319" authorId="0" shapeId="0">
      <text>
        <r>
          <rPr>
            <b/>
            <sz val="9"/>
            <color indexed="81"/>
            <rFont val="Tahoma"/>
            <family val="2"/>
          </rPr>
          <t>jharrington:</t>
        </r>
        <r>
          <rPr>
            <sz val="9"/>
            <color indexed="81"/>
            <rFont val="Tahoma"/>
            <family val="2"/>
          </rPr>
          <t xml:space="preserve">
What is the intent concerning this employee?</t>
        </r>
      </text>
    </comment>
    <comment ref="C320" authorId="0" shapeId="0">
      <text>
        <r>
          <rPr>
            <b/>
            <sz val="9"/>
            <color indexed="81"/>
            <rFont val="Tahoma"/>
            <family val="2"/>
          </rPr>
          <t>jharrington:</t>
        </r>
        <r>
          <rPr>
            <sz val="9"/>
            <color indexed="81"/>
            <rFont val="Tahoma"/>
            <family val="2"/>
          </rPr>
          <t xml:space="preserve">
What is the intent concerning this employee?</t>
        </r>
      </text>
    </comment>
    <comment ref="C321" authorId="0" shapeId="0">
      <text>
        <r>
          <rPr>
            <b/>
            <sz val="9"/>
            <color indexed="81"/>
            <rFont val="Tahoma"/>
            <family val="2"/>
          </rPr>
          <t>jharrington:</t>
        </r>
        <r>
          <rPr>
            <sz val="9"/>
            <color indexed="81"/>
            <rFont val="Tahoma"/>
            <family val="2"/>
          </rPr>
          <t xml:space="preserve">
What is the intent concerning this employee?</t>
        </r>
      </text>
    </comment>
    <comment ref="E395" authorId="0" shapeId="0">
      <text>
        <r>
          <rPr>
            <b/>
            <sz val="9"/>
            <color indexed="81"/>
            <rFont val="Tahoma"/>
            <family val="2"/>
          </rPr>
          <t>jharrington:</t>
        </r>
        <r>
          <rPr>
            <sz val="9"/>
            <color indexed="81"/>
            <rFont val="Tahoma"/>
            <family val="2"/>
          </rPr>
          <t xml:space="preserve">
Request to invoke series</t>
        </r>
      </text>
    </comment>
    <comment ref="E400" authorId="0" shapeId="0">
      <text>
        <r>
          <rPr>
            <b/>
            <sz val="9"/>
            <color indexed="81"/>
            <rFont val="Tahoma"/>
            <family val="2"/>
          </rPr>
          <t>jharrington:</t>
        </r>
        <r>
          <rPr>
            <sz val="9"/>
            <color indexed="81"/>
            <rFont val="Tahoma"/>
            <family val="2"/>
          </rPr>
          <t xml:space="preserve">
Share duties between current staff.</t>
        </r>
      </text>
    </comment>
    <comment ref="E407" authorId="0" shapeId="0">
      <text>
        <r>
          <rPr>
            <b/>
            <sz val="9"/>
            <color indexed="81"/>
            <rFont val="Tahoma"/>
            <family val="2"/>
          </rPr>
          <t>jharrington:</t>
        </r>
        <r>
          <rPr>
            <sz val="9"/>
            <color indexed="81"/>
            <rFont val="Tahoma"/>
            <family val="2"/>
          </rPr>
          <t xml:space="preserve">
Construction Analyst Job appointment for Compliance - Disaster Recovery Case mgt????</t>
        </r>
      </text>
    </comment>
  </commentList>
</comments>
</file>

<file path=xl/comments4.xml><?xml version="1.0" encoding="utf-8"?>
<comments xmlns="http://schemas.openxmlformats.org/spreadsheetml/2006/main">
  <authors>
    <author>jharrington</author>
  </authors>
  <commentList>
    <comment ref="D113" authorId="0" shapeId="0">
      <text>
        <r>
          <rPr>
            <b/>
            <sz val="9"/>
            <color indexed="81"/>
            <rFont val="Tahoma"/>
            <charset val="1"/>
          </rPr>
          <t>jharrington:</t>
        </r>
        <r>
          <rPr>
            <sz val="9"/>
            <color indexed="81"/>
            <rFont val="Tahoma"/>
            <charset val="1"/>
          </rPr>
          <t xml:space="preserve">
Katrina/Rita</t>
        </r>
      </text>
    </comment>
    <comment ref="D114" authorId="0" shapeId="0">
      <text>
        <r>
          <rPr>
            <b/>
            <sz val="9"/>
            <color indexed="81"/>
            <rFont val="Tahoma"/>
            <charset val="1"/>
          </rPr>
          <t>jharrington:</t>
        </r>
        <r>
          <rPr>
            <sz val="9"/>
            <color indexed="81"/>
            <rFont val="Tahoma"/>
            <charset val="1"/>
          </rPr>
          <t xml:space="preserve">
Gustav/Ike</t>
        </r>
      </text>
    </comment>
    <comment ref="B173" authorId="0" shapeId="0">
      <text>
        <r>
          <rPr>
            <b/>
            <sz val="9"/>
            <color indexed="81"/>
            <rFont val="Tahoma"/>
            <family val="2"/>
          </rPr>
          <t>jharrington:</t>
        </r>
        <r>
          <rPr>
            <sz val="9"/>
            <color indexed="81"/>
            <rFont val="Tahoma"/>
            <family val="2"/>
          </rPr>
          <t xml:space="preserve">
Certification program (move to Operating Services)</t>
        </r>
      </text>
    </comment>
  </commentList>
</comments>
</file>

<file path=xl/comments5.xml><?xml version="1.0" encoding="utf-8"?>
<comments xmlns="http://schemas.openxmlformats.org/spreadsheetml/2006/main">
  <authors>
    <author>Kip Anderson</author>
  </authors>
  <commentList>
    <comment ref="L30" authorId="0" shapeId="0">
      <text>
        <r>
          <rPr>
            <b/>
            <sz val="9"/>
            <color indexed="81"/>
            <rFont val="Tahoma"/>
            <family val="2"/>
          </rPr>
          <t>Kip Anderson:</t>
        </r>
        <r>
          <rPr>
            <sz val="9"/>
            <color indexed="81"/>
            <rFont val="Tahoma"/>
            <family val="2"/>
          </rPr>
          <t xml:space="preserve">
49860 contract for Quail
25440 contract for Industriplex</t>
        </r>
      </text>
    </comment>
    <comment ref="O36" authorId="0" shapeId="0">
      <text>
        <r>
          <rPr>
            <b/>
            <sz val="9"/>
            <color indexed="81"/>
            <rFont val="Tahoma"/>
            <family val="2"/>
          </rPr>
          <t>Kip Anderson:</t>
        </r>
        <r>
          <rPr>
            <sz val="9"/>
            <color indexed="81"/>
            <rFont val="Tahoma"/>
            <family val="2"/>
          </rPr>
          <t xml:space="preserve">
Total utilities budget of 145K, 2015 actuals 140K.</t>
        </r>
      </text>
    </comment>
  </commentList>
</comments>
</file>

<file path=xl/comments6.xml><?xml version="1.0" encoding="utf-8"?>
<comments xmlns="http://schemas.openxmlformats.org/spreadsheetml/2006/main">
  <authors>
    <author>jharrington</author>
  </authors>
  <commentList>
    <comment ref="K33" authorId="0" shapeId="0">
      <text>
        <r>
          <rPr>
            <b/>
            <sz val="9"/>
            <color indexed="81"/>
            <rFont val="Tahoma"/>
            <family val="2"/>
          </rPr>
          <t>jharrington:</t>
        </r>
        <r>
          <rPr>
            <sz val="9"/>
            <color indexed="81"/>
            <rFont val="Tahoma"/>
            <family val="2"/>
          </rPr>
          <t xml:space="preserve">
Purchase Order</t>
        </r>
      </text>
    </comment>
    <comment ref="M34" authorId="0" shapeId="0">
      <text>
        <r>
          <rPr>
            <b/>
            <sz val="9"/>
            <color indexed="81"/>
            <rFont val="Tahoma"/>
            <family val="2"/>
          </rPr>
          <t>jharrington:</t>
        </r>
        <r>
          <rPr>
            <sz val="9"/>
            <color indexed="81"/>
            <rFont val="Tahoma"/>
            <family val="2"/>
          </rPr>
          <t xml:space="preserve">
Subject to the board's wishes concerning the current website</t>
        </r>
      </text>
    </comment>
    <comment ref="N43" authorId="0" shapeId="0">
      <text>
        <r>
          <rPr>
            <b/>
            <sz val="9"/>
            <color indexed="81"/>
            <rFont val="Tahoma"/>
            <family val="2"/>
          </rPr>
          <t>jharrington:</t>
        </r>
        <r>
          <rPr>
            <sz val="9"/>
            <color indexed="81"/>
            <rFont val="Tahoma"/>
            <family val="2"/>
          </rPr>
          <t xml:space="preserve">
Subject to the board's wishes for TV advertising</t>
        </r>
      </text>
    </comment>
  </commentList>
</comments>
</file>

<file path=xl/comments7.xml><?xml version="1.0" encoding="utf-8"?>
<comments xmlns="http://schemas.openxmlformats.org/spreadsheetml/2006/main">
  <authors>
    <author>Kip Anderson</author>
  </authors>
  <commentList>
    <comment ref="J179" authorId="0" shapeId="0">
      <text>
        <r>
          <rPr>
            <b/>
            <sz val="9"/>
            <color indexed="81"/>
            <rFont val="Tahoma"/>
            <family val="2"/>
          </rPr>
          <t>Kip Anderson:
The contract is expiring 6/30/2016.  1,500/month estimate.</t>
        </r>
      </text>
    </comment>
    <comment ref="J181" authorId="0" shapeId="0">
      <text>
        <r>
          <rPr>
            <b/>
            <sz val="9"/>
            <color indexed="81"/>
            <rFont val="Tahoma"/>
            <family val="2"/>
          </rPr>
          <t>Kip Anderson:</t>
        </r>
        <r>
          <rPr>
            <sz val="9"/>
            <color indexed="81"/>
            <rFont val="Tahoma"/>
            <family val="2"/>
          </rPr>
          <t xml:space="preserve">
20,000 combined for auto maint</t>
        </r>
      </text>
    </comment>
    <comment ref="I182" authorId="0" shapeId="0">
      <text>
        <r>
          <rPr>
            <b/>
            <sz val="9"/>
            <color indexed="81"/>
            <rFont val="Tahoma"/>
            <family val="2"/>
          </rPr>
          <t>Kip Anderson:</t>
        </r>
        <r>
          <rPr>
            <sz val="9"/>
            <color indexed="81"/>
            <rFont val="Tahoma"/>
            <family val="2"/>
          </rPr>
          <t xml:space="preserve">
20,000 combined for auto maint</t>
        </r>
      </text>
    </comment>
    <comment ref="J183" authorId="0" shapeId="0">
      <text>
        <r>
          <rPr>
            <b/>
            <sz val="9"/>
            <color indexed="81"/>
            <rFont val="Tahoma"/>
            <family val="2"/>
          </rPr>
          <t>Kip Anderson:</t>
        </r>
        <r>
          <rPr>
            <sz val="9"/>
            <color indexed="81"/>
            <rFont val="Tahoma"/>
            <family val="2"/>
          </rPr>
          <t xml:space="preserve">
Misc Maintenance</t>
        </r>
      </text>
    </comment>
    <comment ref="J185" authorId="0" shapeId="0">
      <text>
        <r>
          <rPr>
            <b/>
            <sz val="9"/>
            <color indexed="81"/>
            <rFont val="Tahoma"/>
            <family val="2"/>
          </rPr>
          <t>Kip Anderson:</t>
        </r>
        <r>
          <rPr>
            <sz val="9"/>
            <color indexed="81"/>
            <rFont val="Tahoma"/>
            <family val="2"/>
          </rPr>
          <t xml:space="preserve">
Inspection stickers</t>
        </r>
      </text>
    </comment>
  </commentList>
</comments>
</file>

<file path=xl/comments8.xml><?xml version="1.0" encoding="utf-8"?>
<comments xmlns="http://schemas.openxmlformats.org/spreadsheetml/2006/main">
  <authors>
    <author>jharrington</author>
  </authors>
  <commentList>
    <comment ref="N30" authorId="0" shapeId="0">
      <text>
        <r>
          <rPr>
            <b/>
            <sz val="9"/>
            <color indexed="81"/>
            <rFont val="Tahoma"/>
            <family val="2"/>
          </rPr>
          <t>jharrington:</t>
        </r>
        <r>
          <rPr>
            <sz val="9"/>
            <color indexed="81"/>
            <rFont val="Tahoma"/>
            <family val="2"/>
          </rPr>
          <t xml:space="preserve">
Program Expense</t>
        </r>
      </text>
    </comment>
    <comment ref="D32" authorId="0" shapeId="0">
      <text>
        <r>
          <rPr>
            <b/>
            <sz val="9"/>
            <color indexed="81"/>
            <rFont val="Tahoma"/>
            <family val="2"/>
          </rPr>
          <t>jharrington:</t>
        </r>
        <r>
          <rPr>
            <sz val="9"/>
            <color indexed="81"/>
            <rFont val="Tahoma"/>
            <family val="2"/>
          </rPr>
          <t xml:space="preserve">
To replace:
2008 Chevy Van w/88,855 miles &amp; 2008 Dodge Wagon w/113,448 miles</t>
        </r>
      </text>
    </comment>
  </commentList>
</comments>
</file>

<file path=xl/sharedStrings.xml><?xml version="1.0" encoding="utf-8"?>
<sst xmlns="http://schemas.openxmlformats.org/spreadsheetml/2006/main" count="10420" uniqueCount="1602">
  <si>
    <t>Budget</t>
  </si>
  <si>
    <t>Projected Benefit / Accomplishment</t>
  </si>
  <si>
    <t>Comments/Remarks</t>
  </si>
  <si>
    <t>Dues &amp; Subscriptions</t>
  </si>
  <si>
    <t>Postage</t>
  </si>
  <si>
    <t>VACANT</t>
  </si>
  <si>
    <t>Classified</t>
  </si>
  <si>
    <t>Account</t>
  </si>
  <si>
    <t>Description</t>
  </si>
  <si>
    <t>Existing Contract  (Y/N)</t>
  </si>
  <si>
    <t>Incumbent Address</t>
  </si>
  <si>
    <t>Contract Start Date</t>
  </si>
  <si>
    <t>Contract End Date</t>
  </si>
  <si>
    <t>Contract Value</t>
  </si>
  <si>
    <t>Expenditures to date</t>
  </si>
  <si>
    <t>Funding Sources</t>
  </si>
  <si>
    <t>Yes</t>
  </si>
  <si>
    <t>No</t>
  </si>
  <si>
    <t>Changes</t>
  </si>
  <si>
    <t>Qty</t>
  </si>
  <si>
    <t>Base Rate</t>
  </si>
  <si>
    <t>Estimate</t>
  </si>
  <si>
    <t>Grand Total</t>
  </si>
  <si>
    <t>Total Estimate</t>
  </si>
  <si>
    <t>Unit</t>
  </si>
  <si>
    <t>Funding</t>
  </si>
  <si>
    <t>Source</t>
  </si>
  <si>
    <t>Board of Directors</t>
  </si>
  <si>
    <t>Accounting/Budget/Finance</t>
  </si>
  <si>
    <t>Executive Staff</t>
  </si>
  <si>
    <t>Legal Council</t>
  </si>
  <si>
    <t>Internal Audit</t>
  </si>
  <si>
    <t>Communications/Public Affairs</t>
  </si>
  <si>
    <t>Performance-Based S8 Contract Administration Program</t>
  </si>
  <si>
    <t>Single Family Production (part of Rental Production)</t>
  </si>
  <si>
    <t>Policy &amp; Reporting</t>
  </si>
  <si>
    <t>Information Technology</t>
  </si>
  <si>
    <t>Energy Assistance Programs</t>
  </si>
  <si>
    <t>Louisiana Housing Authority</t>
  </si>
  <si>
    <t>Rental Production (includes Single Family Production)</t>
  </si>
  <si>
    <t>Compliance/Construction Monitoring</t>
  </si>
  <si>
    <t>Desk Monitoring</t>
  </si>
  <si>
    <t>000</t>
  </si>
  <si>
    <t>005</t>
  </si>
  <si>
    <t>010</t>
  </si>
  <si>
    <t>015</t>
  </si>
  <si>
    <t>030</t>
  </si>
  <si>
    <t>035</t>
  </si>
  <si>
    <t>095</t>
  </si>
  <si>
    <t>178</t>
  </si>
  <si>
    <t>110</t>
  </si>
  <si>
    <t>166</t>
  </si>
  <si>
    <t>167</t>
  </si>
  <si>
    <t>168</t>
  </si>
  <si>
    <t>170</t>
  </si>
  <si>
    <t>172</t>
  </si>
  <si>
    <t>174</t>
  </si>
  <si>
    <t>180</t>
  </si>
  <si>
    <t>190</t>
  </si>
  <si>
    <t>195</t>
  </si>
  <si>
    <t>Budget Units</t>
  </si>
  <si>
    <t>Budget No.</t>
  </si>
  <si>
    <t>Admin Exp - Unallocable - General Fund</t>
  </si>
  <si>
    <t>HUD Disposition - Gaslight/Village de Jardin</t>
  </si>
  <si>
    <t>HUD Disposition - Willowbrook</t>
  </si>
  <si>
    <t>LA Hsg Disaster Task Force</t>
  </si>
  <si>
    <t>Pgm Staff Exp - Allocable Paid Time Off</t>
  </si>
  <si>
    <t>025</t>
  </si>
  <si>
    <t>040</t>
  </si>
  <si>
    <t>045</t>
  </si>
  <si>
    <t>050</t>
  </si>
  <si>
    <t>055</t>
  </si>
  <si>
    <t>060</t>
  </si>
  <si>
    <t>065</t>
  </si>
  <si>
    <t>070</t>
  </si>
  <si>
    <t>075</t>
  </si>
  <si>
    <t>080</t>
  </si>
  <si>
    <t>085</t>
  </si>
  <si>
    <t>090</t>
  </si>
  <si>
    <t>100</t>
  </si>
  <si>
    <t>105</t>
  </si>
  <si>
    <t>111</t>
  </si>
  <si>
    <t>112</t>
  </si>
  <si>
    <t>113</t>
  </si>
  <si>
    <t>116</t>
  </si>
  <si>
    <t>118</t>
  </si>
  <si>
    <t>119</t>
  </si>
  <si>
    <t>120</t>
  </si>
  <si>
    <t>121</t>
  </si>
  <si>
    <t>122</t>
  </si>
  <si>
    <t>123</t>
  </si>
  <si>
    <t>124</t>
  </si>
  <si>
    <t>125</t>
  </si>
  <si>
    <t>126</t>
  </si>
  <si>
    <t>130</t>
  </si>
  <si>
    <t>135</t>
  </si>
  <si>
    <t>152</t>
  </si>
  <si>
    <t>154</t>
  </si>
  <si>
    <t>155</t>
  </si>
  <si>
    <t>156</t>
  </si>
  <si>
    <t>158</t>
  </si>
  <si>
    <t>160</t>
  </si>
  <si>
    <t>165</t>
  </si>
  <si>
    <t>175</t>
  </si>
  <si>
    <t>176</t>
  </si>
  <si>
    <t>177</t>
  </si>
  <si>
    <t>179</t>
  </si>
  <si>
    <t>200</t>
  </si>
  <si>
    <t>205</t>
  </si>
  <si>
    <t>243</t>
  </si>
  <si>
    <t>Funding Code</t>
  </si>
  <si>
    <t>144</t>
  </si>
  <si>
    <t>146</t>
  </si>
  <si>
    <t>148</t>
  </si>
  <si>
    <t>HOME Pgm</t>
  </si>
  <si>
    <t>LA Housing Trust Fund</t>
  </si>
  <si>
    <t>LIHEAP</t>
  </si>
  <si>
    <t>LIHTC</t>
  </si>
  <si>
    <t>ARRA TCAP</t>
  </si>
  <si>
    <t>ARRA TCEX</t>
  </si>
  <si>
    <t>M2M</t>
  </si>
  <si>
    <t>Mortgage Revenue Bonds</t>
  </si>
  <si>
    <t>Nat'l Foreclosure Mitigation Counseling</t>
  </si>
  <si>
    <t>Neighborhood Stabilization Program</t>
  </si>
  <si>
    <t>Kat/Rita NRPP Rd 1 &amp; Rd 3 (formerly ALL NRPP)</t>
  </si>
  <si>
    <t>Kat/Rita Small Rental Property Pgm</t>
  </si>
  <si>
    <t>Risk Sharing Program</t>
  </si>
  <si>
    <t>Performance-Based S8 Contract Administration</t>
  </si>
  <si>
    <t>Project-Based Section 8 Voucher Pgm</t>
  </si>
  <si>
    <t>Section 811 Supportive Hsg Pgm</t>
  </si>
  <si>
    <t>Kat/Rita Homelessness Supports &amp; Hsg Pgm</t>
  </si>
  <si>
    <t>Gustav/Ike Parish Alloc Pgm/Homelessness Prevention</t>
  </si>
  <si>
    <t>Gustav/Ike Public/Supportive Housing</t>
  </si>
  <si>
    <t>ESG Shelter Program</t>
  </si>
  <si>
    <t>Gustav/Ike Parish Alloc Hsg Pgms</t>
  </si>
  <si>
    <t>Gustav/Ike State Affordable Rental Pgm</t>
  </si>
  <si>
    <t>Gustav/Ike Parish Affordable Rental Pgm</t>
  </si>
  <si>
    <t>Gustav/Ike Piggyback Pgm</t>
  </si>
  <si>
    <t>Katr/Rita Supportive Hsg Svcs Pgm</t>
  </si>
  <si>
    <t>Katr/Rita LIHTC Piggyback Pgm</t>
  </si>
  <si>
    <t>HOME Tenant-Based Rental Assistance Pgm</t>
  </si>
  <si>
    <t>Petroleum Violation Funds</t>
  </si>
  <si>
    <t>ARRA Weatherization</t>
  </si>
  <si>
    <t>Weatherization</t>
  </si>
  <si>
    <t>Kat/Rita STARS Contam Drywall Project Delivery</t>
  </si>
  <si>
    <t>Isaac Hazard Mitigation</t>
  </si>
  <si>
    <t>Workforce Development Program</t>
  </si>
  <si>
    <t>Isaac Plaq Homeowner Asst Pgm</t>
  </si>
  <si>
    <t>Mid-City Gardens</t>
  </si>
  <si>
    <t>Isaac St. John Homeowner Rehab Pgm</t>
  </si>
  <si>
    <t>Isaac St. John 1st Time Homebuyer Pgm (formerly Homeowner Asst Pgm)</t>
  </si>
  <si>
    <t>Isaac St. John Demolition &amp; Clearance Pgm</t>
  </si>
  <si>
    <t>Isaac St. John Small Rental Rehab Pgm</t>
  </si>
  <si>
    <t>NSP 3 (Big CEA)</t>
  </si>
  <si>
    <t>Isaac St. John Elevation Pgm</t>
  </si>
  <si>
    <t>Kat/Rita STARS Drywall Admin</t>
  </si>
  <si>
    <t>Kat/Rita Soft Seconds</t>
  </si>
  <si>
    <t>Kat/Rita Hsg Dev Loan Fund</t>
  </si>
  <si>
    <t>Kat/Rita Land Assembly Operations</t>
  </si>
  <si>
    <t>Isaac Homeowner Repair Program</t>
  </si>
  <si>
    <t>Gustav/Ike Soft Seconds</t>
  </si>
  <si>
    <t>CDBG QAP Program Income</t>
  </si>
  <si>
    <t>Kat/Rita NRPP Plaquemines</t>
  </si>
  <si>
    <t>NDRC</t>
  </si>
  <si>
    <t>181</t>
  </si>
  <si>
    <t>182</t>
  </si>
  <si>
    <t>Homebuyer Education (Classes - Gen Fund)</t>
  </si>
  <si>
    <t>Kat/Rita 1st Time Homebuyer Pgm</t>
  </si>
  <si>
    <t>Revenues</t>
  </si>
  <si>
    <t>GL Codes</t>
  </si>
  <si>
    <t>Investment/Interest Income</t>
  </si>
  <si>
    <t>Administrative Fees</t>
  </si>
  <si>
    <t>Issuer Fees - Single Family Bonds</t>
  </si>
  <si>
    <t>Issuer Fees - Multi-Family Bonds</t>
  </si>
  <si>
    <t>Program Income - SF Loans</t>
  </si>
  <si>
    <t>Residual Equity Transfers - Single Family Bond Programs</t>
  </si>
  <si>
    <t>HUD Disposition Program Income</t>
  </si>
  <si>
    <t>Allocation/Award Fees</t>
  </si>
  <si>
    <t>Analysis Fees</t>
  </si>
  <si>
    <t>Application Fees</t>
  </si>
  <si>
    <t>Market Study Fees</t>
  </si>
  <si>
    <t>Placed-in-Service Fees</t>
  </si>
  <si>
    <t>Sub-Layering Fees</t>
  </si>
  <si>
    <t>S8CA - IBPS - Processing Rental Adjustments</t>
  </si>
  <si>
    <t>S8CA - IBPS - Review, Verify &amp; Authorize Monthly Vouchers</t>
  </si>
  <si>
    <t>S8CA - IBPS - Life-Threatening Health &amp; Safety</t>
  </si>
  <si>
    <t>S8CA - IBPS - Non-Life Threatening Health &amp; Safety</t>
  </si>
  <si>
    <t>S8CA - IBPS - Renewals of Expiring Section 8 Contracts</t>
  </si>
  <si>
    <t>S8CA - IBPS - General Reporting Requirements</t>
  </si>
  <si>
    <t>S8CA - IBPS - Management Occupancy Reviews</t>
  </si>
  <si>
    <t>Compliance Fees</t>
  </si>
  <si>
    <t>Program Fees in Lieu of SF Issuer Fees</t>
  </si>
  <si>
    <t>Rental Income</t>
  </si>
  <si>
    <t>Miscellaneous Income</t>
  </si>
  <si>
    <t>4110</t>
  </si>
  <si>
    <t>4120</t>
  </si>
  <si>
    <t>4130</t>
  </si>
  <si>
    <t>4140</t>
  </si>
  <si>
    <t>4150</t>
  </si>
  <si>
    <t>7050</t>
  </si>
  <si>
    <t>4180</t>
  </si>
  <si>
    <t>4170</t>
  </si>
  <si>
    <t>4145</t>
  </si>
  <si>
    <t>4500</t>
  </si>
  <si>
    <t>4190</t>
  </si>
  <si>
    <t>4185</t>
  </si>
  <si>
    <t>4200</t>
  </si>
  <si>
    <t>4305</t>
  </si>
  <si>
    <t>3200</t>
  </si>
  <si>
    <t>4210</t>
  </si>
  <si>
    <t>Allocable - Shared Funding including General Fund</t>
  </si>
  <si>
    <t>--------------------------</t>
  </si>
  <si>
    <t>----------------------</t>
  </si>
  <si>
    <t>Current Employees</t>
  </si>
  <si>
    <t>Anderson, Kip</t>
  </si>
  <si>
    <t>Bell, Tanettra</t>
  </si>
  <si>
    <t>Clark, Kesha</t>
  </si>
  <si>
    <t>Davis, Ingrid</t>
  </si>
  <si>
    <t>Fulton, Anne</t>
  </si>
  <si>
    <t>Harrington, Jatis</t>
  </si>
  <si>
    <t>Mayers, Melissa D.</t>
  </si>
  <si>
    <t>Pool, Shantel R.</t>
  </si>
  <si>
    <t>Roberts, Tracy B.</t>
  </si>
  <si>
    <t>Robinson, Ramona</t>
  </si>
  <si>
    <t>Thompson, Keyonna</t>
  </si>
  <si>
    <t>Xu, Lan</t>
  </si>
  <si>
    <t>Ackoury, Evelyn D.</t>
  </si>
  <si>
    <t>Brooks, Barry</t>
  </si>
  <si>
    <t>Dorsey, Kia M.</t>
  </si>
  <si>
    <t>Thomas, Michelle L</t>
  </si>
  <si>
    <t>Young, Janel</t>
  </si>
  <si>
    <t>Clark, Robert</t>
  </si>
  <si>
    <t>Ampim, John</t>
  </si>
  <si>
    <t>Brown, Rendell R.</t>
  </si>
  <si>
    <t>Denker, Marianne S.</t>
  </si>
  <si>
    <t>Humble, Calvin W.</t>
  </si>
  <si>
    <t>Jackson, Kevin R.</t>
  </si>
  <si>
    <t>McKnight, Herbert</t>
  </si>
  <si>
    <t>Wright, Meshryl C.</t>
  </si>
  <si>
    <t>Bertrand, Sterling</t>
  </si>
  <si>
    <t>Bringier-Harris, Konchetta M.</t>
  </si>
  <si>
    <t>Mack, Nicole T</t>
  </si>
  <si>
    <t>Mathis, Collette</t>
  </si>
  <si>
    <t>Bratkowski, Christine L.</t>
  </si>
  <si>
    <t>Cunningham, Edselle K.</t>
  </si>
  <si>
    <t>Guinn, Jessica A.</t>
  </si>
  <si>
    <t>Strahan, Leslie</t>
  </si>
  <si>
    <t>Gaines, Nykeia B.</t>
  </si>
  <si>
    <t>Perkins, Marva</t>
  </si>
  <si>
    <t>Ringo, Calandra C.</t>
  </si>
  <si>
    <t>Wilson, Juon</t>
  </si>
  <si>
    <t>Harvey, Kevin</t>
  </si>
  <si>
    <t>Tillman, Anita</t>
  </si>
  <si>
    <t>Joseph, Natasha L.</t>
  </si>
  <si>
    <t>Miller, Aiwa C.</t>
  </si>
  <si>
    <t>Mulhearn, Sarah P.</t>
  </si>
  <si>
    <t>Durnin, Joseph</t>
  </si>
  <si>
    <t>Folse, Todd</t>
  </si>
  <si>
    <t>Hevey, Jeffrey</t>
  </si>
  <si>
    <t>Patterson, Ricky A.</t>
  </si>
  <si>
    <t>Saloom, Jessica R</t>
  </si>
  <si>
    <t>Edmonston, Sydney R.</t>
  </si>
  <si>
    <t>Kimbeng, Frankline</t>
  </si>
  <si>
    <t>Milton, Dione</t>
  </si>
  <si>
    <t>Brooks, Mary L.</t>
  </si>
  <si>
    <t>Gibson, Jr., Thomas</t>
  </si>
  <si>
    <t>King, Angela M.</t>
  </si>
  <si>
    <t>McGee, Bridget</t>
  </si>
  <si>
    <t>McQuairter, Carolyn</t>
  </si>
  <si>
    <t>Moore, Melissa C.</t>
  </si>
  <si>
    <t>Pierce, LaTosha</t>
  </si>
  <si>
    <t>Young, James</t>
  </si>
  <si>
    <t>Wallace, Loretta</t>
  </si>
  <si>
    <t>Brass, Agaha Y.</t>
  </si>
  <si>
    <t>Higginbottom, Antrinique</t>
  </si>
  <si>
    <t>Washington, Debra A.</t>
  </si>
  <si>
    <t>Andrews, Rene T</t>
  </si>
  <si>
    <t>Cassigne, Toni M.</t>
  </si>
  <si>
    <t>Connor, Winona M.</t>
  </si>
  <si>
    <t>Daniels, Sabrina</t>
  </si>
  <si>
    <t>Davis, Angela D.</t>
  </si>
  <si>
    <t>Ellis, Loki C.</t>
  </si>
  <si>
    <t>Hampton, Patricia</t>
  </si>
  <si>
    <t xml:space="preserve">Jackson, Chawuna </t>
  </si>
  <si>
    <t>Jackson, Tonika D.</t>
  </si>
  <si>
    <t>Johnson-August, Makeisha</t>
  </si>
  <si>
    <t>Landry, Rene</t>
  </si>
  <si>
    <t>LeBlanc, Aimee M.</t>
  </si>
  <si>
    <t>Myers, Jalynn M.</t>
  </si>
  <si>
    <t>Myers, Kelsi A.</t>
  </si>
  <si>
    <t>Sims, Selena A.</t>
  </si>
  <si>
    <t>Sweazy, Nicole</t>
  </si>
  <si>
    <t>Wesley, Jonathan P</t>
  </si>
  <si>
    <t>York, Amy L.</t>
  </si>
  <si>
    <t>Andrews, Sonja M.</t>
  </si>
  <si>
    <t>Antoon, Mary</t>
  </si>
  <si>
    <t>Armstead, Desiree</t>
  </si>
  <si>
    <t>Boudreaux, Mary J.</t>
  </si>
  <si>
    <t>Colomb, Sterling P.</t>
  </si>
  <si>
    <t>Dennis, Jr Lionel</t>
  </si>
  <si>
    <t>Dickey, Janelle D.</t>
  </si>
  <si>
    <t>Evans, Brenda L.</t>
  </si>
  <si>
    <t>Hall, Wendy L.</t>
  </si>
  <si>
    <t>Hamilton, Urshala N.</t>
  </si>
  <si>
    <t>Henderson, Cody W.</t>
  </si>
  <si>
    <t>Johnson, Jr., Alvin</t>
  </si>
  <si>
    <t>Mcclay, Felicia D.</t>
  </si>
  <si>
    <t>McNeese, Robert T.</t>
  </si>
  <si>
    <t>Russell Jr., Louis M.</t>
  </si>
  <si>
    <t>Willman, Marjorianna</t>
  </si>
  <si>
    <t>Womack, Laura A.</t>
  </si>
  <si>
    <t xml:space="preserve">Fields, Sandra </t>
  </si>
  <si>
    <t>Hilton, Victoria R.</t>
  </si>
  <si>
    <t>Hogan, Kelly M.</t>
  </si>
  <si>
    <t>Holmes, Lauren</t>
  </si>
  <si>
    <t>Metoyer, Gabrielle M.</t>
  </si>
  <si>
    <t>Neff, Althea</t>
  </si>
  <si>
    <t>Ogelsby, Collette M.</t>
  </si>
  <si>
    <t>Pearson, Angelica</t>
  </si>
  <si>
    <t>Bergeron, Liza</t>
  </si>
  <si>
    <t>Billingsley, Danae</t>
  </si>
  <si>
    <t>Plain, Jr Willie</t>
  </si>
  <si>
    <t>Rodriquez, Raymond</t>
  </si>
  <si>
    <t>Stoetzner, Barbara</t>
  </si>
  <si>
    <t>Accountant Mgr 1</t>
  </si>
  <si>
    <t>Admin Coordinator 3</t>
  </si>
  <si>
    <t>Accountant 2</t>
  </si>
  <si>
    <t>Accountant Admin 4</t>
  </si>
  <si>
    <t>Accountant 3</t>
  </si>
  <si>
    <t>Accountant 1</t>
  </si>
  <si>
    <t>Admin Prog Spec C</t>
  </si>
  <si>
    <t>Confidential Asst</t>
  </si>
  <si>
    <t>Admin Asst 5</t>
  </si>
  <si>
    <t>UNCL</t>
  </si>
  <si>
    <t>Administrator</t>
  </si>
  <si>
    <t>Exec Mgt Officer 2</t>
  </si>
  <si>
    <t>PS-103</t>
  </si>
  <si>
    <t>Guard</t>
  </si>
  <si>
    <t>IT Appl Project Leader</t>
  </si>
  <si>
    <t>IT Tech Support Spec 1</t>
  </si>
  <si>
    <t>IT Tech Support Spec 3</t>
  </si>
  <si>
    <t>IT Tech Support Supv</t>
  </si>
  <si>
    <t>IT APPL Prog/Analyst 2</t>
  </si>
  <si>
    <t>Auditor 4</t>
  </si>
  <si>
    <t>Auditor Supervisor</t>
  </si>
  <si>
    <t>Auditor 2</t>
  </si>
  <si>
    <t>Audit Director 1</t>
  </si>
  <si>
    <t>STUDENT</t>
  </si>
  <si>
    <t>Attorney 3</t>
  </si>
  <si>
    <t>Executive Counsel</t>
  </si>
  <si>
    <t>Admin Coordinator 1</t>
  </si>
  <si>
    <t>TS-302</t>
  </si>
  <si>
    <t>IT Equipment Operator 2</t>
  </si>
  <si>
    <t>Admin Prog Director 2</t>
  </si>
  <si>
    <t>Hsg Finance Spec 3</t>
  </si>
  <si>
    <t>TS-310</t>
  </si>
  <si>
    <t>IT Geo Sup Analyst</t>
  </si>
  <si>
    <t>Director of Public Affairs</t>
  </si>
  <si>
    <t>Public Info Officer 2</t>
  </si>
  <si>
    <t>Public Information Director</t>
  </si>
  <si>
    <t>Hsg Finance Mgr</t>
  </si>
  <si>
    <t>Hsg Finance Supervisor</t>
  </si>
  <si>
    <t>Hsg Finance Spec 2</t>
  </si>
  <si>
    <t>Compliance Examiner 3</t>
  </si>
  <si>
    <t>Compl Exam Asst Mgr</t>
  </si>
  <si>
    <t>Admin Asst 4</t>
  </si>
  <si>
    <t>Hsg Finance Deputy Admin</t>
  </si>
  <si>
    <t>Env Impact Mgr 1</t>
  </si>
  <si>
    <t>Hsg Finance Mgr 2</t>
  </si>
  <si>
    <t>IT Liaison Officer 2</t>
  </si>
  <si>
    <t>Admin Asst 2</t>
  </si>
  <si>
    <t>Admin Prog Spec B</t>
  </si>
  <si>
    <t>Exec Mgt Officer 1</t>
  </si>
  <si>
    <t>Hsg Finance Admin</t>
  </si>
  <si>
    <t>GL Level</t>
  </si>
  <si>
    <t>Position</t>
  </si>
  <si>
    <t>JUSTIFICATION/NOTABLE Items/Descriptions</t>
  </si>
  <si>
    <t xml:space="preserve">1) </t>
  </si>
  <si>
    <t xml:space="preserve">2) </t>
  </si>
  <si>
    <t>Budget Unit</t>
  </si>
  <si>
    <t>Changes made from Original Request</t>
  </si>
  <si>
    <t>Requested By</t>
  </si>
  <si>
    <t>Date</t>
  </si>
  <si>
    <t>Post-meeting Updated FY 2017 Budget</t>
  </si>
  <si>
    <t>Single Family Programs</t>
  </si>
  <si>
    <t>Single Family Bond Deal Income</t>
  </si>
  <si>
    <t>Multi Family LIHTC Fees, M2M &amp; Risk Sharing</t>
  </si>
  <si>
    <t>Multi Family Issuer Fees and MRB Application Fees</t>
  </si>
  <si>
    <t>LA Housing Authority/Supportive Housing</t>
  </si>
  <si>
    <t>4040*040*090*267</t>
  </si>
  <si>
    <t>4040*040*110*313</t>
  </si>
  <si>
    <t>4040*040*150*273</t>
  </si>
  <si>
    <t>4040*040*000*322</t>
  </si>
  <si>
    <t>4045*005*000*266</t>
  </si>
  <si>
    <t>4045*040*000*322</t>
  </si>
  <si>
    <t>4045*040*090*267</t>
  </si>
  <si>
    <t>4045*040*090*445</t>
  </si>
  <si>
    <t>4045*040*150*273</t>
  </si>
  <si>
    <t>4185*040*110*110</t>
  </si>
  <si>
    <t>4110*040*070*430</t>
  </si>
  <si>
    <t>4150*040*110*000*2012*070</t>
  </si>
  <si>
    <t>4150*040*110*000*2012*075</t>
  </si>
  <si>
    <t>4150*040*110*000*2012*080</t>
  </si>
  <si>
    <t>4150*040*110*000*2012*137</t>
  </si>
  <si>
    <t>4110*040*140*445</t>
  </si>
  <si>
    <t>4180*040*065*000</t>
  </si>
  <si>
    <t>4200*040*025*000</t>
  </si>
  <si>
    <t>3200*000</t>
  </si>
  <si>
    <t>4120*040*045*000</t>
  </si>
  <si>
    <t>4130*040*045*000</t>
  </si>
  <si>
    <t>4140*040*045*000</t>
  </si>
  <si>
    <t>4145*040*045*000</t>
  </si>
  <si>
    <t>4190*040*045*000</t>
  </si>
  <si>
    <t>4210*040*065*000</t>
  </si>
  <si>
    <t>4110*040*180*420</t>
  </si>
  <si>
    <t>4130*040*065*000</t>
  </si>
  <si>
    <t>4140*040*065*000</t>
  </si>
  <si>
    <t>4145*040*065*000</t>
  </si>
  <si>
    <t>4170*040*065*000</t>
  </si>
  <si>
    <t>4150*040*045*000</t>
  </si>
  <si>
    <t>4110*040*040*435</t>
  </si>
  <si>
    <t>4110*040*135*440</t>
  </si>
  <si>
    <t>4305*040*550*135</t>
  </si>
  <si>
    <t>4110*040*025*445</t>
  </si>
  <si>
    <t>4130*040*025*000</t>
  </si>
  <si>
    <t>4140*040*025*000</t>
  </si>
  <si>
    <t>4145*040*025*000</t>
  </si>
  <si>
    <t>4110*040*111*420</t>
  </si>
  <si>
    <t>4110*040*113*420</t>
  </si>
  <si>
    <t>4110*040*148*420</t>
  </si>
  <si>
    <t>4110*040*182*420</t>
  </si>
  <si>
    <t>4110*040*116*445</t>
  </si>
  <si>
    <t>4110*045*100*445</t>
  </si>
  <si>
    <t>4110*045*120*445</t>
  </si>
  <si>
    <t>4110*045*146*420</t>
  </si>
  <si>
    <t>4110*045*105*445</t>
  </si>
  <si>
    <t>4110*040*080*420</t>
  </si>
  <si>
    <t>4500*005</t>
  </si>
  <si>
    <t>EE No.</t>
  </si>
  <si>
    <t>Employee Name</t>
  </si>
  <si>
    <t>CS Level</t>
  </si>
  <si>
    <t>Funding Source</t>
  </si>
  <si>
    <t>Hourly Rate of Pay</t>
  </si>
  <si>
    <t>Position No.</t>
  </si>
  <si>
    <t>Classified or Unclassified</t>
  </si>
  <si>
    <t>New Hire</t>
  </si>
  <si>
    <t>Retirement/Termination</t>
  </si>
  <si>
    <t>Layoff</t>
  </si>
  <si>
    <t>Existing</t>
  </si>
  <si>
    <t>Employment Status</t>
  </si>
  <si>
    <t>Annual Rate of Pay</t>
  </si>
  <si>
    <t>Anticipated Employee Status</t>
  </si>
  <si>
    <t>Classification</t>
  </si>
  <si>
    <t>Unclassified</t>
  </si>
  <si>
    <t>Permanent</t>
  </si>
  <si>
    <t>Job Appointment</t>
  </si>
  <si>
    <t>Probational Appointment</t>
  </si>
  <si>
    <t>Part-time - WAE</t>
  </si>
  <si>
    <t>Student</t>
  </si>
  <si>
    <t>Funded</t>
  </si>
  <si>
    <t>0</t>
  </si>
  <si>
    <t>1</t>
  </si>
  <si>
    <t>Fully  Loaded Salary</t>
  </si>
  <si>
    <t>Contract Type</t>
  </si>
  <si>
    <t>GL Account</t>
  </si>
  <si>
    <t>GL</t>
  </si>
  <si>
    <t>4045</t>
  </si>
  <si>
    <t>4040</t>
  </si>
  <si>
    <t>4160</t>
  </si>
  <si>
    <t>Legal Services</t>
  </si>
  <si>
    <t>Other Professional Services</t>
  </si>
  <si>
    <t>Type of Service</t>
  </si>
  <si>
    <t>Shelter Plus Care Pgm</t>
  </si>
  <si>
    <t>Level of Funding</t>
  </si>
  <si>
    <t>Projected 2016 Expense</t>
  </si>
  <si>
    <t>Other Maintenance Services</t>
  </si>
  <si>
    <t>Travel Start Date</t>
  </si>
  <si>
    <t>Travel End Date</t>
  </si>
  <si>
    <t>Traveler</t>
  </si>
  <si>
    <t>Event Description</t>
  </si>
  <si>
    <t>NCSHA Event  (Y/N)</t>
  </si>
  <si>
    <t>City, State</t>
  </si>
  <si>
    <t>Registration</t>
  </si>
  <si>
    <t>Flight</t>
  </si>
  <si>
    <t>Lodging</t>
  </si>
  <si>
    <t>Parking</t>
  </si>
  <si>
    <t>Mileage</t>
  </si>
  <si>
    <t>Other Expenses</t>
  </si>
  <si>
    <t>Position/Title</t>
  </si>
  <si>
    <t>Type of Appt</t>
  </si>
  <si>
    <t>Other Operating Expenses</t>
  </si>
  <si>
    <t>Office Equipment Maintenance Services</t>
  </si>
  <si>
    <t>Computers &amp; Hardware</t>
  </si>
  <si>
    <t>Software &amp; Licenses</t>
  </si>
  <si>
    <t>Office Equipment &amp; Furniture</t>
  </si>
  <si>
    <t>Printing Services</t>
  </si>
  <si>
    <t>Rental - Office Equipment</t>
  </si>
  <si>
    <t>Cell Phone</t>
  </si>
  <si>
    <t>Conference Calls</t>
  </si>
  <si>
    <t>Insurance</t>
  </si>
  <si>
    <t>State Contract  (Y/N)</t>
  </si>
  <si>
    <t>Start Date</t>
  </si>
  <si>
    <t>End Date</t>
  </si>
  <si>
    <t>PO Est. Value</t>
  </si>
  <si>
    <t>Budget   Fiscal 2017</t>
  </si>
  <si>
    <t>Budget FY 2017</t>
  </si>
  <si>
    <t>Type of Supply/Service</t>
  </si>
  <si>
    <t>Building Bond Interest</t>
  </si>
  <si>
    <t>Vendor/Process for Selection</t>
  </si>
  <si>
    <t>Description/Purpose</t>
  </si>
  <si>
    <t>Incumbent Contractor</t>
  </si>
  <si>
    <t>Administration</t>
  </si>
  <si>
    <t>Board</t>
  </si>
  <si>
    <t>Accounting</t>
  </si>
  <si>
    <t>Asset Management</t>
  </si>
  <si>
    <t>Total FY 2017 Request</t>
  </si>
  <si>
    <t>Legal</t>
  </si>
  <si>
    <t>LHA</t>
  </si>
  <si>
    <t>Executive</t>
  </si>
  <si>
    <t>Housing Production</t>
  </si>
  <si>
    <t>HUMAN RESOURCES</t>
  </si>
  <si>
    <t>Total Human Resource Expense</t>
  </si>
  <si>
    <t>Travel and Training Expenses</t>
  </si>
  <si>
    <t>Operating Income</t>
  </si>
  <si>
    <t>Contractual/Professional Services</t>
  </si>
  <si>
    <t>Single Family Production</t>
  </si>
  <si>
    <t>Rental Production</t>
  </si>
  <si>
    <t>Louisiana Housing Corporation</t>
  </si>
  <si>
    <t>Total Operating Income</t>
  </si>
  <si>
    <t>FY 2015 Budget</t>
  </si>
  <si>
    <t>FY 2015 Actual</t>
  </si>
  <si>
    <t>FY 2016 Budget</t>
  </si>
  <si>
    <t>FY 2016 Projected Actuals</t>
  </si>
  <si>
    <t>FY 2017 Budget Request</t>
  </si>
  <si>
    <t>Operating Expenses</t>
  </si>
  <si>
    <t>Operating Budget - FY 16/17</t>
  </si>
  <si>
    <t>Human Resources</t>
  </si>
  <si>
    <t>Travel &amp; Training</t>
  </si>
  <si>
    <t>Operating Services</t>
  </si>
  <si>
    <t>Building Expenses</t>
  </si>
  <si>
    <t>Supplies</t>
  </si>
  <si>
    <t>Auditing</t>
  </si>
  <si>
    <t>Professional Services</t>
  </si>
  <si>
    <t>Section 8 Contract Administration</t>
  </si>
  <si>
    <t>Compliance Monitoring -LIHTC Recipients</t>
  </si>
  <si>
    <t>Excess Revenues Over Expenses from Operations</t>
  </si>
  <si>
    <t>Capital Expenditures</t>
  </si>
  <si>
    <t>Type of Service/Supplies</t>
  </si>
  <si>
    <t>Electrical - 162</t>
  </si>
  <si>
    <t>Plumbing - 163</t>
  </si>
  <si>
    <t>HVAC - 164</t>
  </si>
  <si>
    <t>Grounds - 165</t>
  </si>
  <si>
    <t>Janitorial Services - 166</t>
  </si>
  <si>
    <t>Janitorial Supplies - 167</t>
  </si>
  <si>
    <t>Exterminating - 168</t>
  </si>
  <si>
    <t>Elevator - 169</t>
  </si>
  <si>
    <t>Fire Safety - 170</t>
  </si>
  <si>
    <t>Appliances - 172</t>
  </si>
  <si>
    <t>Locksmith - 173</t>
  </si>
  <si>
    <t>Water Treatment - 174</t>
  </si>
  <si>
    <t>Lighting - 171</t>
  </si>
  <si>
    <t>Windows &amp; Glass - 175</t>
  </si>
  <si>
    <t>Misc. Contract Labor - 176</t>
  </si>
  <si>
    <t>Misc. Exterior Expense - 177</t>
  </si>
  <si>
    <t>Misc. Interior Expense - 178</t>
  </si>
  <si>
    <t>Carpet &amp; Tile - 179</t>
  </si>
  <si>
    <t>Security - 182</t>
  </si>
  <si>
    <t>Utilities - Water &amp; Sewer - 180</t>
  </si>
  <si>
    <t>Utilities - Electricity - 179</t>
  </si>
  <si>
    <t>Utilities - Waste Removal - 181</t>
  </si>
  <si>
    <t>New</t>
  </si>
  <si>
    <t>1*-****</t>
  </si>
  <si>
    <t>Contract Status</t>
  </si>
  <si>
    <t>Maintenance - Auto</t>
  </si>
  <si>
    <t>Expendable Furniture</t>
  </si>
  <si>
    <t>Office Supplies</t>
  </si>
  <si>
    <t xml:space="preserve">9% Low Income Housing Tax Credits (9% LIHTC)  </t>
  </si>
  <si>
    <t>9% LIHTC</t>
  </si>
  <si>
    <t>The low-income housing tax credit (LIHTC) program, created in 1986 and made permanent in 1993, is an indirect federal subsidy used to finance the construction and rehabilitation of low-income affordable rental housing. Washington lawmakers created this as an incentive for private developers and investors to provide more low-income housing. Without the incentive, affordable rental housing projects do not generate sufficient profit to warrant the investment.   The 70 percent subsidy, or 9 percent tax credit, supports new construction without any additional federal subsidies.</t>
  </si>
  <si>
    <t xml:space="preserve">4% Low Income Housing Tax Credits (4% LIHTC)  </t>
  </si>
  <si>
    <t>4% LIHTC</t>
  </si>
  <si>
    <t>The low-income housing tax credit (LIHTC) program, created in 1986 and made permanent in 1993, is an indirect federal subsidy used to finance the construction and rehabilitation of low-income affordable rental housing. Washington lawmakers created this as an incentive for private developers and investors to provide more low-income housing. Without the incentive, affordable rental housing projects do not generate sufficient profit to warrant the investment. The 30 percent subsidy, which is the 4 percent tax credit, covers new construction that uses additional subsidies or the acquisition cost of existing buildings.</t>
  </si>
  <si>
    <t>Multi-family Mortgage Revenue Bond (MRB)</t>
  </si>
  <si>
    <t>MRB</t>
  </si>
  <si>
    <t xml:space="preserve">LHC is a conduit issuer for State of Louisiana with authority to issue tax-exempt and taxable Multifamily Mortgage Revenue Bonds statewide. The bonds are used to fund loans to for-profit and nonprofit developers for the acquisition and rehabilitation or new construction of affordable rental developments. The Multifamily Bond Program is coupled with the Non-competitive (4%) Housing Tax Credit program when the bonds finance at least 50% of the cost of the land and buildings in the Development. </t>
  </si>
  <si>
    <t xml:space="preserve">HOME Investment Partnerships Program (HOME) </t>
  </si>
  <si>
    <t>HOME</t>
  </si>
  <si>
    <t xml:space="preserve">The HOME Investment Partnerships Program (HOME) provides formula grants to States and localities that communities use - often in partnership with local nonprofit groups - to fund a wide range of activities including building, buying, and/or rehabilitating affordable housing for rent or homeownership or providing direct rental assistance to low-income people. LHC uses all 4 activities available (Rental Production, Homebuyer Production, Homeowner Rehabilitation and Tenant-Based Rental Assistance).  </t>
  </si>
  <si>
    <t>TCAP (Program Income)</t>
  </si>
  <si>
    <t>TCAP</t>
  </si>
  <si>
    <t xml:space="preserve">The Tax Credit Assistance Program (TCAP) provides grant funding for capital investment in Low Income Housing Tax Credit (LIHTC) projects via a formula-based allocation to State housing credit allocation agencies. The housing credit agencies in each State shall distribute these funds competitively and according to their qualified allocation plan. LHC is beginning to receive repayments and can utilize these dollars to hold competitive funding rounds for our 4%'s and bonds to increase production. </t>
  </si>
  <si>
    <t>NSP (Program Income)</t>
  </si>
  <si>
    <t>NSP</t>
  </si>
  <si>
    <t>The Neighborhood Stabilization Program (NSP) was established for the purpose of stabilizing communities that have suffered from foreclosures and abandonment. Through the purchase and redevelopment of foreclosed and abandoned homes and residential properties, the goal of the program is being realized.  LHC is beginning to receive repayments and can utilize these dollars to hold competitive funding rounds for our 4%'s and bonds to increase production.</t>
  </si>
  <si>
    <t>Risk Sharing</t>
  </si>
  <si>
    <t xml:space="preserve">Section 542 (c) enables HUD and state and local housing finance agencies (“HFAs”) such as the LHC to provide risk-sharing arrangements to help those agencies provide greater access to insurance and credit for multifamily loans. The HUD/HFA Risk-Sharing Program provides insurance authority independent of the National Housing Act and the HUD/HFA Risk-Sharing Program also provides full FHA mortgage insurance to enhance LHC bonds to investment grade. Section 542(c) provides credit enhancement for mortgages of multifamily-housing projects whose loans are underwritten, processed, serviced, and disposed of by HFAs. </t>
  </si>
  <si>
    <t>Rental Assistance Demonstration (RAD)</t>
  </si>
  <si>
    <t>RAD</t>
  </si>
  <si>
    <t>Rental Assistance Demonstration (RAD) is a U.S. Department of Housing and Urban Development (HUD) Program for the conversion of public housing units to either Project Based Vouchers (PBV) or Project Based Rental Assistance (PBRA).</t>
  </si>
  <si>
    <t>D-CDBG (Katrina, Rita, Gustav, Ike and Isaac)</t>
  </si>
  <si>
    <t>D-CDBG</t>
  </si>
  <si>
    <t>Disaster CDBG funds allocated to the State of Louisiana. These dollars are used to administer programs and enhance LHC's ability to deliver housing initiatives. Programs include: Soft-seconds, Piggyback, Homeowner Repair, Homeowner Compensation, Affordable Rental (Sustainable), Short-term Rental Assistance, First-time Homebuyer, Non-Profit Rebuilding Pilot Program (Sustainable), Small Rental Property Program (Sustainable), K/R Homelessness Supports and Housing (LHA), K/R Supportive Housing Services (LHA), STARS (K/R) (LHA) and G/I Homeless Prevention (LHA).</t>
  </si>
  <si>
    <t>NRPP-HR</t>
  </si>
  <si>
    <t>LHC Homebuyer Counseling Programs</t>
  </si>
  <si>
    <t>LHCHC</t>
  </si>
  <si>
    <t>The Housing Counseling Department was created to help increase housing sustainability by  increasing the availability of housing counseling services across the State and the number of person receiving these services. The services being provided are as follows: pre-and-post purchase homebuyer education counseling, rental housing counseling, and resolving/preventing mortgage delinquency or default.2</t>
  </si>
  <si>
    <t>Single-Family Loan Programs</t>
  </si>
  <si>
    <t>SF LP</t>
  </si>
  <si>
    <t>Current loan programs: Market Rate GNMA and Government Loan TBA4. NEW PROGRAMS IN 'FY15 INCLUDE LHC PREFERRED CONVENTIONAL AND A NEW 5% DPA TBA.</t>
  </si>
  <si>
    <t>Low-Income Home Energy Assistance Program (LIHEAP)</t>
  </si>
  <si>
    <t xml:space="preserve">The LIHEAP was authorized by the Low-Income Home Energy Act of 1981 (Title XXVI of Public Law 97-35; the Omnibus Budget Reconciliation Act of 1981). As stated in Sec. 2602 (a) the program was authorized to assist low-income households, particularly those with the lowest incomes, that pay a high proportion of household income for home energy, primarily in meeting their immediate home energy needs. </t>
  </si>
  <si>
    <t>Weatherization Assistance Program (WAP)</t>
  </si>
  <si>
    <t>WAP</t>
  </si>
  <si>
    <t xml:space="preserve">The U.S. Department of Energy's (DOE) Weatherization Assistance Program (WAP) was created in 1976 to assist low-income families who lacked resources to invest in energy efficiency. WAP is operated in all 50 states, the District of Columbia, Native American tribes, and U.S. Territories. Funds are used to improve the energy efficiency of low-income homes using the most advanced technologies and testing protocols available in the housing industry. </t>
  </si>
  <si>
    <t>Project Based Contract Administration (PBCA)</t>
  </si>
  <si>
    <t>PBCA</t>
  </si>
  <si>
    <t>The purpose of HUD's PBCA program is to implement the policy of the United States. The ACC is the funding mechanism to support the PHA's public purpose in making assistance payments to Section 8 project owners. The ACC includes Exhibit A, section 4 of which includes a detailed treatment of the Administrative Fee. Section 5, "Performance Requirements Summary" (PRS), includes a table that specifies the Acceptable Quality Level (AQL) for performance of each of the 8 Performance-Based Tasks (PBTs), the Performance-Based Allocation Percentage, the method used to evaluate performance, and the frequency with which HUD will assess and pay the Basic Administrative Fee Earned.</t>
  </si>
  <si>
    <t>Permanent Supportive Housing - Project Based Voucher Program (PBV)</t>
  </si>
  <si>
    <t>PBV</t>
  </si>
  <si>
    <t>Project-based vouchers are a component of agencies housing choice voucher program.  The voucher assistance is attached to specific housing units if the owner agrees to either rehabilitate or construct the units, or the owner agrees to set-aside a portion of the units in an existing development. A PHA enters into an assistance contract with the owner for specified units and for a specified term. The PHA refers families from its waiting list to the project owner to fill vacancies. Because the assistance is tied to the unit, a family who moves from the project-based unit does not have any right to continued housing assistance.</t>
  </si>
  <si>
    <t>Permanent Supportive Housing - Shelter Plus Care         (S + C)</t>
  </si>
  <si>
    <t>S + C</t>
  </si>
  <si>
    <t>The purpose of the program is to provide permanent housing in connection with supportive services to homeless people with disabilities and their families. The primary target populations are homeless people who have: 
• serious mental illness; and/or 
• chronic problems with alcohol, drugs or both; and/or 
• acquired immunodeficiency syndrome (AIDS) or related diseases. 
The program provides rental assistance for a variety of housing choices, accompanied by a range of supportive services funded by other sources.</t>
  </si>
  <si>
    <t>Permanent Supportive Housing - Section 811</t>
  </si>
  <si>
    <t>Perm 811</t>
  </si>
  <si>
    <t>HUD's Section 811 Supportive Housing for Persons with Disabilities Program is a critical program that assists the lowest income people with significant and long-term disabilities to live independently in the community by providing affordable housing linked with voluntary services and supports. The enactment of the Frank Melville Supportive Housing Investment Act of 2010 reformed Section 811, creating the opportunity to systematically develop thousands of new permanent supportive housing units integrated within affordable housing properties every year.</t>
  </si>
  <si>
    <t>Emergency Shelter Grants (ESG)</t>
  </si>
  <si>
    <t>ESG</t>
  </si>
  <si>
    <t>The Emergency Solutions Program is a  federally funded program by HUD, for activities in connection with emergency shelter of homeless people. This funding is awarded to local units of government statewide. The ESG eligible activities are for the emergency shelter  operating costs, and eligible social services expenses, and homelessness prevention and rapid re-housing activities to include short-term and medium-term rental assistance and services to stabilize individuals and households who are homeless or at risk of becoming.  This program generates no program income.</t>
  </si>
  <si>
    <t>Homeless Emergency Solutions Grant (HESG)7</t>
  </si>
  <si>
    <t>HESG</t>
  </si>
  <si>
    <t>This is a onetime allocation of funding for the Emergency Solutions Grants Program, a HUD  funded program.  This funding will be utilized to prevent homelessness and rapidly re-house those who are already experiencing homelessness. The ESG eligible activities  for homelessness prevention and rapid re-housing  activities are short-term and medium-term rental assistance, which includes rental payments and deposits, utility payments and deposits, and services to stabilize individuals and households who are homeless.   This program generates no program income.</t>
  </si>
  <si>
    <t>Total</t>
  </si>
  <si>
    <t>Asset Mgmt</t>
  </si>
  <si>
    <t>Energy</t>
  </si>
  <si>
    <t xml:space="preserve">by Expenditure Type </t>
  </si>
  <si>
    <t>2015-16</t>
  </si>
  <si>
    <t>and Department</t>
  </si>
  <si>
    <t>Payroll &amp; Benefits</t>
  </si>
  <si>
    <t>Contracts/Professional Services</t>
  </si>
  <si>
    <t>Legal - Contracts</t>
  </si>
  <si>
    <t>Auditing Expense</t>
  </si>
  <si>
    <t>Building Expense</t>
  </si>
  <si>
    <t>Payroll &amp;</t>
  </si>
  <si>
    <t>Contracts/</t>
  </si>
  <si>
    <t>Travel &amp;</t>
  </si>
  <si>
    <t>Operating</t>
  </si>
  <si>
    <t>Building</t>
  </si>
  <si>
    <t>Benefits</t>
  </si>
  <si>
    <t>Prof Services</t>
  </si>
  <si>
    <t>Training</t>
  </si>
  <si>
    <t>Services</t>
  </si>
  <si>
    <t>Expense</t>
  </si>
  <si>
    <t>Bond Interest</t>
  </si>
  <si>
    <t xml:space="preserve">Contracts - </t>
  </si>
  <si>
    <t>&amp; Expenditure Type</t>
  </si>
  <si>
    <t>Operating Svcs</t>
  </si>
  <si>
    <t>Bldg Bond Interest</t>
  </si>
  <si>
    <t>by Budget Unit</t>
  </si>
  <si>
    <t>Construction &amp; Compliance Monitoring</t>
  </si>
  <si>
    <t>Energy Assistance</t>
  </si>
  <si>
    <t>Legal Counsel</t>
  </si>
  <si>
    <t>Check total (should be zero)</t>
  </si>
  <si>
    <t>Overhead</t>
  </si>
  <si>
    <t>2016-17 Budget:</t>
  </si>
  <si>
    <t>2016-17</t>
  </si>
  <si>
    <t>Operating Expenses - Auto Fuel</t>
  </si>
  <si>
    <t>Disaster CDBG funds allocated to the State of Louisiana. These dollars are used to administer programs and enhance LHC's ability to deliver housing initiatives. Programs include:  Katrina/Rita NRPP, Katrina/Rita Plaquemines Parish NRPP, and Isaac Homeowner Repair.</t>
  </si>
  <si>
    <t>LHA/Supportive Housing Pgms</t>
  </si>
  <si>
    <t>Compliance Monitoring Fees</t>
  </si>
  <si>
    <t>Multi-Family LIHTC &amp; Risk Sharing Fees</t>
  </si>
  <si>
    <t>Energy Program Administrative Fees</t>
  </si>
  <si>
    <t>4110*040*130*440</t>
  </si>
  <si>
    <t>4160*040*095*445*141</t>
  </si>
  <si>
    <t>4160*040*095*445*142</t>
  </si>
  <si>
    <t>4160*040*095*445*143</t>
  </si>
  <si>
    <t>4160*040*095*445*144</t>
  </si>
  <si>
    <t>4160*040*095*445*145</t>
  </si>
  <si>
    <t>4160*040*095*445*146</t>
  </si>
  <si>
    <t>4110*040*010*420</t>
  </si>
  <si>
    <t>4110*040*178*420</t>
  </si>
  <si>
    <t>4110*040*181*420</t>
  </si>
  <si>
    <t>Compliance Monitoring/Env Reviews</t>
  </si>
  <si>
    <t>Operations Admin/Facilities &amp; Fleet Mgt</t>
  </si>
  <si>
    <t>Operations - Administration/Facilities &amp; Fleet Mgt</t>
  </si>
  <si>
    <t>Compliance/Construction Monitoring/Env Review</t>
  </si>
  <si>
    <t>Location</t>
  </si>
  <si>
    <t>Industriplex - 305</t>
  </si>
  <si>
    <t>Mid-City Gardens - 310</t>
  </si>
  <si>
    <t>Quail Drive - 315</t>
  </si>
  <si>
    <t>Reiger Road - 320</t>
  </si>
  <si>
    <t>Village de Jardin - 325</t>
  </si>
  <si>
    <t>Shared - General Fund</t>
  </si>
  <si>
    <t>Telephone/Internet</t>
  </si>
  <si>
    <t>Sponorships</t>
  </si>
  <si>
    <t>Advertising Services/Public Notices</t>
  </si>
  <si>
    <t>Travel Expenses</t>
  </si>
  <si>
    <t>In-State Meetings &amp; Monitoring</t>
  </si>
  <si>
    <t>In-State Employee Development</t>
  </si>
  <si>
    <t>In-State Travel - NCSHA</t>
  </si>
  <si>
    <t>Out-of-State Meetings</t>
  </si>
  <si>
    <t>Out-of-State Employee Development</t>
  </si>
  <si>
    <t>Out-of-State Travel - NCSHA</t>
  </si>
  <si>
    <t>Professional Expenses</t>
  </si>
  <si>
    <t>Legal Fees</t>
  </si>
  <si>
    <t>Accounting/Auditing Fees</t>
  </si>
  <si>
    <t>Building Codes</t>
  </si>
  <si>
    <t>Building Maintenance</t>
  </si>
  <si>
    <t>Maintenance - Office Equipment</t>
  </si>
  <si>
    <t>Utilities</t>
  </si>
  <si>
    <t>Maintenance Services</t>
  </si>
  <si>
    <t>Advertising</t>
  </si>
  <si>
    <t>Sponsorships</t>
  </si>
  <si>
    <t>Bank Service/Trustee Fees</t>
  </si>
  <si>
    <t>6112 Regular Hours</t>
  </si>
  <si>
    <t>6114 Overtime Hours</t>
  </si>
  <si>
    <t>6116 Termination Pay</t>
  </si>
  <si>
    <t>6142 Medicare</t>
  </si>
  <si>
    <t>6142 Social Security</t>
  </si>
  <si>
    <t>6152 Dental Insurance</t>
  </si>
  <si>
    <t>6152 Life Insurance</t>
  </si>
  <si>
    <t>6152 Health Insurance &amp; HSA Contributions</t>
  </si>
  <si>
    <t>6165 Pension Liability Expense</t>
  </si>
  <si>
    <t>6365 Unemployment Expense</t>
  </si>
  <si>
    <t>RETIREES</t>
  </si>
  <si>
    <t>Disaster Hsg</t>
  </si>
  <si>
    <t>Disaster HSg</t>
  </si>
  <si>
    <t>Supplies Expenses Estimates by Budget Unit, and Funding Source</t>
  </si>
  <si>
    <t>Supplies Codes</t>
  </si>
  <si>
    <t>BUILDING BOND INTEREST</t>
  </si>
  <si>
    <t>Fiscal '13</t>
  </si>
  <si>
    <t>Actuals</t>
  </si>
  <si>
    <t>BUDGET</t>
  </si>
  <si>
    <t>ACTUALS</t>
  </si>
  <si>
    <t>Program</t>
  </si>
  <si>
    <t>Fiscal '14</t>
  </si>
  <si>
    <t>Other Operating Services</t>
  </si>
  <si>
    <t>Fiscal '15</t>
  </si>
  <si>
    <t>Fiscal '16</t>
  </si>
  <si>
    <t>Fiscal '17</t>
  </si>
  <si>
    <t>Interest on Building Bonds</t>
  </si>
  <si>
    <t>Supplies - Food</t>
  </si>
  <si>
    <t>Previous or Current Contract No.</t>
  </si>
  <si>
    <t>Bldg Expense</t>
  </si>
  <si>
    <t>by Summarized Groupings</t>
  </si>
  <si>
    <t>by Funding Source</t>
  </si>
  <si>
    <t>Airhart, Michael L.</t>
  </si>
  <si>
    <t>Board Member</t>
  </si>
  <si>
    <t>Ferdinand, Larry</t>
  </si>
  <si>
    <t>Foster, Mayson</t>
  </si>
  <si>
    <t>Lee, Ellen</t>
  </si>
  <si>
    <t>Ritchie, Matthew</t>
  </si>
  <si>
    <t>Spears, Willie</t>
  </si>
  <si>
    <t>Operations Admin/Facilities/Fleet</t>
  </si>
  <si>
    <t>Disaster/Sustainable Housing</t>
  </si>
  <si>
    <t>Other Professional</t>
  </si>
  <si>
    <t>Accounting/Auditing Services</t>
  </si>
  <si>
    <t>Rental Space/Off-site Storage</t>
  </si>
  <si>
    <t>Continuing Education - Required Certifications/Licenses</t>
  </si>
  <si>
    <t>Performance-Based Sect 8 Contract Administration</t>
  </si>
  <si>
    <t>Energy/S8CA</t>
  </si>
  <si>
    <t>Average Expenses for FY 2012 - 2015</t>
  </si>
  <si>
    <t xml:space="preserve"> </t>
  </si>
  <si>
    <t>Food Supplies</t>
  </si>
  <si>
    <t>Year</t>
  </si>
  <si>
    <t>Expiration</t>
  </si>
  <si>
    <t>Maximum</t>
  </si>
  <si>
    <t>Fee</t>
  </si>
  <si>
    <t>To-Date</t>
  </si>
  <si>
    <t>Balance</t>
  </si>
  <si>
    <t>Available</t>
  </si>
  <si>
    <t>4110*040*085*420</t>
  </si>
  <si>
    <t>N/A</t>
  </si>
  <si>
    <t>7050*040*150*160</t>
  </si>
  <si>
    <t>7050*040*150*165</t>
  </si>
  <si>
    <t>Disaster Housing</t>
  </si>
  <si>
    <t>FY 2013 Budget</t>
  </si>
  <si>
    <t>FY 2013 Actual</t>
  </si>
  <si>
    <t>FY 2014 Budget</t>
  </si>
  <si>
    <t>FY 2014 Actual</t>
  </si>
  <si>
    <t>Average Budget for FY 2012 - 2015</t>
  </si>
  <si>
    <t>Full-Time Employees</t>
  </si>
  <si>
    <t>FY 2013</t>
  </si>
  <si>
    <t>FY 2014</t>
  </si>
  <si>
    <t>FY 2015</t>
  </si>
  <si>
    <t>FY 2016</t>
  </si>
  <si>
    <t>Prior Years</t>
  </si>
  <si>
    <t>Previous Rds</t>
  </si>
  <si>
    <t>Disaster/Sustainable/HRP</t>
  </si>
  <si>
    <t>Chief Fiscal Officer</t>
  </si>
  <si>
    <t>Human Resources Supervisor</t>
  </si>
  <si>
    <t>Human Resources Analyst C</t>
  </si>
  <si>
    <t>Statutory Appointment</t>
  </si>
  <si>
    <t>Moore, Starr</t>
  </si>
  <si>
    <t>Multi-Family Issuer and MRB Fees</t>
  </si>
  <si>
    <t>Energy Programs (LIHEAP, WAP, ARRA WAP)</t>
  </si>
  <si>
    <t>HUD Hsg Counseling Pgm</t>
  </si>
  <si>
    <t>140</t>
  </si>
  <si>
    <t>Fixed Assets - Regular</t>
  </si>
  <si>
    <t>Fixed Assets - Buildings</t>
  </si>
  <si>
    <t>Fixed Assets - Computers</t>
  </si>
  <si>
    <t>Fixed Assets - Vehicles</t>
  </si>
  <si>
    <t>Fixed Assets - Other</t>
  </si>
  <si>
    <t>Fixed Assets - Other - Industriaplex</t>
  </si>
  <si>
    <t>Fixed Assets - Land</t>
  </si>
  <si>
    <t>Fixed Assets - Land Improvements</t>
  </si>
  <si>
    <t>Type of Fixed Asset</t>
  </si>
  <si>
    <t>Account #</t>
  </si>
  <si>
    <t>Cusip #</t>
  </si>
  <si>
    <t xml:space="preserve">Amount </t>
  </si>
  <si>
    <t>Rate</t>
  </si>
  <si>
    <t># of Months</t>
  </si>
  <si>
    <t>Interest</t>
  </si>
  <si>
    <t>2090-010-000-000</t>
  </si>
  <si>
    <t>Total Semi-Annual Interest Due</t>
  </si>
  <si>
    <t>Baton Rouge Inst. Of Intl Auditor (Local Training)</t>
  </si>
  <si>
    <t>Baton Rouge/New Orleans</t>
  </si>
  <si>
    <t>Varies</t>
  </si>
  <si>
    <t>Audit Director</t>
  </si>
  <si>
    <t>One employee per year</t>
  </si>
  <si>
    <t>Institute of Internal Auditors Annual Dues</t>
  </si>
  <si>
    <t>Mail Out Late Letters</t>
  </si>
  <si>
    <t>Surplus Cash Calculation - HOME Notes Billing</t>
  </si>
  <si>
    <t>Darensbourg CPA</t>
  </si>
  <si>
    <t>12-0107</t>
  </si>
  <si>
    <t>State Contract - Office Depot</t>
  </si>
  <si>
    <t>Program Training</t>
  </si>
  <si>
    <t>Lexis Nexus, Baton Rouge Bar, Code of Civil/Civl Code</t>
  </si>
  <si>
    <t>Required-Litigation-$500 Per Attorney-$2,000</t>
  </si>
  <si>
    <t>Office Chair</t>
  </si>
  <si>
    <t>Miscellaneous</t>
  </si>
  <si>
    <t>Computer Screen Cover</t>
  </si>
  <si>
    <t>Advanced Solutions &amp; Developing MS SharePoint Server 2013</t>
  </si>
  <si>
    <t>CXA-206-1 Citrix XenApp 6.5 Administration</t>
  </si>
  <si>
    <t xml:space="preserve">Developing MS SharePoint 2013 &amp; Site Collection and Site Administration </t>
  </si>
  <si>
    <t>Comptia Network + &amp; Comtia Security +</t>
  </si>
  <si>
    <t>6 Laptops for IT stuff to replace Desktop</t>
  </si>
  <si>
    <t>Iron Mountain Tapes Offsite Storage</t>
  </si>
  <si>
    <t>Iron Mountain</t>
  </si>
  <si>
    <t>Maintenance on Laserfiche</t>
  </si>
  <si>
    <t>JPI Data Resource</t>
  </si>
  <si>
    <t>Facility Automation</t>
  </si>
  <si>
    <t>Rental of copiers, printers, etc</t>
  </si>
  <si>
    <t>Gulf Coast Office Products</t>
  </si>
  <si>
    <t xml:space="preserve">BLANKET - Telephone Services </t>
  </si>
  <si>
    <t xml:space="preserve">BLANKET - Cell phone Services </t>
  </si>
  <si>
    <t>AT&amp;T</t>
  </si>
  <si>
    <t xml:space="preserve"> USB Cables etc</t>
  </si>
  <si>
    <t>Best Buy - Store 495</t>
  </si>
  <si>
    <t>Softwares, Licenses etc</t>
  </si>
  <si>
    <t xml:space="preserve">CDWG </t>
  </si>
  <si>
    <t>Server, Desktop, subscription, Software support &amp; Maint.</t>
  </si>
  <si>
    <t>Citrix</t>
  </si>
  <si>
    <t>Dbit upgrade and Maintenance</t>
  </si>
  <si>
    <t>Computer Specialist</t>
  </si>
  <si>
    <t>Business Cable and Internet</t>
  </si>
  <si>
    <t>Cox</t>
  </si>
  <si>
    <t>information Technology</t>
  </si>
  <si>
    <t>Extended Next Day Warranty</t>
  </si>
  <si>
    <t>Dell Extended Warranty Services</t>
  </si>
  <si>
    <t>ArcGis &amp; ArcPad Maint. And Support</t>
  </si>
  <si>
    <t>ESRI</t>
  </si>
  <si>
    <t>Repair Operation Scanner</t>
  </si>
  <si>
    <t>HP Hardware/Software Maintenance Support</t>
  </si>
  <si>
    <t>Hewlett-Packard Company</t>
  </si>
  <si>
    <t>WS_FTP Support &amp; License</t>
  </si>
  <si>
    <t>Lipwitch</t>
  </si>
  <si>
    <t>BMS Software Annual Service And Support Plan</t>
  </si>
  <si>
    <t>LSI</t>
  </si>
  <si>
    <t>Blanket - Telephone System Music &amp; Digital Signage, MSG</t>
  </si>
  <si>
    <t>Metro Communication</t>
  </si>
  <si>
    <t>Switches &amp; Network Cables</t>
  </si>
  <si>
    <t>Office Depot</t>
  </si>
  <si>
    <t>Network, Telephone hardware and software</t>
  </si>
  <si>
    <t>Preferred Telephone Systems</t>
  </si>
  <si>
    <t>Premiere Global Services</t>
  </si>
  <si>
    <t>Blanket- Conference Calls</t>
  </si>
  <si>
    <t>Silver Support &amp; PUP Annual Renewal</t>
  </si>
  <si>
    <t>Sage Software</t>
  </si>
  <si>
    <t>Annual Maintenance DameWare</t>
  </si>
  <si>
    <t>Solar Winds</t>
  </si>
  <si>
    <t>Staples</t>
  </si>
  <si>
    <t>Blanket - SWE Mailbox 4GB</t>
  </si>
  <si>
    <t>State Of LA - OTS</t>
  </si>
  <si>
    <t>SWE MailBox 4GB</t>
  </si>
  <si>
    <t xml:space="preserve">Maintenance </t>
  </si>
  <si>
    <t>Technical Services Group</t>
  </si>
  <si>
    <t>Blanket - Online Apps &amp; Tech Support</t>
  </si>
  <si>
    <t>Technarus</t>
  </si>
  <si>
    <t>Verizon</t>
  </si>
  <si>
    <t>Additional licenses for Yardi</t>
  </si>
  <si>
    <t>Yardi Systems Inc</t>
  </si>
  <si>
    <t>Annual Subscription - Manage Engine</t>
  </si>
  <si>
    <t>ZOHO Corporation</t>
  </si>
  <si>
    <t>Housing Development Software</t>
  </si>
  <si>
    <t>Turn Key Solutions</t>
  </si>
  <si>
    <t>General Supplies</t>
  </si>
  <si>
    <t>Various</t>
  </si>
  <si>
    <t>Routine Statewide monitoring/field travel</t>
  </si>
  <si>
    <t>Statewide</t>
  </si>
  <si>
    <t>Birmingham, Al</t>
  </si>
  <si>
    <t>BOS Blended Occupancy Specialist training</t>
  </si>
  <si>
    <t>Shreveport LA</t>
  </si>
  <si>
    <t>Foundation in Environmental Review</t>
  </si>
  <si>
    <t>DBRA training</t>
  </si>
  <si>
    <t>Safety Emergency Preparedness</t>
  </si>
  <si>
    <t>ICC certification renewal and membership</t>
  </si>
  <si>
    <t>International Code Council</t>
  </si>
  <si>
    <t>900 Montclair Rd, Birmingham AL</t>
  </si>
  <si>
    <t>NCHM certification renewal for Ricky Patterson</t>
  </si>
  <si>
    <t>National Center for Housing Mgt</t>
  </si>
  <si>
    <t>333 N 1st St Ste 305 Jacksonville FL</t>
  </si>
  <si>
    <t>NCHM certification renewal for Jessica Saloom</t>
  </si>
  <si>
    <t>NCHM certification renewal for Jeffrey Hevey</t>
  </si>
  <si>
    <t>NCHM certification renewal for Joseph Durnin</t>
  </si>
  <si>
    <t>RS Means estimating software for cost reasonableness</t>
  </si>
  <si>
    <t>RS Means</t>
  </si>
  <si>
    <t>1099 Hingham St Rockland MA</t>
  </si>
  <si>
    <t>Updates for tablets used in field</t>
  </si>
  <si>
    <t>Microsoft</t>
  </si>
  <si>
    <t>Shirts for field team-Todd Folse</t>
  </si>
  <si>
    <t>Lands End Business</t>
  </si>
  <si>
    <t>1 Lands' End Ln Dodgeville WI</t>
  </si>
  <si>
    <t>Shirts for field team-Ricky Patterson</t>
  </si>
  <si>
    <t>Shirts for field team-Jessica Saloom</t>
  </si>
  <si>
    <t>Shirts for field team-Joseph Durnin</t>
  </si>
  <si>
    <t>Shirts for field team-Jeffrey Hevey</t>
  </si>
  <si>
    <t>Letter, deficency, report mailings</t>
  </si>
  <si>
    <t>USPS</t>
  </si>
  <si>
    <t>General Supplies, staples, pens, tablets, folders</t>
  </si>
  <si>
    <t>Construction Monitoring</t>
  </si>
  <si>
    <t>Nan McKay</t>
  </si>
  <si>
    <t>NCSHA 2017 Legislative Conference</t>
  </si>
  <si>
    <t>Program Inspections &amp; Meetings</t>
  </si>
  <si>
    <t>Program Inspections</t>
  </si>
  <si>
    <t>Meetings</t>
  </si>
  <si>
    <t>Hearing Officer &amp; PBV Management Training &amp; Exam</t>
  </si>
  <si>
    <t>COSCDA Conference</t>
  </si>
  <si>
    <t>Program Monitoring</t>
  </si>
  <si>
    <t>Annual Convening</t>
  </si>
  <si>
    <t>Society of Louisiana CPAs</t>
  </si>
  <si>
    <t>NLHA Meetings (3)</t>
  </si>
  <si>
    <t>Equipment Maintenance</t>
  </si>
  <si>
    <t>WJS Enterprises</t>
  </si>
  <si>
    <t>Subscription fee</t>
  </si>
  <si>
    <t>Louisiana Housing Council Membership</t>
  </si>
  <si>
    <t>Postage Meter Lease</t>
  </si>
  <si>
    <t>Mail Finance</t>
  </si>
  <si>
    <t>Postage  and supplies for postage meter</t>
  </si>
  <si>
    <t>Neopost</t>
  </si>
  <si>
    <t>PBV HAP and Admin Bank Fees</t>
  </si>
  <si>
    <t>Chase Bank</t>
  </si>
  <si>
    <t>Software used to facilitate program</t>
  </si>
  <si>
    <t>Yardi</t>
  </si>
  <si>
    <t>Software used by the Project Based Voucher Program for quality control purposes</t>
  </si>
  <si>
    <t>Quadel Consulting and Training / Qualcheck</t>
  </si>
  <si>
    <t>Non-profit affordable rental housing assoc. supported by HUD</t>
  </si>
  <si>
    <t>National Leased Housing Association</t>
  </si>
  <si>
    <t>Organization providing training on affordable housing issues</t>
  </si>
  <si>
    <t>Annual CPA license and membership renewals</t>
  </si>
  <si>
    <t>State Board &amp; Societies</t>
  </si>
  <si>
    <t>Annual LHA Audit</t>
  </si>
  <si>
    <t>Legal Services for Project Based Voucher Program</t>
  </si>
  <si>
    <t>Hawkins, Delafield</t>
  </si>
  <si>
    <t>Criminal Background checks</t>
  </si>
  <si>
    <t>Kentech Consulting</t>
  </si>
  <si>
    <t>P.O. 16-0030</t>
  </si>
  <si>
    <t>PBV Annual Utility Allowance Study</t>
  </si>
  <si>
    <t>Alan Fox</t>
  </si>
  <si>
    <t>P.O. 16-0032</t>
  </si>
  <si>
    <t>Technical Assistance for program implementation &amp; operation</t>
  </si>
  <si>
    <t>Technical Assistance Collaborative</t>
  </si>
  <si>
    <t>S811 Implementation</t>
  </si>
  <si>
    <t>files/folders, office supplies</t>
  </si>
  <si>
    <t>GFOA Fall Conference</t>
  </si>
  <si>
    <t>Various Training Classes</t>
  </si>
  <si>
    <t>Excel</t>
  </si>
  <si>
    <t>Bond Finance</t>
  </si>
  <si>
    <t>AGA Fall or Spring Conference</t>
  </si>
  <si>
    <t>Annual Maintenance on ACCPAC</t>
  </si>
  <si>
    <t>14855 Collections Center Drive Chicago, IL 60693</t>
  </si>
  <si>
    <t>Annual Maintenance on PrintBoss</t>
  </si>
  <si>
    <t>PrintBoss</t>
  </si>
  <si>
    <t>CPA License Renewal - Anne Fulton</t>
  </si>
  <si>
    <t>State Board of CPAs of Louisiana</t>
  </si>
  <si>
    <t>604 Poydras Street New Orleans LA 70130</t>
  </si>
  <si>
    <t>FedEx</t>
  </si>
  <si>
    <t>PO Box 1140 Memphis TN 38101</t>
  </si>
  <si>
    <t>LCPA Membership Renewal - Anne Fulton</t>
  </si>
  <si>
    <t>2400 Veterans Blvd Kenner LA 70062</t>
  </si>
  <si>
    <t>Miscellaneous Dues &amp; Subscriptions</t>
  </si>
  <si>
    <t>Bank Service Charges</t>
  </si>
  <si>
    <t>Trustee Fees</t>
  </si>
  <si>
    <t>Whitney Bank</t>
  </si>
  <si>
    <t>Chase Bank &amp; Whitney Bank</t>
  </si>
  <si>
    <t>Maintenance on New Accounting System</t>
  </si>
  <si>
    <t>Procurement</t>
  </si>
  <si>
    <t>Postlewaite &amp; Netterville</t>
  </si>
  <si>
    <t>15-0025</t>
  </si>
  <si>
    <t>Carr, Riggs &amp; Ingram</t>
  </si>
  <si>
    <t>15-0023</t>
  </si>
  <si>
    <t>E-file quarterly wage, Fed &amp; State W2's and Recon forms</t>
  </si>
  <si>
    <t>Atrix</t>
  </si>
  <si>
    <t>checks and envelopes</t>
  </si>
  <si>
    <t>Wellspring Software</t>
  </si>
  <si>
    <t>445 Sovereign Court Manchester MO 63011</t>
  </si>
  <si>
    <t>office supplies</t>
  </si>
  <si>
    <t>500 Staples Drive Framingham MA  01702-4478</t>
  </si>
  <si>
    <t>W2's and envelopes</t>
  </si>
  <si>
    <t>Deluxe Business Systems</t>
  </si>
  <si>
    <t>PO Box 742572 Cincinnati OH 45274</t>
  </si>
  <si>
    <t>shredder bags</t>
  </si>
  <si>
    <t>MBM</t>
  </si>
  <si>
    <t>3134 Industry Drive N. Charleston, SC 29418</t>
  </si>
  <si>
    <t>1099's, envelopes, 1098's</t>
  </si>
  <si>
    <t>1095 and 1094 ACA Reporting Forms</t>
  </si>
  <si>
    <t xml:space="preserve"> Administering &amp; Querying Microsoft SQL Server Databases</t>
  </si>
  <si>
    <t>MS Azure Fundamentals &amp; Develop Microsoft Azure Solutions</t>
  </si>
  <si>
    <t>General Insurance</t>
  </si>
  <si>
    <t>Office of Risk Management</t>
  </si>
  <si>
    <t>Litigation (see Note)</t>
  </si>
  <si>
    <t>Long Law Firm</t>
  </si>
  <si>
    <t>13-0170</t>
  </si>
  <si>
    <t>Litigation and HR services (See Note)</t>
  </si>
  <si>
    <t>Phelps Dunbar</t>
  </si>
  <si>
    <t>14-0176</t>
  </si>
  <si>
    <t>1) We anticipate doing new contracts for legal services with the incumbent contractors at the same rates approved by the La Attorney Generals Office.</t>
  </si>
  <si>
    <t>MOR Travel</t>
  </si>
  <si>
    <t>Lauren Holmes Agency Cell Phone ($20/month?)</t>
  </si>
  <si>
    <t>NCHM Certification Renewals (7 employees @ $95)</t>
  </si>
  <si>
    <t>USPS, FED-EX</t>
  </si>
  <si>
    <t>The Gill Group - RCS Reviews (17 @ $500/review)</t>
  </si>
  <si>
    <t>Envelopes, Pens, Highlighters, etc.</t>
  </si>
  <si>
    <t>Neighbor Works Training Institute - Nuts &amp; Bolts of Asset Management</t>
  </si>
  <si>
    <t>National Apartment Association - Asset Mgmt. Conference</t>
  </si>
  <si>
    <t>Webinars</t>
  </si>
  <si>
    <t>Desk Monitoring General Mailing and Fed-Ex Mailings</t>
  </si>
  <si>
    <t>General Office Supplies</t>
  </si>
  <si>
    <t>NCSHA Event</t>
  </si>
  <si>
    <t>Unknown</t>
  </si>
  <si>
    <t>Risk Share/RAD Training</t>
  </si>
  <si>
    <t>Servicing of Second Mortgages</t>
  </si>
  <si>
    <t>Amerinational</t>
  </si>
  <si>
    <t>Dobbs Ram</t>
  </si>
  <si>
    <t>Market Study</t>
  </si>
  <si>
    <t>Fielder Group</t>
  </si>
  <si>
    <t>Bowen National Research</t>
  </si>
  <si>
    <t>John Wall and Associates</t>
  </si>
  <si>
    <t>Novogradac</t>
  </si>
  <si>
    <t>Real Property Research Group</t>
  </si>
  <si>
    <t>Woods Research</t>
  </si>
  <si>
    <t>Gibson Consultants</t>
  </si>
  <si>
    <t>Senior Secretary</t>
  </si>
  <si>
    <t>Westaff</t>
  </si>
  <si>
    <t>Government Consultant</t>
  </si>
  <si>
    <t>Contract for Bond Counsel Services</t>
  </si>
  <si>
    <t>Foley and Judell</t>
  </si>
  <si>
    <t>Contract for Housing Program Counsel</t>
  </si>
  <si>
    <t>Ac acia Realty</t>
  </si>
  <si>
    <t>Lea and Company</t>
  </si>
  <si>
    <t>Cook Moore and Associates</t>
  </si>
  <si>
    <t>Gill Group</t>
  </si>
  <si>
    <t>Vogt Sander Insight</t>
  </si>
  <si>
    <t>Paid Time Off Allocation Code</t>
  </si>
  <si>
    <t>Building Maintenance Expenses</t>
  </si>
  <si>
    <t>Monitoring of CAP Agencies</t>
  </si>
  <si>
    <t>Two conferences for Weatherization</t>
  </si>
  <si>
    <t>Out of State Conference</t>
  </si>
  <si>
    <t>Weatherization Training and Technical Assistance</t>
  </si>
  <si>
    <t>Annual Dues</t>
  </si>
  <si>
    <t>Energy Conservation Resources</t>
  </si>
  <si>
    <t xml:space="preserve">Chris Dunn </t>
  </si>
  <si>
    <t xml:space="preserve">Hancock Energy Software </t>
  </si>
  <si>
    <t>Hancock Energy Solutions</t>
  </si>
  <si>
    <t>Mail Carrier Services - OCD/Mead/LHC</t>
  </si>
  <si>
    <t>Mail Carrier Services</t>
  </si>
  <si>
    <t>Technical Assistance</t>
  </si>
  <si>
    <t>St. Bernard Parish, LA</t>
  </si>
  <si>
    <t>St. James Parish, LA</t>
  </si>
  <si>
    <t>New Orleans, LA</t>
  </si>
  <si>
    <t>1) Tax Credit Award Fees:  9% Award Fees - 525,000 4% Award Fees - 150,000 - TOTAL 675,000</t>
  </si>
  <si>
    <t>4160*040*095*445*147</t>
  </si>
  <si>
    <t>Bonds Pd Off</t>
  </si>
  <si>
    <t>In start-up phase</t>
  </si>
  <si>
    <t>Unfunded</t>
  </si>
  <si>
    <t>Preparation, Training, &amp; Submission of Cost Alloc Plan</t>
  </si>
  <si>
    <t>MGT of America, Inc.</t>
  </si>
  <si>
    <t>15-0039</t>
  </si>
  <si>
    <t>New Accounting System - PR, A/P, A/R, GL, Budget</t>
  </si>
  <si>
    <t>NCSHA Executive Board Meeting</t>
  </si>
  <si>
    <t>NCSHA Fall/Spring Institute</t>
  </si>
  <si>
    <t>Monthly Board Meetings &amp; Other Meetings</t>
  </si>
  <si>
    <t>Court Reporter for transcriptions of Board Meeting</t>
  </si>
  <si>
    <t>Nicole Bourgeois Court Reporters</t>
  </si>
  <si>
    <t>General Board Supplies</t>
  </si>
  <si>
    <t>Albertson's</t>
  </si>
  <si>
    <t>Trophies for recognition/special occasions</t>
  </si>
  <si>
    <t>Crown Trophy</t>
  </si>
  <si>
    <t>LHC labeled supplies for board/other meetings</t>
  </si>
  <si>
    <t>Myron Corporation</t>
  </si>
  <si>
    <t>Trophy House</t>
  </si>
  <si>
    <t>Walmart</t>
  </si>
  <si>
    <t>Food and Catering</t>
  </si>
  <si>
    <t>Honey-baked Ham</t>
  </si>
  <si>
    <t>Jason's Deli</t>
  </si>
  <si>
    <t>Socially Yours</t>
  </si>
  <si>
    <t>Shirts for occasional field monitoring-Agaha Brass</t>
  </si>
  <si>
    <t>Emars DBRA software</t>
  </si>
  <si>
    <t>eMARS</t>
  </si>
  <si>
    <t>General supplies for Environ Review</t>
  </si>
  <si>
    <t>PRSA Conference</t>
  </si>
  <si>
    <t>Out of State</t>
  </si>
  <si>
    <t>In Design Training for Employees</t>
  </si>
  <si>
    <t>Baton Rouge, LA</t>
  </si>
  <si>
    <t>Social Media Conference</t>
  </si>
  <si>
    <t>PRAL Monthly Meetings</t>
  </si>
  <si>
    <t>Survey Monkey for LHC Internal Use</t>
  </si>
  <si>
    <t>Public Relations Assn. of Louisiana for Sarah &amp; Tasha</t>
  </si>
  <si>
    <t>Public Relations Society of America for Sarah</t>
  </si>
  <si>
    <t>Shutterstock Subscription for online and print photos</t>
  </si>
  <si>
    <t>Louisiana Press Association</t>
  </si>
  <si>
    <t>Covalent Logic</t>
  </si>
  <si>
    <t>State Printing of Annual Report, Jotter Cards, Notepads, Letterhead</t>
  </si>
  <si>
    <t>State Printing</t>
  </si>
  <si>
    <t>Radio Advertising to Promote Single Family Program</t>
  </si>
  <si>
    <t>Louisiana Radio Network</t>
  </si>
  <si>
    <t>Sponsorships of Various Association Conferences</t>
  </si>
  <si>
    <t>Graphic Design Services</t>
  </si>
  <si>
    <t>Social Media Advertising</t>
  </si>
  <si>
    <t>Facebook</t>
  </si>
  <si>
    <t>Don Kadair Photography (staff and board member photos)</t>
  </si>
  <si>
    <t>Don Kadair Photography</t>
  </si>
  <si>
    <t>Augie Leopold</t>
  </si>
  <si>
    <t>Specialty Printing (Big signs, Rush Projects)</t>
  </si>
  <si>
    <t>Kinko's</t>
  </si>
  <si>
    <t>ACCPAC Server replacement - 10 years old</t>
  </si>
  <si>
    <t>Continuum of Care</t>
  </si>
  <si>
    <t>Open</t>
  </si>
  <si>
    <t>Rentals</t>
  </si>
  <si>
    <t>Safety</t>
  </si>
  <si>
    <t>Emergency Notification</t>
  </si>
  <si>
    <t>Rental Space</t>
  </si>
  <si>
    <t>Tire Maintenance</t>
  </si>
  <si>
    <t>SkidMark</t>
  </si>
  <si>
    <t>Benny's</t>
  </si>
  <si>
    <t>First Call/ENC</t>
  </si>
  <si>
    <t>Neopost &amp; FedEx</t>
  </si>
  <si>
    <t>4110*045*112*420</t>
  </si>
  <si>
    <t>4110*045*123*420</t>
  </si>
  <si>
    <t>Training and Technical Assistance</t>
  </si>
  <si>
    <t>4115</t>
  </si>
  <si>
    <t>Re-Processing Fees</t>
  </si>
  <si>
    <t>4115*040*135*440</t>
  </si>
  <si>
    <t>2/23/16 Tornado Emergency Assistance Program</t>
  </si>
  <si>
    <t>% Increase / (Decrease)</t>
  </si>
  <si>
    <t>Franklin Associates</t>
  </si>
  <si>
    <t>Chief Administrative Officer</t>
  </si>
  <si>
    <t>Rev - Exp</t>
  </si>
  <si>
    <t>2/23/16 Tornadoes</t>
  </si>
  <si>
    <t>2/23 Storm Exp</t>
  </si>
  <si>
    <t>Capital</t>
  </si>
  <si>
    <t>Expenditures</t>
  </si>
  <si>
    <t>Capital Expend.</t>
  </si>
  <si>
    <t>Security( Lobby Coverage)</t>
  </si>
  <si>
    <t>Electrical</t>
  </si>
  <si>
    <t>Plumbing</t>
  </si>
  <si>
    <t>Heating and A/C</t>
  </si>
  <si>
    <t>Water Treatment</t>
  </si>
  <si>
    <t>Building Exterior</t>
  </si>
  <si>
    <t>Building Interior</t>
  </si>
  <si>
    <t>Windows and Glass</t>
  </si>
  <si>
    <t>Lighting and Fixtures</t>
  </si>
  <si>
    <t>Carpet and Tile</t>
  </si>
  <si>
    <t>Grounds</t>
  </si>
  <si>
    <t>Appliances</t>
  </si>
  <si>
    <t>Janitorial Services</t>
  </si>
  <si>
    <t>Janitorial Supplies</t>
  </si>
  <si>
    <t>Locksmith</t>
  </si>
  <si>
    <t>Exterminating</t>
  </si>
  <si>
    <t>Elevator</t>
  </si>
  <si>
    <t>Fire Safety</t>
  </si>
  <si>
    <t>Security Board</t>
  </si>
  <si>
    <t>NCSHA  2017 Legislative Conference</t>
  </si>
  <si>
    <t>NCSHA 2017 HFA Institute</t>
  </si>
  <si>
    <t>NCSHA 2016 Annual Conference &amp; Showplace Tradeshow</t>
  </si>
  <si>
    <t>Miami Beach, FL</t>
  </si>
  <si>
    <t>Denver, CO</t>
  </si>
  <si>
    <t>Fort Worth, TX</t>
  </si>
  <si>
    <t>Gonzales, LA</t>
  </si>
  <si>
    <t>Washington, DC</t>
  </si>
  <si>
    <t>Lafayette, LA</t>
  </si>
  <si>
    <t>Lake Charles, LA</t>
  </si>
  <si>
    <t>Charlotte, NC</t>
  </si>
  <si>
    <t>Outreach and monitoring</t>
  </si>
  <si>
    <t>Office of Telecommunications</t>
  </si>
  <si>
    <t>Total Delivery</t>
  </si>
  <si>
    <t>AGA Spring Conference (see Other Operating Services)</t>
  </si>
  <si>
    <t>AGA Fall Conference (see Other Operating Services)</t>
  </si>
  <si>
    <t>Bond Finance (see Other Operating Services)</t>
  </si>
  <si>
    <t>Various Training Classes (see Other Operating Services)</t>
  </si>
  <si>
    <t>Bond Finance for Anne Fulton</t>
  </si>
  <si>
    <t>Various Training Classes for Anne Fulton</t>
  </si>
  <si>
    <t>Assoc. of Government Accountants</t>
  </si>
  <si>
    <t>Spring Conference for Anne Fulton</t>
  </si>
  <si>
    <t>Fall Conference for Anne Fulton</t>
  </si>
  <si>
    <t>GFOA Training (see Operating Services)</t>
  </si>
  <si>
    <t>Society of Louisiana CPAs (see Operating Services)</t>
  </si>
  <si>
    <t>GFOA Training for Rene Landry</t>
  </si>
  <si>
    <t>Society of Louisiana CPAs for Rene Landry</t>
  </si>
  <si>
    <t>Govt Assoc of Finance Officers</t>
  </si>
  <si>
    <t>Gasoline for fleet vehicles</t>
  </si>
  <si>
    <t>Chevron /Texaco</t>
  </si>
  <si>
    <t>Vehicle Maintenance for fleet vehicles</t>
  </si>
  <si>
    <t>Bond Buyer</t>
  </si>
  <si>
    <t>Annual Maintenance</t>
  </si>
  <si>
    <t>NeoPost</t>
  </si>
  <si>
    <t>Mead Road</t>
  </si>
  <si>
    <t>Quail Drive</t>
  </si>
  <si>
    <t>Entergy</t>
  </si>
  <si>
    <t>Baton Rouge Water Company</t>
  </si>
  <si>
    <t>Waste Management</t>
  </si>
  <si>
    <t>Waste Pro</t>
  </si>
  <si>
    <t>4040*005*000*266</t>
  </si>
  <si>
    <t>Various Meetings, Ground-breaking, etc.</t>
  </si>
  <si>
    <t>In-State Meetings</t>
  </si>
  <si>
    <t>Training, Webinars, etc.</t>
  </si>
  <si>
    <t>In-State Training</t>
  </si>
  <si>
    <t>Various Meetings with Federal partners</t>
  </si>
  <si>
    <t>Various Training with Federal partners</t>
  </si>
  <si>
    <t>Out-of-State Training</t>
  </si>
  <si>
    <t>NCSHA National Tradeshow</t>
  </si>
  <si>
    <t>Marketracweb with title data</t>
  </si>
  <si>
    <t>CoreLogic</t>
  </si>
  <si>
    <t>Various Expenses for 5757 Warrington Drive, NOLA</t>
  </si>
  <si>
    <t>Standard Mortgage</t>
  </si>
  <si>
    <t>NCSHA Annual Dues</t>
  </si>
  <si>
    <t>NCSHA</t>
  </si>
  <si>
    <t>GFOA</t>
  </si>
  <si>
    <t>Membership for LHC</t>
  </si>
  <si>
    <t>Leadership Directories</t>
  </si>
  <si>
    <t>Membership for Denise Ackoury</t>
  </si>
  <si>
    <t>SHRM</t>
  </si>
  <si>
    <t>NAHRO</t>
  </si>
  <si>
    <t>Other Memberships for Barry Brooks???</t>
  </si>
  <si>
    <t>Membership for Barry Brooks</t>
  </si>
  <si>
    <t>LAHMA</t>
  </si>
  <si>
    <t>AHTCC</t>
  </si>
  <si>
    <t>General Postage Expenses</t>
  </si>
  <si>
    <t>FedEX</t>
  </si>
  <si>
    <t>Unemployment Claims</t>
  </si>
  <si>
    <t>LA Dept of Labor</t>
  </si>
  <si>
    <t>Pointsettias</t>
  </si>
  <si>
    <t>Heromans</t>
  </si>
  <si>
    <t>Tax Credit Software Project</t>
  </si>
  <si>
    <t>Cohn Reznick LLP</t>
  </si>
  <si>
    <t>Internet-based hsg listing &amp; locator services</t>
  </si>
  <si>
    <t>Non-Profit Industries dba Social Serve</t>
  </si>
  <si>
    <t>HR Services</t>
  </si>
  <si>
    <t>LA Division of Administration</t>
  </si>
  <si>
    <t>LHC's portion of Civil Service &amp; CPTP expenses</t>
  </si>
  <si>
    <t>State of LA Civil Service Commission</t>
  </si>
  <si>
    <t>Housing Needs Assessment</t>
  </si>
  <si>
    <t>LSU - Ourso College of Business</t>
  </si>
  <si>
    <t>Louisiana Office Supply</t>
  </si>
  <si>
    <t>Coffee for Various Meetings</t>
  </si>
  <si>
    <t>Community Coffee</t>
  </si>
  <si>
    <t>4150*040*110*000*2008*075</t>
  </si>
  <si>
    <t>4150*040*110*000*2011*075</t>
  </si>
  <si>
    <t>4150*040*110*000*2012*085</t>
  </si>
  <si>
    <t>Unidentified Training</t>
  </si>
  <si>
    <t>Paid Time Off</t>
  </si>
  <si>
    <t>% of Sal ONLY</t>
  </si>
  <si>
    <t>Square Feet</t>
  </si>
  <si>
    <t>Indirect Costs</t>
  </si>
  <si>
    <t>4210*040*025*000</t>
  </si>
  <si>
    <t>in Lieu of Rent</t>
  </si>
  <si>
    <t>Maintenance</t>
  </si>
  <si>
    <t>Indirect % - CAP</t>
  </si>
  <si>
    <t>Compliance Monitoring (LHC)</t>
  </si>
  <si>
    <t>Scope of Work &amp; Construction Oversight (LHC)</t>
  </si>
  <si>
    <t>Training &amp; Technical Assistance (LHC)</t>
  </si>
  <si>
    <t>Environmental Services</t>
  </si>
  <si>
    <t>Terracon Consultants, Inc.</t>
  </si>
  <si>
    <t>Title Search/Mortgage Certificates</t>
  </si>
  <si>
    <t>Southern Title, Inc.</t>
  </si>
  <si>
    <t>Team Title, LLC</t>
  </si>
  <si>
    <t>Two replacement vehicles</t>
  </si>
  <si>
    <t>x</t>
  </si>
  <si>
    <t>Louisiana</t>
  </si>
  <si>
    <t>2015 Budg</t>
  </si>
  <si>
    <t>2015 Act</t>
  </si>
  <si>
    <t>2016 To Date</t>
  </si>
  <si>
    <t>2015 Bud</t>
  </si>
  <si>
    <t>2016 Act</t>
  </si>
  <si>
    <t>$ 21.11/sq ft</t>
  </si>
  <si>
    <t>162</t>
  </si>
  <si>
    <t>4110*045*162*445</t>
  </si>
  <si>
    <t>Trustee Fees for Building Bonds Account</t>
  </si>
  <si>
    <t>Executive Director</t>
  </si>
  <si>
    <t>Chief Operating Officer</t>
  </si>
  <si>
    <t>Net Excess Revenue Over Expenditures from Operations</t>
  </si>
  <si>
    <t>40__*___*___*___</t>
  </si>
  <si>
    <t>Total Operating Expenses</t>
  </si>
  <si>
    <t>FTE's</t>
  </si>
  <si>
    <t>Bldg Bond Int</t>
  </si>
  <si>
    <t>Expenses</t>
  </si>
  <si>
    <t>Revenues &amp; Expenses</t>
  </si>
  <si>
    <t>Net Income</t>
  </si>
  <si>
    <t>4110*040*075*420</t>
  </si>
  <si>
    <t>Single Family Homebuyer/Counseling Programs</t>
  </si>
  <si>
    <t>Disaster Housing Programs - Administrative Fees</t>
  </si>
  <si>
    <t>Multi-Family Issuer Fees</t>
  </si>
  <si>
    <t>Bond Projects</t>
  </si>
  <si>
    <t xml:space="preserve">Actual </t>
  </si>
  <si>
    <t>Actual to Date</t>
  </si>
  <si>
    <t>Proj remaing</t>
  </si>
  <si>
    <t>Projected</t>
  </si>
  <si>
    <t>FY 2017</t>
  </si>
  <si>
    <t>Notes</t>
  </si>
  <si>
    <t>1501 Canal Apts 2012</t>
  </si>
  <si>
    <t>Arbor Place</t>
  </si>
  <si>
    <t>Azalea Estates/HCCI Assisted Living</t>
  </si>
  <si>
    <t>Bonds paid off FY15</t>
  </si>
  <si>
    <t>Belmont</t>
  </si>
  <si>
    <t>Blue Plate Lofts 2011</t>
  </si>
  <si>
    <t>BW Cooper 2013</t>
  </si>
  <si>
    <t>Canaan Village 2014</t>
  </si>
  <si>
    <t>Mandatory tendor date 12/15/15</t>
  </si>
  <si>
    <t xml:space="preserve">Cantebury/Sherwood </t>
  </si>
  <si>
    <t>Choctaw Lodge 2014</t>
  </si>
  <si>
    <t>The Crossing Apts 2006</t>
  </si>
  <si>
    <t>Cypress Springs 2015</t>
  </si>
  <si>
    <t>Cyrus Homes 2013</t>
  </si>
  <si>
    <t>Elm Drive Senior 2013</t>
  </si>
  <si>
    <t>The Elysians Project 2012</t>
  </si>
  <si>
    <t>Emerald Point 2007</t>
  </si>
  <si>
    <t>Galilee 2003</t>
  </si>
  <si>
    <t>Garden Oaks 2011</t>
  </si>
  <si>
    <t xml:space="preserve">Bonds paid off </t>
  </si>
  <si>
    <t>Garden Senior 2012</t>
  </si>
  <si>
    <t>GCHP - Esplanade 2014</t>
  </si>
  <si>
    <t>Guste Homes III 2013</t>
  </si>
  <si>
    <t>Holy Family 2014</t>
  </si>
  <si>
    <t>Bonds are to pay off by 10/1/2015</t>
  </si>
  <si>
    <t>Hooper Pointe</t>
  </si>
  <si>
    <t>Iberville Phase IV</t>
  </si>
  <si>
    <t>Jefferson Lakes Apts</t>
  </si>
  <si>
    <t>Lapalco Apts</t>
  </si>
  <si>
    <t>Louisiana Chateau</t>
  </si>
  <si>
    <t>Mallard Crossing 2011</t>
  </si>
  <si>
    <t>Meadowbrook 2006</t>
  </si>
  <si>
    <t>Melrose 2002</t>
  </si>
  <si>
    <t>The Muses 2010</t>
  </si>
  <si>
    <t>New Zion 2013</t>
  </si>
  <si>
    <t>Palmetto</t>
  </si>
  <si>
    <t>Peppermill Apartments Ph II</t>
  </si>
  <si>
    <t>Plantation Apartments</t>
  </si>
  <si>
    <t>Port Royal Apartments</t>
  </si>
  <si>
    <t>Renaissance Gateway 2013</t>
  </si>
  <si>
    <t>Reserve at Jefferson Crossing</t>
  </si>
  <si>
    <t>Restoration 2002</t>
  </si>
  <si>
    <t>Restoration V &amp; VI</t>
  </si>
  <si>
    <t>Ridgefield Apts.</t>
  </si>
  <si>
    <t>Advance pmt of issuer fees in FY16 - bonds defeased</t>
  </si>
  <si>
    <t>Spanish Arms Apts</t>
  </si>
  <si>
    <t>St. Dominic/Malta Park</t>
  </si>
  <si>
    <t xml:space="preserve">Closed </t>
  </si>
  <si>
    <t>Tangi Village</t>
  </si>
  <si>
    <t>Walmsley</t>
  </si>
  <si>
    <t>Windsor Place 2013</t>
  </si>
  <si>
    <t>Woodcrest Apts 2012</t>
  </si>
  <si>
    <t>Closed</t>
  </si>
  <si>
    <t>Woodward Wight 2003</t>
  </si>
  <si>
    <t>202 Elderly Projects</t>
  </si>
  <si>
    <t>New Bonds Issued</t>
  </si>
  <si>
    <t xml:space="preserve">Single Family Issuer Fees </t>
  </si>
  <si>
    <t>Trustee</t>
  </si>
  <si>
    <t>Reversal of  06/30/16 Accrual</t>
  </si>
  <si>
    <t>12/01/16 Projected</t>
  </si>
  <si>
    <t>06/01/17 Projected</t>
  </si>
  <si>
    <t>One Month Accrual (6/30/17)</t>
  </si>
  <si>
    <t xml:space="preserve">2002A </t>
  </si>
  <si>
    <t>Whitney</t>
  </si>
  <si>
    <t>Refunded in 15A</t>
  </si>
  <si>
    <t>2004A</t>
  </si>
  <si>
    <t>2004B</t>
  </si>
  <si>
    <t>2004C</t>
  </si>
  <si>
    <t>2005A</t>
  </si>
  <si>
    <t>2006A</t>
  </si>
  <si>
    <t>2006B</t>
  </si>
  <si>
    <t>2006C</t>
  </si>
  <si>
    <t>2006D</t>
  </si>
  <si>
    <t>2007A</t>
  </si>
  <si>
    <t>2007B</t>
  </si>
  <si>
    <t>2007C</t>
  </si>
  <si>
    <t>2008A</t>
  </si>
  <si>
    <t>2008B</t>
  </si>
  <si>
    <t>2009A</t>
  </si>
  <si>
    <t>2010A</t>
  </si>
  <si>
    <t>2011A</t>
  </si>
  <si>
    <t>2012A</t>
  </si>
  <si>
    <t>2013A</t>
  </si>
  <si>
    <t>2015A</t>
  </si>
  <si>
    <t>FY 2017 Single Family Issuer Fees</t>
  </si>
  <si>
    <t>Quarter 1</t>
  </si>
  <si>
    <t>Quarter 2</t>
  </si>
  <si>
    <t>Quarter 3</t>
  </si>
  <si>
    <t>Quarter 4</t>
  </si>
  <si>
    <t>6132 LASERS Retirement</t>
  </si>
  <si>
    <t>By Category</t>
  </si>
  <si>
    <t>Food</t>
  </si>
  <si>
    <t>Computer Equipment- all Disaster Programs</t>
  </si>
  <si>
    <t>Linda Jarrell</t>
  </si>
  <si>
    <t>Executive Counsel/Int Exec Dir</t>
  </si>
  <si>
    <t>Budget Analyst/Purchasing Officer 1</t>
  </si>
  <si>
    <t>Anderson, Mike</t>
  </si>
  <si>
    <t>Earles, Tammy P.</t>
  </si>
  <si>
    <t>Lagasse, Elton</t>
  </si>
  <si>
    <t>Rack, Willie</t>
  </si>
  <si>
    <t>Spillers, Lloyd S.</t>
  </si>
  <si>
    <t>Vidrine, Jennifer</t>
  </si>
  <si>
    <t>Scanner for quicker document management</t>
  </si>
  <si>
    <t>Paragon Motorclub - roadside assistance for vehicles</t>
  </si>
  <si>
    <t>Paragon</t>
  </si>
  <si>
    <t>Management of LHC Buildings</t>
  </si>
  <si>
    <t>Property One</t>
  </si>
  <si>
    <t>Schindler</t>
  </si>
  <si>
    <t>LHC Fleet detailing</t>
  </si>
  <si>
    <t>Simonize Fleet Cleaning Service</t>
  </si>
  <si>
    <t>Pass-thru</t>
  </si>
  <si>
    <t>COS Annual Certification Renewal  - Dione Milton &amp; Frankline Kimbeng</t>
  </si>
  <si>
    <t>General Office Supplies - folders, labels, pens, etc.</t>
  </si>
  <si>
    <t>Website Hosting</t>
  </si>
  <si>
    <t>TV and Billboard Advertising - Single Family pgms</t>
  </si>
  <si>
    <t>Glossy folders, papers, etc for presentation</t>
  </si>
  <si>
    <t>Kinkos</t>
  </si>
  <si>
    <t>Laptop Bags for SF Top Lenders</t>
  </si>
  <si>
    <t>Press releases, news flashes and blasts</t>
  </si>
  <si>
    <t>Constant Contact</t>
  </si>
  <si>
    <t>La.Politics Weekly</t>
  </si>
  <si>
    <t>Balance of State Service area</t>
  </si>
  <si>
    <t>Technical Assistance Training</t>
  </si>
  <si>
    <t>Other Miscellaneous Expense</t>
  </si>
  <si>
    <t>Annual Maintenance on dBit software (fixed asset/depre)</t>
  </si>
  <si>
    <t>Computer Specialists</t>
  </si>
  <si>
    <t>Lean 6 Sigma</t>
  </si>
  <si>
    <t>164</t>
  </si>
  <si>
    <t>Institute of Internal Auditors Monthly Meetings</t>
  </si>
  <si>
    <t>Certified Fraud Examiner Training Course - Washington, DC</t>
  </si>
  <si>
    <t>Certified Fraud Examiner Training Course (see Operating Services)</t>
  </si>
  <si>
    <t>for Sterling Bertrand</t>
  </si>
  <si>
    <t>for Konchetta Bringier</t>
  </si>
  <si>
    <t>Office Supplies - Folders, pens</t>
  </si>
  <si>
    <t>General Supplies - folders, pens, highlighters</t>
  </si>
  <si>
    <t>3 vehicles funded with Program Operations</t>
  </si>
  <si>
    <t>Misc Operating Expenses - Share of building expenses</t>
  </si>
  <si>
    <t>Southern Title, Inc./Team Title</t>
  </si>
  <si>
    <t>Office Supplies - Pencils, binders, folders, etc.</t>
  </si>
  <si>
    <t>Office Supplies - Pencils, binders, folders, file cabinet, etc.</t>
  </si>
  <si>
    <t>Nat'l Housing Trust Fund</t>
  </si>
  <si>
    <t>184</t>
  </si>
  <si>
    <t>HOME &amp; Nat'l Housing Trust Fund Program Fees/Admin</t>
  </si>
  <si>
    <t>Full-time - WAE</t>
  </si>
  <si>
    <t>Marketing Rep 2</t>
  </si>
  <si>
    <t>NDC Housing Development Certification</t>
  </si>
  <si>
    <t>Professional Subscriptions - FANNIE/FREDDIE Guidelines</t>
  </si>
  <si>
    <t>Multi-Family Housing Program Underwriter</t>
  </si>
  <si>
    <t>Foley and Judell/Jones Walker</t>
  </si>
  <si>
    <t>NCSHA Event (1/3 cost to HOME)</t>
  </si>
  <si>
    <t>NCSHA Event (1/3 cost to LIHTC)</t>
  </si>
  <si>
    <t>NCSHA Event (1/3 cost to MRB)</t>
  </si>
  <si>
    <t>Membership for Jatis G. Harrington</t>
  </si>
  <si>
    <t>Visits to banks and other SF financing partners</t>
  </si>
  <si>
    <t>Board Retreat Expenses</t>
  </si>
  <si>
    <t>Grant/Program</t>
  </si>
  <si>
    <t>Disaster Case Mgt - FEMA</t>
  </si>
  <si>
    <t>186</t>
  </si>
  <si>
    <t>Kat/Rita LIHTC Piggyback Pgm</t>
  </si>
  <si>
    <t>Kat/Rita Supportive Hsg Svcs Pgm</t>
  </si>
  <si>
    <t>Institute of Industrial Engineers</t>
  </si>
  <si>
    <t>Norcross, GA</t>
  </si>
  <si>
    <t>Just in case</t>
  </si>
  <si>
    <t>Various Dealerships/Vehicle repair vendors</t>
  </si>
  <si>
    <t>Home/Nat'l Hsg Trust Fund Program &amp; Agency Admin Fees</t>
  </si>
  <si>
    <t>Based on</t>
  </si>
  <si>
    <t>Overall - 99.72%</t>
  </si>
  <si>
    <t>Total w/Indirect</t>
  </si>
  <si>
    <t>OCD CEAs</t>
  </si>
  <si>
    <t>Recoverable</t>
  </si>
  <si>
    <t>Cost</t>
  </si>
  <si>
    <t>The Bond Buyer - Bond Finance Webinars (multiple ee's)</t>
  </si>
  <si>
    <t>Crystal Reports to complement ACCPAC software</t>
  </si>
  <si>
    <t>Compliance Monitoring/Technical Assistance</t>
  </si>
  <si>
    <t>National Seminars - Payroll Update</t>
  </si>
  <si>
    <t>State of Louisiana Legislative Auditor (Pinell &amp; Martinez)</t>
  </si>
  <si>
    <t>14-0054</t>
  </si>
  <si>
    <t>15-0071</t>
  </si>
  <si>
    <t>Program Management of Disaster Recovery Housing Programs</t>
  </si>
  <si>
    <t>16-0010</t>
  </si>
  <si>
    <t>13-0032</t>
  </si>
  <si>
    <t>16-0007</t>
  </si>
  <si>
    <t>13-0031</t>
  </si>
  <si>
    <t>14-0053</t>
  </si>
  <si>
    <t>15-0018</t>
  </si>
  <si>
    <t>13-0149</t>
  </si>
  <si>
    <t>14-0134</t>
  </si>
  <si>
    <t>16-0005</t>
  </si>
  <si>
    <t>13-0187</t>
  </si>
  <si>
    <t>16-0009</t>
  </si>
  <si>
    <t>15-0046</t>
  </si>
  <si>
    <t>15-0065</t>
  </si>
  <si>
    <t>OPEN</t>
  </si>
  <si>
    <t>15-0056</t>
  </si>
  <si>
    <t>15-0066</t>
  </si>
  <si>
    <t>15-0062</t>
  </si>
  <si>
    <t>15-0064</t>
  </si>
  <si>
    <t>15-0060</t>
  </si>
  <si>
    <t>15-0058</t>
  </si>
  <si>
    <t>15-0054</t>
  </si>
  <si>
    <t>15-0041</t>
  </si>
  <si>
    <t>15-0042</t>
  </si>
  <si>
    <t>15-0059</t>
  </si>
  <si>
    <t>15-0067</t>
  </si>
  <si>
    <t>15-0057</t>
  </si>
  <si>
    <t>15-0061</t>
  </si>
  <si>
    <t>15-0063</t>
  </si>
  <si>
    <t>12-0069</t>
  </si>
  <si>
    <t>16-0001</t>
  </si>
  <si>
    <t>ARCCO</t>
  </si>
  <si>
    <t>Reliable Plumbing</t>
  </si>
  <si>
    <t>Star Service</t>
  </si>
  <si>
    <t>SWE</t>
  </si>
  <si>
    <t>Wal-Mart</t>
  </si>
  <si>
    <t>Door Controls</t>
  </si>
  <si>
    <t>ISE/Notoco</t>
  </si>
  <si>
    <t>Electricity</t>
  </si>
  <si>
    <t>Garbage Disposal</t>
  </si>
  <si>
    <t>Water Service</t>
  </si>
  <si>
    <t>Water Services</t>
  </si>
  <si>
    <t>NA</t>
  </si>
  <si>
    <t>Luxury Lawn</t>
  </si>
  <si>
    <t>Heroman</t>
  </si>
  <si>
    <t>JaniKing</t>
  </si>
  <si>
    <t>General Paper</t>
  </si>
  <si>
    <t>Cintas</t>
  </si>
  <si>
    <t>American Key and Lock</t>
  </si>
  <si>
    <t>Premier Pest Control</t>
  </si>
  <si>
    <t>Vigilant</t>
  </si>
  <si>
    <t>Industriplex false alarm</t>
  </si>
  <si>
    <t>Sheriffs Office</t>
  </si>
  <si>
    <t>Re-Stripe Quail</t>
  </si>
  <si>
    <t>Pressure Wash Quail</t>
  </si>
  <si>
    <t>Suncoast Resources</t>
  </si>
  <si>
    <t>Diesel Fuel for Generator</t>
  </si>
  <si>
    <t>Service on Generator</t>
  </si>
  <si>
    <t>Arcco Power Systems</t>
  </si>
  <si>
    <t>Public Notices</t>
  </si>
  <si>
    <t>Online Advertising for Single Family Program</t>
  </si>
  <si>
    <t>Maintenance on HVAC units with IT servers</t>
  </si>
  <si>
    <t>HUD required public notices</t>
  </si>
  <si>
    <t>NCSHA 2016 Annual Conference &amp; Showplace Tradeshow (see Operating Services)</t>
  </si>
  <si>
    <t>for Collette Mathis</t>
  </si>
  <si>
    <t>NCSHA Housing Training</t>
  </si>
  <si>
    <t>Miscellaneous Printing for NRPP</t>
  </si>
  <si>
    <t>Project Delivery</t>
  </si>
  <si>
    <t>GBR SHRM Conference</t>
  </si>
  <si>
    <t>SHRM Meetings</t>
  </si>
  <si>
    <t>Dues</t>
  </si>
  <si>
    <t>Society for Human Resource Mgrs</t>
  </si>
  <si>
    <t>Drug Screens for new employees</t>
  </si>
  <si>
    <t>RN Expertise, Inc.</t>
  </si>
  <si>
    <t>General Office Supplies - folders, pens</t>
  </si>
  <si>
    <t>2) MORs are $ 3,800 per review</t>
  </si>
  <si>
    <t>3) The specified fees are received and passed thru to bond counsel and underwriters.</t>
  </si>
  <si>
    <t>4) This miscellaneous income is in reference to a lease to Verizon for a section of land behind the building.</t>
  </si>
  <si>
    <t>Travel-Mtgs/Monitoring</t>
  </si>
  <si>
    <t>Training-EE Development</t>
  </si>
  <si>
    <t>Total In-State</t>
  </si>
  <si>
    <t>Total Out-of-State</t>
  </si>
  <si>
    <t>IN-STATE TRAVEL &amp; TRAINING</t>
  </si>
  <si>
    <t>OUT-OF-STATE TRAVEL &amp; TRAINING</t>
  </si>
  <si>
    <t>International Code Council CEU Inspt training (see Operating Services)</t>
  </si>
  <si>
    <t>International Code Council CEU Inspection/Certification-Todd Folse</t>
  </si>
  <si>
    <t>NCHM - Tax Credit Specialist Certification-Sydney Edmonston</t>
  </si>
  <si>
    <t>NCHM - Tax Credit Specialist Certification (see Operating Services)</t>
  </si>
  <si>
    <t>Required Public Notices</t>
  </si>
  <si>
    <t>FY 17 Prov Rate</t>
  </si>
  <si>
    <t>Hsg Finance Spec 1</t>
  </si>
  <si>
    <t>1) Progressive Pay Series</t>
  </si>
  <si>
    <t>FY 2016 Actuals - May 2016</t>
  </si>
  <si>
    <t>Grouping</t>
  </si>
  <si>
    <t>by Functional</t>
  </si>
  <si>
    <t>Inc/(Decr)</t>
  </si>
  <si>
    <t>Total FY17 Request</t>
  </si>
  <si>
    <t>Technology Solution for Environmental Reviews</t>
  </si>
  <si>
    <t>4110*045*111*420</t>
  </si>
  <si>
    <t>4110*040*186*420</t>
  </si>
  <si>
    <t>4110*045*186*420</t>
  </si>
  <si>
    <t>SF Financial Advisor for LHC</t>
  </si>
  <si>
    <t>Auditing Services - MRB &amp; Combined Financial Statements</t>
  </si>
  <si>
    <t>Auditing Services - Gen Fd Financial Statements</t>
  </si>
  <si>
    <t>4110*040*184*445</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</si>
</sst>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_);[Red]\(&quot;$&quot;#,##0\)"/>
    <numFmt numFmtId="41" formatCode="_(* #,##0_);_(* \(#,##0\);_(* &quot;-&quot;_);_(@_)"/>
    <numFmt numFmtId="44" formatCode="_(&quot;$&quot;* #,##0.00_);_(&quot;$&quot;* \(#,##0.00\);_(&quot;$&quot;* &quot;-&quot;??_);_(@_)"/>
    <numFmt numFmtId="43" formatCode="_(* #,##0.00_);_(* \(#,##0.00\);_(* &quot;-&quot;??_);_(@_)"/>
    <numFmt numFmtId="164" formatCode="&quot;$&quot;#,##0\ ;\(&quot;$&quot;#,##0\)"/>
    <numFmt numFmtId="165" formatCode="m/d"/>
    <numFmt numFmtId="166" formatCode="mm/dd/yy;@"/>
    <numFmt numFmtId="167" formatCode="_-* #,##0.00_-;\-* #,##0.00_-;_-* &quot;-&quot;??_-;_-@_-"/>
    <numFmt numFmtId="168" formatCode="_-* #,##0_-;\-* #,##0_-;_-* &quot;-&quot;??_-;_-@_-"/>
    <numFmt numFmtId="169" formatCode="_(* #,##0_);_(* \(#,##0\);_(* &quot;-&quot;??_);_(@_)"/>
    <numFmt numFmtId="170" formatCode="_(* #,##0.0_);_(* \(#,##0.0\);_(* &quot;-&quot;?_);_(@_)"/>
    <numFmt numFmtId="171" formatCode="0.000%"/>
    <numFmt numFmtId="172" formatCode="_(* #,##0.00_);_(* \(#,##0.00\);_(* &quot;0.00&quot;_);_(@_)"/>
  </numFmts>
  <fonts count="10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b/>
      <u/>
      <sz val="10"/>
      <name val="Arial"/>
      <family val="2"/>
    </font>
    <font>
      <sz val="10"/>
      <name val="Arial"/>
      <family val="2"/>
    </font>
    <font>
      <b/>
      <sz val="18"/>
      <name val="Arial"/>
      <family val="2"/>
    </font>
    <font>
      <b/>
      <sz val="12"/>
      <name val="Arial"/>
      <family val="2"/>
    </font>
    <font>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fornian FB"/>
      <family val="1"/>
    </font>
    <font>
      <b/>
      <sz val="11"/>
      <name val="Californian FB"/>
      <family val="1"/>
    </font>
    <font>
      <sz val="10"/>
      <name val="Bookman Old Style"/>
      <family val="1"/>
    </font>
    <font>
      <sz val="14"/>
      <name val="Calibri"/>
      <family val="2"/>
      <scheme val="minor"/>
    </font>
    <font>
      <sz val="11"/>
      <name val="Calibri"/>
      <family val="2"/>
      <scheme val="minor"/>
    </font>
    <font>
      <sz val="11"/>
      <name val="Arial"/>
      <family val="2"/>
    </font>
    <font>
      <b/>
      <sz val="11"/>
      <name val="Arial"/>
      <family val="2"/>
    </font>
    <font>
      <b/>
      <sz val="14"/>
      <name val="Calibri"/>
      <family val="2"/>
      <scheme val="minor"/>
    </font>
    <font>
      <b/>
      <sz val="11"/>
      <name val="Calibri"/>
      <family val="2"/>
      <scheme val="minor"/>
    </font>
    <font>
      <sz val="10"/>
      <color theme="1"/>
      <name val="Arial"/>
      <family val="2"/>
    </font>
    <font>
      <sz val="11"/>
      <name val="Cambria"/>
      <family val="1"/>
      <scheme val="major"/>
    </font>
    <font>
      <sz val="12"/>
      <name val="Cambria"/>
      <family val="1"/>
      <scheme val="major"/>
    </font>
    <font>
      <b/>
      <sz val="16"/>
      <name val="Calibri"/>
      <family val="2"/>
      <scheme val="minor"/>
    </font>
    <font>
      <b/>
      <u/>
      <sz val="14"/>
      <name val="Arial"/>
      <family val="2"/>
    </font>
    <font>
      <i/>
      <sz val="11"/>
      <color theme="1"/>
      <name val="Calibri"/>
      <family val="2"/>
      <scheme val="minor"/>
    </font>
    <font>
      <u/>
      <sz val="11"/>
      <color theme="1"/>
      <name val="Calibri"/>
      <family val="2"/>
      <scheme val="minor"/>
    </font>
    <font>
      <b/>
      <sz val="11"/>
      <color rgb="FFFF0000"/>
      <name val="Calibri"/>
      <family val="2"/>
      <scheme val="minor"/>
    </font>
    <font>
      <b/>
      <u/>
      <sz val="11"/>
      <color theme="1"/>
      <name val="Calibri"/>
      <family val="2"/>
      <scheme val="minor"/>
    </font>
    <font>
      <b/>
      <u/>
      <sz val="11"/>
      <color rgb="FFFF0000"/>
      <name val="Calibri"/>
      <family val="2"/>
      <scheme val="minor"/>
    </font>
    <font>
      <b/>
      <sz val="16"/>
      <color theme="1"/>
      <name val="Calibri"/>
      <family val="2"/>
      <scheme val="minor"/>
    </font>
    <font>
      <sz val="7"/>
      <name val="Arial"/>
      <family val="2"/>
    </font>
    <font>
      <sz val="11"/>
      <color rgb="FF000000"/>
      <name val="Calibri"/>
      <family val="2"/>
      <scheme val="minor"/>
    </font>
    <font>
      <u/>
      <sz val="13"/>
      <color rgb="FF000000"/>
      <name val="Calibri"/>
      <family val="2"/>
      <scheme val="minor"/>
    </font>
    <font>
      <sz val="10"/>
      <color rgb="FFFF0000"/>
      <name val="Arial"/>
      <family val="2"/>
    </font>
    <font>
      <sz val="10"/>
      <name val="Californian FB"/>
      <family val="1"/>
    </font>
    <font>
      <sz val="11"/>
      <color rgb="FFFF0000"/>
      <name val="Californian FB"/>
      <family val="1"/>
    </font>
    <font>
      <sz val="9"/>
      <color indexed="81"/>
      <name val="Tahoma"/>
      <family val="2"/>
    </font>
    <font>
      <b/>
      <sz val="9"/>
      <color indexed="81"/>
      <name val="Tahoma"/>
      <family val="2"/>
    </font>
    <font>
      <b/>
      <sz val="10"/>
      <color rgb="FFFF0000"/>
      <name val="Arial"/>
      <family val="2"/>
    </font>
    <font>
      <b/>
      <sz val="14"/>
      <name val="Arial"/>
      <family val="2"/>
    </font>
    <font>
      <sz val="10"/>
      <name val="Arial"/>
      <family val="2"/>
    </font>
    <font>
      <b/>
      <u val="singleAccounting"/>
      <sz val="10"/>
      <name val="Arial"/>
      <family val="2"/>
    </font>
    <font>
      <b/>
      <u/>
      <sz val="11"/>
      <name val="Calibri"/>
      <family val="2"/>
      <scheme val="minor"/>
    </font>
    <font>
      <b/>
      <sz val="8"/>
      <color rgb="FFFF0000"/>
      <name val="Arial"/>
      <family val="2"/>
    </font>
    <font>
      <sz val="8"/>
      <name val="Arial"/>
      <family val="2"/>
    </font>
    <font>
      <sz val="8"/>
      <color rgb="FFFF0000"/>
      <name val="Arial"/>
      <family val="2"/>
    </font>
    <font>
      <i/>
      <sz val="11"/>
      <color rgb="FFFF0000"/>
      <name val="Calibri"/>
      <family val="2"/>
      <scheme val="minor"/>
    </font>
    <font>
      <b/>
      <sz val="10"/>
      <color indexed="81"/>
      <name val="Tahoma"/>
      <family val="2"/>
    </font>
    <font>
      <b/>
      <sz val="8"/>
      <color indexed="81"/>
      <name val="Tahoma"/>
      <family val="2"/>
    </font>
    <font>
      <sz val="8"/>
      <color indexed="81"/>
      <name val="Tahoma"/>
      <family val="2"/>
    </font>
    <font>
      <sz val="10"/>
      <color indexed="81"/>
      <name val="Tahoma"/>
      <family val="2"/>
    </font>
    <font>
      <sz val="11"/>
      <name val="Cambria"/>
      <family val="1"/>
    </font>
    <font>
      <sz val="10"/>
      <name val="Cambria"/>
      <family val="1"/>
    </font>
    <font>
      <b/>
      <sz val="12"/>
      <name val="Cambria"/>
      <family val="1"/>
      <scheme val="major"/>
    </font>
    <font>
      <b/>
      <sz val="12"/>
      <name val="Californian FB"/>
      <family val="1"/>
    </font>
    <font>
      <sz val="13"/>
      <name val="Calibri"/>
      <family val="2"/>
      <scheme val="minor"/>
    </font>
    <font>
      <sz val="10"/>
      <name val="Cambria"/>
      <family val="1"/>
      <scheme val="major"/>
    </font>
    <font>
      <b/>
      <sz val="11"/>
      <color rgb="FFFF0000"/>
      <name val="Californian FB"/>
      <family val="1"/>
    </font>
    <font>
      <sz val="9"/>
      <color indexed="81"/>
      <name val="Tahoma"/>
      <charset val="1"/>
    </font>
    <font>
      <b/>
      <sz val="9"/>
      <color indexed="81"/>
      <name val="Tahoma"/>
      <charset val="1"/>
    </font>
    <font>
      <b/>
      <sz val="11"/>
      <name val="Cambria"/>
      <family val="1"/>
    </font>
    <font>
      <b/>
      <sz val="13"/>
      <name val="Calibri"/>
      <family val="2"/>
      <scheme val="minor"/>
    </font>
  </fonts>
  <fills count="5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5"/>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7" tint="0.3999755851924192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6"/>
        <bgColor indexed="64"/>
      </patternFill>
    </fill>
    <fill>
      <patternFill patternType="solid">
        <fgColor theme="1" tint="0.34998626667073579"/>
        <bgColor indexed="64"/>
      </patternFill>
    </fill>
    <fill>
      <patternFill patternType="solid">
        <fgColor theme="8"/>
        <bgColor indexed="64"/>
      </patternFill>
    </fill>
  </fills>
  <borders count="109">
    <border>
      <left/>
      <right/>
      <top/>
      <bottom/>
      <diagonal/>
    </border>
    <border>
      <left/>
      <right/>
      <top style="medium">
        <color indexed="64"/>
      </top>
      <bottom/>
      <diagonal/>
    </border>
    <border>
      <left style="medium">
        <color indexed="64"/>
      </left>
      <right/>
      <top/>
      <bottom/>
      <diagonal/>
    </border>
    <border>
      <left/>
      <right/>
      <top style="double">
        <color indexed="0"/>
      </top>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right/>
      <top/>
      <bottom style="thin">
        <color indexed="64"/>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indexed="64"/>
      </bottom>
      <diagonal/>
    </border>
    <border>
      <left style="thin">
        <color indexed="64"/>
      </left>
      <right style="thin">
        <color indexed="64"/>
      </right>
      <top/>
      <bottom style="medium">
        <color indexed="64"/>
      </bottom>
      <diagonal/>
    </border>
    <border>
      <left style="thin">
        <color auto="1"/>
      </left>
      <right style="medium">
        <color auto="1"/>
      </right>
      <top/>
      <bottom style="medium">
        <color indexed="64"/>
      </bottom>
      <diagonal/>
    </border>
    <border>
      <left style="medium">
        <color auto="1"/>
      </left>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medium">
        <color auto="1"/>
      </top>
      <bottom/>
      <diagonal/>
    </border>
    <border>
      <left style="thin">
        <color auto="1"/>
      </left>
      <right style="medium">
        <color auto="1"/>
      </right>
      <top style="medium">
        <color auto="1"/>
      </top>
      <bottom/>
      <diagonal/>
    </border>
    <border>
      <left style="medium">
        <color auto="1"/>
      </left>
      <right/>
      <top/>
      <bottom style="medium">
        <color indexed="64"/>
      </bottom>
      <diagonal/>
    </border>
    <border>
      <left style="medium">
        <color auto="1"/>
      </left>
      <right/>
      <top style="thin">
        <color auto="1"/>
      </top>
      <bottom style="medium">
        <color indexed="64"/>
      </bottom>
      <diagonal/>
    </border>
    <border>
      <left style="medium">
        <color auto="1"/>
      </left>
      <right style="thin">
        <color auto="1"/>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thin">
        <color auto="1"/>
      </left>
      <right style="medium">
        <color auto="1"/>
      </right>
      <top style="thin">
        <color auto="1"/>
      </top>
      <bottom style="medium">
        <color indexed="64"/>
      </bottom>
      <diagonal/>
    </border>
    <border>
      <left style="thin">
        <color auto="1"/>
      </left>
      <right/>
      <top style="medium">
        <color auto="1"/>
      </top>
      <bottom/>
      <diagonal/>
    </border>
    <border>
      <left style="thin">
        <color auto="1"/>
      </left>
      <right/>
      <top/>
      <bottom style="medium">
        <color indexed="64"/>
      </bottom>
      <diagonal/>
    </border>
    <border>
      <left style="thin">
        <color auto="1"/>
      </left>
      <right/>
      <top/>
      <bottom/>
      <diagonal/>
    </border>
    <border>
      <left style="thin">
        <color auto="1"/>
      </left>
      <right/>
      <top style="thin">
        <color auto="1"/>
      </top>
      <bottom style="medium">
        <color indexed="64"/>
      </bottom>
      <diagonal/>
    </border>
    <border>
      <left style="medium">
        <color rgb="FF00B050"/>
      </left>
      <right style="medium">
        <color rgb="FF00B050"/>
      </right>
      <top style="medium">
        <color rgb="FF00B050"/>
      </top>
      <bottom/>
      <diagonal/>
    </border>
    <border>
      <left style="medium">
        <color rgb="FF00B050"/>
      </left>
      <right style="medium">
        <color rgb="FF00B050"/>
      </right>
      <top/>
      <bottom style="medium">
        <color indexed="64"/>
      </bottom>
      <diagonal/>
    </border>
    <border>
      <left style="medium">
        <color rgb="FF00B050"/>
      </left>
      <right style="medium">
        <color rgb="FF00B050"/>
      </right>
      <top/>
      <bottom/>
      <diagonal/>
    </border>
    <border>
      <left style="medium">
        <color rgb="FF00B050"/>
      </left>
      <right style="medium">
        <color rgb="FF00B050"/>
      </right>
      <top style="thin">
        <color auto="1"/>
      </top>
      <bottom style="medium">
        <color rgb="FF00B05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medium">
        <color indexed="64"/>
      </bottom>
      <diagonal/>
    </border>
    <border>
      <left/>
      <right/>
      <top style="thin">
        <color auto="1"/>
      </top>
      <bottom style="medium">
        <color indexed="64"/>
      </bottom>
      <diagonal/>
    </border>
    <border>
      <left style="medium">
        <color auto="1"/>
      </left>
      <right style="medium">
        <color auto="1"/>
      </right>
      <top style="medium">
        <color indexed="64"/>
      </top>
      <bottom style="thin">
        <color auto="1"/>
      </bottom>
      <diagonal/>
    </border>
    <border>
      <left style="medium">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00B050"/>
      </left>
      <right/>
      <top style="medium">
        <color rgb="FF00B050"/>
      </top>
      <bottom/>
      <diagonal/>
    </border>
    <border>
      <left/>
      <right/>
      <top style="medium">
        <color rgb="FF00B050"/>
      </top>
      <bottom/>
      <diagonal/>
    </border>
    <border>
      <left/>
      <right style="medium">
        <color rgb="FF00B050"/>
      </right>
      <top style="medium">
        <color rgb="FF00B050"/>
      </top>
      <bottom/>
      <diagonal/>
    </border>
    <border>
      <left style="medium">
        <color rgb="FF00B050"/>
      </left>
      <right/>
      <top/>
      <bottom/>
      <diagonal/>
    </border>
    <border>
      <left/>
      <right style="medium">
        <color rgb="FF00B050"/>
      </right>
      <top/>
      <bottom/>
      <diagonal/>
    </border>
    <border>
      <left style="medium">
        <color rgb="FF00B050"/>
      </left>
      <right/>
      <top/>
      <bottom style="medium">
        <color rgb="FF00B050"/>
      </bottom>
      <diagonal/>
    </border>
    <border>
      <left/>
      <right/>
      <top/>
      <bottom style="medium">
        <color rgb="FF00B050"/>
      </bottom>
      <diagonal/>
    </border>
    <border>
      <left/>
      <right style="medium">
        <color rgb="FF00B050"/>
      </right>
      <top/>
      <bottom style="medium">
        <color rgb="FF00B050"/>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rgb="FF00B050"/>
      </left>
      <right style="medium">
        <color rgb="FF00B050"/>
      </right>
      <top style="medium">
        <color auto="1"/>
      </top>
      <bottom style="medium">
        <color auto="1"/>
      </bottom>
      <diagonal/>
    </border>
    <border>
      <left style="medium">
        <color rgb="FF00B050"/>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style="medium">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double">
        <color auto="1"/>
      </bottom>
      <diagonal/>
    </border>
    <border>
      <left/>
      <right style="thin">
        <color auto="1"/>
      </right>
      <top/>
      <bottom/>
      <diagonal/>
    </border>
    <border>
      <left style="thin">
        <color auto="1"/>
      </left>
      <right/>
      <top style="thin">
        <color auto="1"/>
      </top>
      <bottom/>
      <diagonal/>
    </border>
    <border>
      <left/>
      <right/>
      <top style="thin">
        <color auto="1"/>
      </top>
      <bottom style="double">
        <color auto="1"/>
      </bottom>
      <diagonal/>
    </border>
    <border>
      <left/>
      <right style="thin">
        <color auto="1"/>
      </right>
      <top style="thin">
        <color auto="1"/>
      </top>
      <bottom/>
      <diagonal/>
    </border>
    <border>
      <left/>
      <right/>
      <top style="thin">
        <color auto="1"/>
      </top>
      <bottom/>
      <diagonal/>
    </border>
    <border>
      <left/>
      <right/>
      <top style="medium">
        <color rgb="FFFF0000"/>
      </top>
      <bottom style="medium">
        <color rgb="FFFF0000"/>
      </bottom>
      <diagonal/>
    </border>
    <border>
      <left/>
      <right style="thin">
        <color auto="1"/>
      </right>
      <top style="thin">
        <color auto="1"/>
      </top>
      <bottom style="medium">
        <color indexed="64"/>
      </bottom>
      <diagonal/>
    </border>
    <border>
      <left style="thin">
        <color auto="1"/>
      </left>
      <right/>
      <top/>
      <bottom style="double">
        <color auto="1"/>
      </bottom>
      <diagonal/>
    </border>
    <border>
      <left/>
      <right style="thin">
        <color auto="1"/>
      </right>
      <top/>
      <bottom style="double">
        <color auto="1"/>
      </bottom>
      <diagonal/>
    </border>
    <border>
      <left/>
      <right style="medium">
        <color auto="1"/>
      </right>
      <top style="medium">
        <color auto="1"/>
      </top>
      <bottom/>
      <diagonal/>
    </border>
    <border>
      <left/>
      <right style="medium">
        <color auto="1"/>
      </right>
      <top/>
      <bottom/>
      <diagonal/>
    </border>
    <border>
      <left/>
      <right style="medium">
        <color auto="1"/>
      </right>
      <top style="thin">
        <color auto="1"/>
      </top>
      <bottom style="medium">
        <color indexed="64"/>
      </bottom>
      <diagonal/>
    </border>
    <border>
      <left style="medium">
        <color auto="1"/>
      </left>
      <right/>
      <top/>
      <bottom style="thin">
        <color indexed="64"/>
      </bottom>
      <diagonal/>
    </border>
    <border>
      <left/>
      <right style="medium">
        <color auto="1"/>
      </right>
      <top/>
      <bottom style="thin">
        <color indexed="64"/>
      </bottom>
      <diagonal/>
    </border>
    <border>
      <left style="medium">
        <color auto="1"/>
      </left>
      <right/>
      <top/>
      <bottom style="double">
        <color auto="1"/>
      </bottom>
      <diagonal/>
    </border>
    <border>
      <left/>
      <right style="medium">
        <color auto="1"/>
      </right>
      <top/>
      <bottom style="double">
        <color auto="1"/>
      </bottom>
      <diagonal/>
    </border>
    <border>
      <left/>
      <right style="thin">
        <color auto="1"/>
      </right>
      <top style="medium">
        <color auto="1"/>
      </top>
      <bottom style="medium">
        <color auto="1"/>
      </bottom>
      <diagonal/>
    </border>
    <border>
      <left style="thin">
        <color auto="1"/>
      </left>
      <right/>
      <top style="medium">
        <color rgb="FFFF0000"/>
      </top>
      <bottom style="medium">
        <color rgb="FFFF0000"/>
      </bottom>
      <diagonal/>
    </border>
    <border>
      <left style="thin">
        <color rgb="FF00B050"/>
      </left>
      <right style="medium">
        <color rgb="FF00B050"/>
      </right>
      <top style="medium">
        <color rgb="FF00B050"/>
      </top>
      <bottom/>
      <diagonal/>
    </border>
    <border>
      <left style="thin">
        <color rgb="FF00B050"/>
      </left>
      <right style="medium">
        <color rgb="FF00B050"/>
      </right>
      <top/>
      <bottom/>
      <diagonal/>
    </border>
    <border>
      <left style="thin">
        <color rgb="FF00B050"/>
      </left>
      <right style="medium">
        <color rgb="FF00B050"/>
      </right>
      <top/>
      <bottom style="medium">
        <color rgb="FF00B050"/>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style="thin">
        <color auto="1"/>
      </top>
      <bottom style="double">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thin">
        <color auto="1"/>
      </right>
      <top/>
      <bottom style="medium">
        <color rgb="FF00B050"/>
      </bottom>
      <diagonal/>
    </border>
    <border>
      <left style="medium">
        <color rgb="FF00B050"/>
      </left>
      <right/>
      <top style="medium">
        <color rgb="FF00B050"/>
      </top>
      <bottom style="medium">
        <color rgb="FF00B050"/>
      </bottom>
      <diagonal/>
    </border>
    <border>
      <left/>
      <right/>
      <top style="medium">
        <color rgb="FF00B050"/>
      </top>
      <bottom style="medium">
        <color rgb="FF00B050"/>
      </bottom>
      <diagonal/>
    </border>
    <border>
      <left/>
      <right style="medium">
        <color rgb="FF00B050"/>
      </right>
      <top style="medium">
        <color rgb="FF00B050"/>
      </top>
      <bottom style="medium">
        <color rgb="FF00B050"/>
      </bottom>
      <diagonal/>
    </border>
    <border>
      <left style="thin">
        <color auto="1"/>
      </left>
      <right/>
      <top/>
      <bottom style="medium">
        <color rgb="FF00B050"/>
      </bottom>
      <diagonal/>
    </border>
    <border>
      <left style="thin">
        <color auto="1"/>
      </left>
      <right/>
      <top style="medium">
        <color rgb="FF00B050"/>
      </top>
      <bottom style="medium">
        <color rgb="FF00B050"/>
      </bottom>
      <diagonal/>
    </border>
    <border>
      <left/>
      <right style="thin">
        <color auto="1"/>
      </right>
      <top style="medium">
        <color rgb="FF00B050"/>
      </top>
      <bottom style="medium">
        <color rgb="FF00B050"/>
      </bottom>
      <diagonal/>
    </border>
    <border>
      <left style="thin">
        <color rgb="FF00B050"/>
      </left>
      <right style="medium">
        <color rgb="FF00B050"/>
      </right>
      <top style="medium">
        <color rgb="FF00B050"/>
      </top>
      <bottom style="medium">
        <color rgb="FF00B050"/>
      </bottom>
      <diagonal/>
    </border>
    <border>
      <left style="thin">
        <color rgb="FF00B050"/>
      </left>
      <right style="thin">
        <color rgb="FF00B050"/>
      </right>
      <top style="medium">
        <color rgb="FF00B050"/>
      </top>
      <bottom style="medium">
        <color rgb="FF00B050"/>
      </bottom>
      <diagonal/>
    </border>
    <border>
      <left style="thin">
        <color rgb="FF00B050"/>
      </left>
      <right style="thin">
        <color rgb="FF00B050"/>
      </right>
      <top style="medium">
        <color rgb="FF00B050"/>
      </top>
      <bottom/>
      <diagonal/>
    </border>
    <border>
      <left style="thin">
        <color rgb="FF00B050"/>
      </left>
      <right style="thin">
        <color rgb="FF00B050"/>
      </right>
      <top/>
      <bottom/>
      <diagonal/>
    </border>
    <border>
      <left style="thin">
        <color rgb="FF00B050"/>
      </left>
      <right style="thin">
        <color rgb="FF00B050"/>
      </right>
      <top/>
      <bottom style="medium">
        <color rgb="FF00B050"/>
      </bottom>
      <diagonal/>
    </border>
  </borders>
  <cellStyleXfs count="57783">
    <xf numFmtId="0" fontId="0" fillId="0" borderId="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3"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2" fontId="31" fillId="0" borderId="0" applyFont="0" applyFill="0" applyBorder="0" applyAlignment="0" applyProtection="0"/>
    <xf numFmtId="2" fontId="31" fillId="0" borderId="0" applyFont="0" applyFill="0" applyBorder="0" applyAlignment="0" applyProtection="0"/>
    <xf numFmtId="2" fontId="31" fillId="0" borderId="0" applyFont="0" applyFill="0" applyBorder="0" applyAlignment="0" applyProtection="0"/>
    <xf numFmtId="0" fontId="32" fillId="0" borderId="0" applyNumberFormat="0" applyFont="0" applyFill="0" applyAlignment="0" applyProtection="0"/>
    <xf numFmtId="0" fontId="33" fillId="0" borderId="0" applyNumberFormat="0" applyFont="0" applyFill="0" applyAlignment="0" applyProtection="0"/>
    <xf numFmtId="0" fontId="28" fillId="0" borderId="0"/>
    <xf numFmtId="0" fontId="31" fillId="0" borderId="0"/>
    <xf numFmtId="0" fontId="31" fillId="0" borderId="0"/>
    <xf numFmtId="0" fontId="3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31" fillId="0" borderId="0"/>
    <xf numFmtId="0" fontId="34" fillId="0" borderId="0"/>
    <xf numFmtId="0" fontId="28" fillId="0" borderId="0"/>
    <xf numFmtId="0" fontId="28" fillId="0" borderId="0"/>
    <xf numFmtId="0" fontId="28" fillId="0" borderId="0"/>
    <xf numFmtId="9" fontId="31"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31" fillId="0" borderId="3" applyNumberFormat="0" applyFont="0" applyBorder="0" applyAlignment="0" applyProtection="0"/>
    <xf numFmtId="0" fontId="35" fillId="0" borderId="0" applyNumberFormat="0" applyFill="0" applyBorder="0" applyAlignment="0" applyProtection="0"/>
    <xf numFmtId="0" fontId="36" fillId="0" borderId="5" applyNumberFormat="0" applyFill="0" applyAlignment="0" applyProtection="0"/>
    <xf numFmtId="0" fontId="37" fillId="0" borderId="6" applyNumberFormat="0" applyFill="0" applyAlignment="0" applyProtection="0"/>
    <xf numFmtId="0" fontId="38" fillId="0" borderId="7" applyNumberFormat="0" applyFill="0" applyAlignment="0" applyProtection="0"/>
    <xf numFmtId="0" fontId="38" fillId="0" borderId="0" applyNumberFormat="0" applyFill="0" applyBorder="0" applyAlignment="0" applyProtection="0"/>
    <xf numFmtId="0" fontId="39" fillId="2" borderId="0" applyNumberFormat="0" applyBorder="0" applyAlignment="0" applyProtection="0"/>
    <xf numFmtId="0" fontId="40" fillId="3" borderId="0" applyNumberFormat="0" applyBorder="0" applyAlignment="0" applyProtection="0"/>
    <xf numFmtId="0" fontId="41" fillId="4" borderId="0" applyNumberFormat="0" applyBorder="0" applyAlignment="0" applyProtection="0"/>
    <xf numFmtId="0" fontId="42" fillId="5" borderId="8" applyNumberFormat="0" applyAlignment="0" applyProtection="0"/>
    <xf numFmtId="0" fontId="43" fillId="6" borderId="9" applyNumberFormat="0" applyAlignment="0" applyProtection="0"/>
    <xf numFmtId="0" fontId="44" fillId="6" borderId="8" applyNumberFormat="0" applyAlignment="0" applyProtection="0"/>
    <xf numFmtId="0" fontId="45" fillId="0" borderId="10" applyNumberFormat="0" applyFill="0" applyAlignment="0" applyProtection="0"/>
    <xf numFmtId="0" fontId="46" fillId="7" borderId="11" applyNumberFormat="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9" fillId="0" borderId="13" applyNumberFormat="0" applyFill="0" applyAlignment="0" applyProtection="0"/>
    <xf numFmtId="0" fontId="50"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50" fillId="12" borderId="0" applyNumberFormat="0" applyBorder="0" applyAlignment="0" applyProtection="0"/>
    <xf numFmtId="0" fontId="50"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50" fillId="28" borderId="0" applyNumberFormat="0" applyBorder="0" applyAlignment="0" applyProtection="0"/>
    <xf numFmtId="0" fontId="50" fillId="29"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50" fillId="32" borderId="0" applyNumberFormat="0" applyBorder="0" applyAlignment="0" applyProtection="0"/>
    <xf numFmtId="0" fontId="27" fillId="8" borderId="12" applyNumberFormat="0" applyFont="0" applyAlignment="0" applyProtection="0"/>
    <xf numFmtId="0" fontId="27" fillId="8" borderId="12" applyNumberFormat="0" applyFont="0" applyAlignment="0" applyProtection="0"/>
    <xf numFmtId="0" fontId="27" fillId="10" borderId="0" applyNumberFormat="0" applyBorder="0" applyAlignment="0" applyProtection="0"/>
    <xf numFmtId="0" fontId="27" fillId="11"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27" fillId="8" borderId="12" applyNumberFormat="0" applyFont="0" applyAlignment="0" applyProtection="0"/>
    <xf numFmtId="0" fontId="27" fillId="10" borderId="0" applyNumberFormat="0" applyBorder="0" applyAlignment="0" applyProtection="0"/>
    <xf numFmtId="0" fontId="27" fillId="11"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27" fillId="8" borderId="12" applyNumberFormat="0" applyFont="0" applyAlignment="0" applyProtection="0"/>
    <xf numFmtId="0" fontId="27" fillId="10" borderId="0" applyNumberFormat="0" applyBorder="0" applyAlignment="0" applyProtection="0"/>
    <xf numFmtId="0" fontId="27" fillId="11"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27" fillId="8" borderId="12" applyNumberFormat="0" applyFont="0" applyAlignment="0" applyProtection="0"/>
    <xf numFmtId="0" fontId="27" fillId="10" borderId="0" applyNumberFormat="0" applyBorder="0" applyAlignment="0" applyProtection="0"/>
    <xf numFmtId="0" fontId="27" fillId="11"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27" fillId="8" borderId="12" applyNumberFormat="0" applyFont="0" applyAlignment="0" applyProtection="0"/>
    <xf numFmtId="0" fontId="27" fillId="10" borderId="0" applyNumberFormat="0" applyBorder="0" applyAlignment="0" applyProtection="0"/>
    <xf numFmtId="0" fontId="27" fillId="11"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26" fillId="0" borderId="0"/>
    <xf numFmtId="44" fontId="26" fillId="0" borderId="0" applyFont="0" applyFill="0" applyBorder="0" applyAlignment="0" applyProtection="0"/>
    <xf numFmtId="9" fontId="26" fillId="0" borderId="0" applyFont="0" applyFill="0" applyBorder="0" applyAlignment="0" applyProtection="0"/>
    <xf numFmtId="167" fontId="26" fillId="0" borderId="0" applyFont="0" applyFill="0" applyBorder="0" applyAlignment="0" applyProtection="0"/>
    <xf numFmtId="0" fontId="25" fillId="0" borderId="0"/>
    <xf numFmtId="44" fontId="25" fillId="0" borderId="0" applyFont="0" applyFill="0" applyBorder="0" applyAlignment="0" applyProtection="0"/>
    <xf numFmtId="9" fontId="25" fillId="0" borderId="0" applyFont="0" applyFill="0" applyBorder="0" applyAlignment="0" applyProtection="0"/>
    <xf numFmtId="167" fontId="25"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9" fontId="21" fillId="0" borderId="0" applyFont="0" applyFill="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0" borderId="0"/>
    <xf numFmtId="44" fontId="21" fillId="0" borderId="0" applyFont="0" applyFill="0" applyBorder="0" applyAlignment="0" applyProtection="0"/>
    <xf numFmtId="9" fontId="21" fillId="0" borderId="0" applyFont="0" applyFill="0" applyBorder="0" applyAlignment="0" applyProtection="0"/>
    <xf numFmtId="167" fontId="21" fillId="0" borderId="0" applyFont="0" applyFill="0" applyBorder="0" applyAlignment="0" applyProtection="0"/>
    <xf numFmtId="0" fontId="21" fillId="0" borderId="0"/>
    <xf numFmtId="44" fontId="21" fillId="0" borderId="0" applyFont="0" applyFill="0" applyBorder="0" applyAlignment="0" applyProtection="0"/>
    <xf numFmtId="9" fontId="21" fillId="0" borderId="0" applyFont="0" applyFill="0" applyBorder="0" applyAlignment="0" applyProtection="0"/>
    <xf numFmtId="167"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9" fontId="21" fillId="0" borderId="0" applyFont="0" applyFill="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8" borderId="12"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30" borderId="0" applyNumberFormat="0" applyBorder="0" applyAlignment="0" applyProtection="0"/>
    <xf numFmtId="0" fontId="21" fillId="31" borderId="0" applyNumberFormat="0" applyBorder="0" applyAlignment="0" applyProtection="0"/>
    <xf numFmtId="0" fontId="21" fillId="0" borderId="0"/>
    <xf numFmtId="44" fontId="21" fillId="0" borderId="0" applyFont="0" applyFill="0" applyBorder="0" applyAlignment="0" applyProtection="0"/>
    <xf numFmtId="9" fontId="21" fillId="0" borderId="0" applyFont="0" applyFill="0" applyBorder="0" applyAlignment="0" applyProtection="0"/>
    <xf numFmtId="167" fontId="21" fillId="0" borderId="0" applyFont="0" applyFill="0" applyBorder="0" applyAlignment="0" applyProtection="0"/>
    <xf numFmtId="0" fontId="21" fillId="0" borderId="0"/>
    <xf numFmtId="44" fontId="21" fillId="0" borderId="0" applyFont="0" applyFill="0" applyBorder="0" applyAlignment="0" applyProtection="0"/>
    <xf numFmtId="9" fontId="21" fillId="0" borderId="0" applyFont="0" applyFill="0" applyBorder="0" applyAlignment="0" applyProtection="0"/>
    <xf numFmtId="167" fontId="2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0" borderId="0"/>
    <xf numFmtId="44" fontId="20" fillId="0" borderId="0" applyFont="0" applyFill="0" applyBorder="0" applyAlignment="0" applyProtection="0"/>
    <xf numFmtId="9" fontId="20" fillId="0" borderId="0" applyFont="0" applyFill="0" applyBorder="0" applyAlignment="0" applyProtection="0"/>
    <xf numFmtId="167" fontId="20" fillId="0" borderId="0" applyFont="0" applyFill="0" applyBorder="0" applyAlignment="0" applyProtection="0"/>
    <xf numFmtId="0" fontId="20" fillId="0" borderId="0"/>
    <xf numFmtId="44" fontId="20" fillId="0" borderId="0" applyFont="0" applyFill="0" applyBorder="0" applyAlignment="0" applyProtection="0"/>
    <xf numFmtId="9" fontId="20" fillId="0" borderId="0" applyFont="0" applyFill="0" applyBorder="0" applyAlignment="0" applyProtection="0"/>
    <xf numFmtId="167"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0" borderId="0"/>
    <xf numFmtId="44" fontId="20" fillId="0" borderId="0" applyFont="0" applyFill="0" applyBorder="0" applyAlignment="0" applyProtection="0"/>
    <xf numFmtId="9" fontId="20" fillId="0" borderId="0" applyFont="0" applyFill="0" applyBorder="0" applyAlignment="0" applyProtection="0"/>
    <xf numFmtId="167" fontId="20" fillId="0" borderId="0" applyFont="0" applyFill="0" applyBorder="0" applyAlignment="0" applyProtection="0"/>
    <xf numFmtId="0" fontId="20" fillId="0" borderId="0"/>
    <xf numFmtId="44" fontId="20" fillId="0" borderId="0" applyFont="0" applyFill="0" applyBorder="0" applyAlignment="0" applyProtection="0"/>
    <xf numFmtId="9" fontId="20" fillId="0" borderId="0" applyFont="0" applyFill="0" applyBorder="0" applyAlignment="0" applyProtection="0"/>
    <xf numFmtId="167"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8" borderId="12" applyNumberFormat="0" applyFont="0" applyAlignment="0" applyProtection="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0" borderId="0"/>
    <xf numFmtId="44" fontId="20" fillId="0" borderId="0" applyFont="0" applyFill="0" applyBorder="0" applyAlignment="0" applyProtection="0"/>
    <xf numFmtId="9" fontId="20" fillId="0" borderId="0" applyFont="0" applyFill="0" applyBorder="0" applyAlignment="0" applyProtection="0"/>
    <xf numFmtId="167" fontId="20" fillId="0" borderId="0" applyFont="0" applyFill="0" applyBorder="0" applyAlignment="0" applyProtection="0"/>
    <xf numFmtId="0" fontId="20" fillId="0" borderId="0"/>
    <xf numFmtId="44" fontId="20" fillId="0" borderId="0" applyFont="0" applyFill="0" applyBorder="0" applyAlignment="0" applyProtection="0"/>
    <xf numFmtId="9" fontId="20" fillId="0" borderId="0" applyFont="0" applyFill="0" applyBorder="0" applyAlignment="0" applyProtection="0"/>
    <xf numFmtId="167"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0" borderId="0"/>
    <xf numFmtId="44" fontId="19" fillId="0" borderId="0" applyFont="0" applyFill="0" applyBorder="0" applyAlignment="0" applyProtection="0"/>
    <xf numFmtId="9" fontId="19" fillId="0" borderId="0" applyFont="0" applyFill="0" applyBorder="0" applyAlignment="0" applyProtection="0"/>
    <xf numFmtId="167" fontId="19" fillId="0" borderId="0" applyFont="0" applyFill="0" applyBorder="0" applyAlignment="0" applyProtection="0"/>
    <xf numFmtId="0" fontId="19" fillId="0" borderId="0"/>
    <xf numFmtId="44" fontId="19" fillId="0" borderId="0" applyFont="0" applyFill="0" applyBorder="0" applyAlignment="0" applyProtection="0"/>
    <xf numFmtId="9" fontId="19" fillId="0" borderId="0" applyFont="0" applyFill="0" applyBorder="0" applyAlignment="0" applyProtection="0"/>
    <xf numFmtId="167"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8" borderId="12" applyNumberFormat="0" applyFont="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0" borderId="0"/>
    <xf numFmtId="44" fontId="19" fillId="0" borderId="0" applyFont="0" applyFill="0" applyBorder="0" applyAlignment="0" applyProtection="0"/>
    <xf numFmtId="9" fontId="19" fillId="0" borderId="0" applyFont="0" applyFill="0" applyBorder="0" applyAlignment="0" applyProtection="0"/>
    <xf numFmtId="167" fontId="19" fillId="0" borderId="0" applyFont="0" applyFill="0" applyBorder="0" applyAlignment="0" applyProtection="0"/>
    <xf numFmtId="0" fontId="19" fillId="0" borderId="0"/>
    <xf numFmtId="44" fontId="19" fillId="0" borderId="0" applyFont="0" applyFill="0" applyBorder="0" applyAlignment="0" applyProtection="0"/>
    <xf numFmtId="9" fontId="19" fillId="0" borderId="0" applyFont="0" applyFill="0" applyBorder="0" applyAlignment="0" applyProtection="0"/>
    <xf numFmtId="167" fontId="19"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0" borderId="0"/>
    <xf numFmtId="44" fontId="18" fillId="0" borderId="0" applyFont="0" applyFill="0" applyBorder="0" applyAlignment="0" applyProtection="0"/>
    <xf numFmtId="9" fontId="18" fillId="0" borderId="0" applyFont="0" applyFill="0" applyBorder="0" applyAlignment="0" applyProtection="0"/>
    <xf numFmtId="167" fontId="18" fillId="0" borderId="0" applyFont="0" applyFill="0" applyBorder="0" applyAlignment="0" applyProtection="0"/>
    <xf numFmtId="0" fontId="18" fillId="0" borderId="0"/>
    <xf numFmtId="44" fontId="18" fillId="0" borderId="0" applyFont="0" applyFill="0" applyBorder="0" applyAlignment="0" applyProtection="0"/>
    <xf numFmtId="9" fontId="18" fillId="0" borderId="0" applyFont="0" applyFill="0" applyBorder="0" applyAlignment="0" applyProtection="0"/>
    <xf numFmtId="167"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8" borderId="12" applyNumberFormat="0" applyFont="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0" borderId="0"/>
    <xf numFmtId="44" fontId="18" fillId="0" borderId="0" applyFont="0" applyFill="0" applyBorder="0" applyAlignment="0" applyProtection="0"/>
    <xf numFmtId="9" fontId="18" fillId="0" borderId="0" applyFont="0" applyFill="0" applyBorder="0" applyAlignment="0" applyProtection="0"/>
    <xf numFmtId="167" fontId="18" fillId="0" borderId="0" applyFont="0" applyFill="0" applyBorder="0" applyAlignment="0" applyProtection="0"/>
    <xf numFmtId="0" fontId="18" fillId="0" borderId="0"/>
    <xf numFmtId="44" fontId="18" fillId="0" borderId="0" applyFont="0" applyFill="0" applyBorder="0" applyAlignment="0" applyProtection="0"/>
    <xf numFmtId="9" fontId="18" fillId="0" borderId="0" applyFont="0" applyFill="0" applyBorder="0" applyAlignment="0" applyProtection="0"/>
    <xf numFmtId="167" fontId="1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0" borderId="0"/>
    <xf numFmtId="44" fontId="17" fillId="0" borderId="0" applyFont="0" applyFill="0" applyBorder="0" applyAlignment="0" applyProtection="0"/>
    <xf numFmtId="9" fontId="17" fillId="0" borderId="0" applyFont="0" applyFill="0" applyBorder="0" applyAlignment="0" applyProtection="0"/>
    <xf numFmtId="167" fontId="17" fillId="0" borderId="0" applyFont="0" applyFill="0" applyBorder="0" applyAlignment="0" applyProtection="0"/>
    <xf numFmtId="0" fontId="17" fillId="0" borderId="0"/>
    <xf numFmtId="44" fontId="17" fillId="0" borderId="0" applyFont="0" applyFill="0" applyBorder="0" applyAlignment="0" applyProtection="0"/>
    <xf numFmtId="9" fontId="17" fillId="0" borderId="0" applyFont="0" applyFill="0" applyBorder="0" applyAlignment="0" applyProtection="0"/>
    <xf numFmtId="167"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8" borderId="12" applyNumberFormat="0" applyFont="0" applyAlignment="0" applyProtection="0"/>
    <xf numFmtId="0" fontId="17" fillId="10"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0" borderId="0"/>
    <xf numFmtId="44" fontId="17" fillId="0" borderId="0" applyFont="0" applyFill="0" applyBorder="0" applyAlignment="0" applyProtection="0"/>
    <xf numFmtId="9" fontId="17" fillId="0" borderId="0" applyFont="0" applyFill="0" applyBorder="0" applyAlignment="0" applyProtection="0"/>
    <xf numFmtId="167" fontId="17" fillId="0" borderId="0" applyFont="0" applyFill="0" applyBorder="0" applyAlignment="0" applyProtection="0"/>
    <xf numFmtId="0" fontId="17" fillId="0" borderId="0"/>
    <xf numFmtId="44" fontId="17" fillId="0" borderId="0" applyFont="0" applyFill="0" applyBorder="0" applyAlignment="0" applyProtection="0"/>
    <xf numFmtId="9" fontId="17" fillId="0" borderId="0" applyFont="0" applyFill="0" applyBorder="0" applyAlignment="0" applyProtection="0"/>
    <xf numFmtId="167" fontId="1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6" fillId="0" borderId="0" applyFont="0" applyFill="0" applyBorder="0" applyAlignment="0" applyProtection="0"/>
    <xf numFmtId="9" fontId="16" fillId="0" borderId="0" applyFont="0" applyFill="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0" borderId="0"/>
    <xf numFmtId="44" fontId="16" fillId="0" borderId="0" applyFont="0" applyFill="0" applyBorder="0" applyAlignment="0" applyProtection="0"/>
    <xf numFmtId="9" fontId="16" fillId="0" borderId="0" applyFont="0" applyFill="0" applyBorder="0" applyAlignment="0" applyProtection="0"/>
    <xf numFmtId="167" fontId="16" fillId="0" borderId="0" applyFont="0" applyFill="0" applyBorder="0" applyAlignment="0" applyProtection="0"/>
    <xf numFmtId="0" fontId="16" fillId="0" borderId="0"/>
    <xf numFmtId="44" fontId="16" fillId="0" borderId="0" applyFont="0" applyFill="0" applyBorder="0" applyAlignment="0" applyProtection="0"/>
    <xf numFmtId="9"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6" fillId="0" borderId="0" applyFont="0" applyFill="0" applyBorder="0" applyAlignment="0" applyProtection="0"/>
    <xf numFmtId="9" fontId="16" fillId="0" borderId="0" applyFont="0" applyFill="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8" borderId="12" applyNumberFormat="0" applyFont="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0" borderId="0"/>
    <xf numFmtId="44" fontId="16" fillId="0" borderId="0" applyFont="0" applyFill="0" applyBorder="0" applyAlignment="0" applyProtection="0"/>
    <xf numFmtId="9" fontId="16" fillId="0" borderId="0" applyFont="0" applyFill="0" applyBorder="0" applyAlignment="0" applyProtection="0"/>
    <xf numFmtId="167" fontId="16" fillId="0" borderId="0" applyFont="0" applyFill="0" applyBorder="0" applyAlignment="0" applyProtection="0"/>
    <xf numFmtId="0" fontId="16" fillId="0" borderId="0"/>
    <xf numFmtId="44" fontId="16" fillId="0" borderId="0" applyFont="0" applyFill="0" applyBorder="0" applyAlignment="0" applyProtection="0"/>
    <xf numFmtId="9" fontId="16" fillId="0" borderId="0" applyFont="0" applyFill="0" applyBorder="0" applyAlignment="0" applyProtection="0"/>
    <xf numFmtId="167" fontId="1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9" fontId="15" fillId="0" borderId="0" applyFont="0" applyFill="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0" borderId="0"/>
    <xf numFmtId="44" fontId="15" fillId="0" borderId="0" applyFont="0" applyFill="0" applyBorder="0" applyAlignment="0" applyProtection="0"/>
    <xf numFmtId="9" fontId="15" fillId="0" borderId="0" applyFont="0" applyFill="0" applyBorder="0" applyAlignment="0" applyProtection="0"/>
    <xf numFmtId="167" fontId="15" fillId="0" borderId="0" applyFont="0" applyFill="0" applyBorder="0" applyAlignment="0" applyProtection="0"/>
    <xf numFmtId="0" fontId="15" fillId="0" borderId="0"/>
    <xf numFmtId="44" fontId="15" fillId="0" borderId="0" applyFont="0" applyFill="0" applyBorder="0" applyAlignment="0" applyProtection="0"/>
    <xf numFmtId="9" fontId="15" fillId="0" borderId="0" applyFont="0" applyFill="0" applyBorder="0" applyAlignment="0" applyProtection="0"/>
    <xf numFmtId="167"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9" fontId="15" fillId="0" borderId="0" applyFont="0" applyFill="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8" borderId="12"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0" borderId="0"/>
    <xf numFmtId="44" fontId="15" fillId="0" borderId="0" applyFont="0" applyFill="0" applyBorder="0" applyAlignment="0" applyProtection="0"/>
    <xf numFmtId="9" fontId="15" fillId="0" borderId="0" applyFont="0" applyFill="0" applyBorder="0" applyAlignment="0" applyProtection="0"/>
    <xf numFmtId="167" fontId="15" fillId="0" borderId="0" applyFont="0" applyFill="0" applyBorder="0" applyAlignment="0" applyProtection="0"/>
    <xf numFmtId="0" fontId="15" fillId="0" borderId="0"/>
    <xf numFmtId="44" fontId="15" fillId="0" borderId="0" applyFont="0" applyFill="0" applyBorder="0" applyAlignment="0" applyProtection="0"/>
    <xf numFmtId="9" fontId="15" fillId="0" borderId="0" applyFont="0" applyFill="0" applyBorder="0" applyAlignment="0" applyProtection="0"/>
    <xf numFmtId="167" fontId="1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0" borderId="0"/>
    <xf numFmtId="44" fontId="14" fillId="0" borderId="0" applyFont="0" applyFill="0" applyBorder="0" applyAlignment="0" applyProtection="0"/>
    <xf numFmtId="9" fontId="14" fillId="0" borderId="0" applyFont="0" applyFill="0" applyBorder="0" applyAlignment="0" applyProtection="0"/>
    <xf numFmtId="167" fontId="14" fillId="0" borderId="0" applyFont="0" applyFill="0" applyBorder="0" applyAlignment="0" applyProtection="0"/>
    <xf numFmtId="0" fontId="14" fillId="0" borderId="0"/>
    <xf numFmtId="44" fontId="14" fillId="0" borderId="0" applyFont="0" applyFill="0" applyBorder="0" applyAlignment="0" applyProtection="0"/>
    <xf numFmtId="9" fontId="14" fillId="0" borderId="0" applyFont="0" applyFill="0" applyBorder="0" applyAlignment="0" applyProtection="0"/>
    <xf numFmtId="167"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12"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0" borderId="0"/>
    <xf numFmtId="44" fontId="14" fillId="0" borderId="0" applyFont="0" applyFill="0" applyBorder="0" applyAlignment="0" applyProtection="0"/>
    <xf numFmtId="9" fontId="14" fillId="0" borderId="0" applyFont="0" applyFill="0" applyBorder="0" applyAlignment="0" applyProtection="0"/>
    <xf numFmtId="167" fontId="14" fillId="0" borderId="0" applyFont="0" applyFill="0" applyBorder="0" applyAlignment="0" applyProtection="0"/>
    <xf numFmtId="0" fontId="14" fillId="0" borderId="0"/>
    <xf numFmtId="44" fontId="14" fillId="0" borderId="0" applyFont="0" applyFill="0" applyBorder="0" applyAlignment="0" applyProtection="0"/>
    <xf numFmtId="9" fontId="14" fillId="0" borderId="0" applyFont="0" applyFill="0" applyBorder="0" applyAlignment="0" applyProtection="0"/>
    <xf numFmtId="167" fontId="14"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0" borderId="0"/>
    <xf numFmtId="44" fontId="13" fillId="0" borderId="0" applyFont="0" applyFill="0" applyBorder="0" applyAlignment="0" applyProtection="0"/>
    <xf numFmtId="9" fontId="13" fillId="0" borderId="0" applyFont="0" applyFill="0" applyBorder="0" applyAlignment="0" applyProtection="0"/>
    <xf numFmtId="167" fontId="13" fillId="0" borderId="0" applyFont="0" applyFill="0" applyBorder="0" applyAlignment="0" applyProtection="0"/>
    <xf numFmtId="0" fontId="13" fillId="0" borderId="0"/>
    <xf numFmtId="44" fontId="13" fillId="0" borderId="0" applyFont="0" applyFill="0" applyBorder="0" applyAlignment="0" applyProtection="0"/>
    <xf numFmtId="9"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0" borderId="0"/>
    <xf numFmtId="44" fontId="13" fillId="0" borderId="0" applyFont="0" applyFill="0" applyBorder="0" applyAlignment="0" applyProtection="0"/>
    <xf numFmtId="9" fontId="13" fillId="0" borderId="0" applyFont="0" applyFill="0" applyBorder="0" applyAlignment="0" applyProtection="0"/>
    <xf numFmtId="167" fontId="13" fillId="0" borderId="0" applyFont="0" applyFill="0" applyBorder="0" applyAlignment="0" applyProtection="0"/>
    <xf numFmtId="0" fontId="13" fillId="0" borderId="0"/>
    <xf numFmtId="44" fontId="13" fillId="0" borderId="0" applyFont="0" applyFill="0" applyBorder="0" applyAlignment="0" applyProtection="0"/>
    <xf numFmtId="9"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0" borderId="0"/>
    <xf numFmtId="44" fontId="13" fillId="0" borderId="0" applyFont="0" applyFill="0" applyBorder="0" applyAlignment="0" applyProtection="0"/>
    <xf numFmtId="9" fontId="13" fillId="0" borderId="0" applyFont="0" applyFill="0" applyBorder="0" applyAlignment="0" applyProtection="0"/>
    <xf numFmtId="167" fontId="13" fillId="0" borderId="0" applyFont="0" applyFill="0" applyBorder="0" applyAlignment="0" applyProtection="0"/>
    <xf numFmtId="0" fontId="13" fillId="0" borderId="0"/>
    <xf numFmtId="44" fontId="13" fillId="0" borderId="0" applyFont="0" applyFill="0" applyBorder="0" applyAlignment="0" applyProtection="0"/>
    <xf numFmtId="9"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12"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0" borderId="0"/>
    <xf numFmtId="44" fontId="13" fillId="0" borderId="0" applyFont="0" applyFill="0" applyBorder="0" applyAlignment="0" applyProtection="0"/>
    <xf numFmtId="9" fontId="13" fillId="0" borderId="0" applyFont="0" applyFill="0" applyBorder="0" applyAlignment="0" applyProtection="0"/>
    <xf numFmtId="167" fontId="13" fillId="0" borderId="0" applyFont="0" applyFill="0" applyBorder="0" applyAlignment="0" applyProtection="0"/>
    <xf numFmtId="0" fontId="13" fillId="0" borderId="0"/>
    <xf numFmtId="44" fontId="13" fillId="0" borderId="0" applyFont="0" applyFill="0" applyBorder="0" applyAlignment="0" applyProtection="0"/>
    <xf numFmtId="9" fontId="13" fillId="0" borderId="0" applyFont="0" applyFill="0" applyBorder="0" applyAlignment="0" applyProtection="0"/>
    <xf numFmtId="167" fontId="13"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0" borderId="0"/>
    <xf numFmtId="44" fontId="11" fillId="0" borderId="0" applyFont="0" applyFill="0" applyBorder="0" applyAlignment="0" applyProtection="0"/>
    <xf numFmtId="9" fontId="11" fillId="0" borderId="0" applyFont="0" applyFill="0" applyBorder="0" applyAlignment="0" applyProtection="0"/>
    <xf numFmtId="167" fontId="11" fillId="0" borderId="0" applyFont="0" applyFill="0" applyBorder="0" applyAlignment="0" applyProtection="0"/>
    <xf numFmtId="0" fontId="11" fillId="0" borderId="0"/>
    <xf numFmtId="44" fontId="11" fillId="0" borderId="0" applyFont="0" applyFill="0" applyBorder="0" applyAlignment="0" applyProtection="0"/>
    <xf numFmtId="9" fontId="11" fillId="0" borderId="0" applyFont="0" applyFill="0" applyBorder="0" applyAlignment="0" applyProtection="0"/>
    <xf numFmtId="167"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12"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0" borderId="0"/>
    <xf numFmtId="44" fontId="11" fillId="0" borderId="0" applyFont="0" applyFill="0" applyBorder="0" applyAlignment="0" applyProtection="0"/>
    <xf numFmtId="9" fontId="11" fillId="0" borderId="0" applyFont="0" applyFill="0" applyBorder="0" applyAlignment="0" applyProtection="0"/>
    <xf numFmtId="167" fontId="11" fillId="0" borderId="0" applyFont="0" applyFill="0" applyBorder="0" applyAlignment="0" applyProtection="0"/>
    <xf numFmtId="0" fontId="11" fillId="0" borderId="0"/>
    <xf numFmtId="44" fontId="11" fillId="0" borderId="0" applyFont="0" applyFill="0" applyBorder="0" applyAlignment="0" applyProtection="0"/>
    <xf numFmtId="9" fontId="11" fillId="0" borderId="0" applyFont="0" applyFill="0" applyBorder="0" applyAlignment="0" applyProtection="0"/>
    <xf numFmtId="167" fontId="11" fillId="0" borderId="0" applyFont="0" applyFill="0" applyBorder="0" applyAlignment="0" applyProtection="0"/>
    <xf numFmtId="0" fontId="11" fillId="0" borderId="0"/>
    <xf numFmtId="44" fontId="11" fillId="0" borderId="0" applyFont="0" applyFill="0" applyBorder="0" applyAlignment="0" applyProtection="0"/>
    <xf numFmtId="9" fontId="8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44" fontId="10" fillId="0" borderId="0" applyFont="0" applyFill="0" applyBorder="0" applyAlignment="0" applyProtection="0"/>
    <xf numFmtId="9" fontId="10" fillId="0" borderId="0" applyFont="0" applyFill="0" applyBorder="0" applyAlignment="0" applyProtection="0"/>
    <xf numFmtId="167" fontId="10" fillId="0" borderId="0" applyFont="0" applyFill="0" applyBorder="0" applyAlignment="0" applyProtection="0"/>
    <xf numFmtId="0" fontId="10" fillId="0" borderId="0"/>
    <xf numFmtId="44" fontId="10" fillId="0" borderId="0" applyFont="0" applyFill="0" applyBorder="0" applyAlignment="0" applyProtection="0"/>
    <xf numFmtId="9"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12"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44" fontId="10" fillId="0" borderId="0" applyFont="0" applyFill="0" applyBorder="0" applyAlignment="0" applyProtection="0"/>
    <xf numFmtId="9" fontId="10" fillId="0" borderId="0" applyFont="0" applyFill="0" applyBorder="0" applyAlignment="0" applyProtection="0"/>
    <xf numFmtId="167" fontId="10" fillId="0" borderId="0" applyFont="0" applyFill="0" applyBorder="0" applyAlignment="0" applyProtection="0"/>
    <xf numFmtId="0" fontId="10" fillId="0" borderId="0"/>
    <xf numFmtId="44" fontId="10" fillId="0" borderId="0" applyFont="0" applyFill="0" applyBorder="0" applyAlignment="0" applyProtection="0"/>
    <xf numFmtId="9" fontId="10" fillId="0" borderId="0" applyFont="0" applyFill="0" applyBorder="0" applyAlignment="0" applyProtection="0"/>
    <xf numFmtId="167" fontId="1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12"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167" fontId="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xf numFmtId="167"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12"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xf numFmtId="167"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xf numFmtId="167" fontId="6" fillId="0" borderId="0" applyFont="0" applyFill="0" applyBorder="0" applyAlignment="0" applyProtection="0"/>
    <xf numFmtId="0" fontId="5" fillId="31" borderId="0" applyNumberFormat="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19" borderId="0" applyNumberFormat="0" applyBorder="0" applyAlignment="0" applyProtection="0"/>
    <xf numFmtId="0" fontId="5" fillId="31" borderId="0" applyNumberFormat="0" applyBorder="0" applyAlignment="0" applyProtection="0"/>
    <xf numFmtId="0" fontId="5" fillId="0" borderId="0"/>
    <xf numFmtId="0" fontId="5" fillId="26"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8" borderId="12" applyNumberFormat="0" applyFont="0" applyAlignment="0" applyProtection="0"/>
    <xf numFmtId="0" fontId="5" fillId="0" borderId="0"/>
    <xf numFmtId="0" fontId="5" fillId="14"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167" fontId="5" fillId="0" borderId="0" applyFont="0" applyFill="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15"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8" borderId="12" applyNumberFormat="0" applyFont="0" applyAlignment="0" applyProtection="0"/>
    <xf numFmtId="0" fontId="5" fillId="18" borderId="0" applyNumberFormat="0" applyBorder="0" applyAlignment="0" applyProtection="0"/>
    <xf numFmtId="0" fontId="5" fillId="0" borderId="0"/>
    <xf numFmtId="0" fontId="5" fillId="31" borderId="0" applyNumberFormat="0" applyBorder="0" applyAlignment="0" applyProtection="0"/>
    <xf numFmtId="0" fontId="5" fillId="30"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8" borderId="0" applyNumberFormat="0" applyBorder="0" applyAlignment="0" applyProtection="0"/>
    <xf numFmtId="44" fontId="5" fillId="0" borderId="0" applyFont="0" applyFill="0" applyBorder="0" applyAlignment="0" applyProtection="0"/>
    <xf numFmtId="0" fontId="5" fillId="23" borderId="0" applyNumberFormat="0" applyBorder="0" applyAlignment="0" applyProtection="0"/>
    <xf numFmtId="44" fontId="5" fillId="0" borderId="0" applyFont="0" applyFill="0" applyBorder="0" applyAlignment="0" applyProtection="0"/>
    <xf numFmtId="0" fontId="5" fillId="30" borderId="0" applyNumberFormat="0" applyBorder="0" applyAlignment="0" applyProtection="0"/>
    <xf numFmtId="0" fontId="5" fillId="30" borderId="0" applyNumberFormat="0" applyBorder="0" applyAlignment="0" applyProtection="0"/>
    <xf numFmtId="9" fontId="5" fillId="0" borderId="0" applyFont="0" applyFill="0" applyBorder="0" applyAlignment="0" applyProtection="0"/>
    <xf numFmtId="0" fontId="5" fillId="0" borderId="0"/>
    <xf numFmtId="0" fontId="5" fillId="14"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0" fontId="5" fillId="18" borderId="0" applyNumberFormat="0" applyBorder="0" applyAlignment="0" applyProtection="0"/>
    <xf numFmtId="0" fontId="5" fillId="15" borderId="0" applyNumberFormat="0" applyBorder="0" applyAlignment="0" applyProtection="0"/>
    <xf numFmtId="0" fontId="5" fillId="22"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9" fontId="5" fillId="0" borderId="0" applyFont="0" applyFill="0" applyBorder="0" applyAlignment="0" applyProtection="0"/>
    <xf numFmtId="44" fontId="5" fillId="0" borderId="0" applyFont="0" applyFill="0" applyBorder="0" applyAlignment="0" applyProtection="0"/>
    <xf numFmtId="0" fontId="5" fillId="27" borderId="0" applyNumberFormat="0" applyBorder="0" applyAlignment="0" applyProtection="0"/>
    <xf numFmtId="0" fontId="5" fillId="0" borderId="0"/>
    <xf numFmtId="0" fontId="5" fillId="10" borderId="0" applyNumberFormat="0" applyBorder="0" applyAlignment="0" applyProtection="0"/>
    <xf numFmtId="9" fontId="5" fillId="0" borderId="0" applyFont="0" applyFill="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27"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8" borderId="12" applyNumberFormat="0" applyFont="0" applyAlignment="0" applyProtection="0"/>
    <xf numFmtId="0" fontId="5" fillId="18" borderId="0" applyNumberFormat="0" applyBorder="0" applyAlignment="0" applyProtection="0"/>
    <xf numFmtId="0" fontId="5" fillId="18" borderId="0" applyNumberFormat="0" applyBorder="0" applyAlignment="0" applyProtection="0"/>
    <xf numFmtId="0" fontId="5" fillId="27"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10" borderId="0" applyNumberFormat="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0" borderId="0"/>
    <xf numFmtId="0" fontId="5" fillId="0" borderId="0"/>
    <xf numFmtId="0" fontId="5" fillId="26" borderId="0" applyNumberFormat="0" applyBorder="0" applyAlignment="0" applyProtection="0"/>
    <xf numFmtId="0" fontId="5" fillId="11" borderId="0" applyNumberFormat="0" applyBorder="0" applyAlignment="0" applyProtection="0"/>
    <xf numFmtId="0" fontId="5" fillId="0" borderId="0"/>
    <xf numFmtId="0" fontId="5" fillId="22" borderId="0" applyNumberFormat="0" applyBorder="0" applyAlignment="0" applyProtection="0"/>
    <xf numFmtId="43" fontId="5" fillId="0" borderId="0" applyFont="0" applyFill="0" applyBorder="0" applyAlignment="0" applyProtection="0"/>
    <xf numFmtId="0" fontId="5" fillId="30" borderId="0" applyNumberFormat="0" applyBorder="0" applyAlignment="0" applyProtection="0"/>
    <xf numFmtId="0" fontId="5" fillId="18" borderId="0" applyNumberFormat="0" applyBorder="0" applyAlignment="0" applyProtection="0"/>
    <xf numFmtId="0" fontId="5" fillId="0" borderId="0"/>
    <xf numFmtId="0" fontId="5" fillId="26" borderId="0" applyNumberFormat="0" applyBorder="0" applyAlignment="0" applyProtection="0"/>
    <xf numFmtId="0" fontId="5" fillId="30" borderId="0" applyNumberFormat="0" applyBorder="0" applyAlignment="0" applyProtection="0"/>
    <xf numFmtId="0" fontId="5" fillId="19" borderId="0" applyNumberFormat="0" applyBorder="0" applyAlignment="0" applyProtection="0"/>
    <xf numFmtId="0" fontId="5" fillId="11" borderId="0" applyNumberFormat="0" applyBorder="0" applyAlignment="0" applyProtection="0"/>
    <xf numFmtId="0" fontId="5" fillId="0" borderId="0"/>
    <xf numFmtId="44" fontId="5" fillId="0" borderId="0" applyFont="0" applyFill="0" applyBorder="0" applyAlignment="0" applyProtection="0"/>
    <xf numFmtId="0" fontId="5" fillId="10" borderId="0" applyNumberFormat="0" applyBorder="0" applyAlignment="0" applyProtection="0"/>
    <xf numFmtId="0" fontId="5" fillId="30" borderId="0" applyNumberFormat="0" applyBorder="0" applyAlignment="0" applyProtection="0"/>
    <xf numFmtId="43" fontId="5" fillId="0" borderId="0" applyFont="0" applyFill="0" applyBorder="0" applyAlignment="0" applyProtection="0"/>
    <xf numFmtId="0" fontId="5" fillId="0" borderId="0"/>
    <xf numFmtId="0" fontId="5" fillId="30"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30" borderId="0" applyNumberFormat="0" applyBorder="0" applyAlignment="0" applyProtection="0"/>
    <xf numFmtId="43" fontId="5" fillId="0" borderId="0" applyFont="0" applyFill="0" applyBorder="0" applyAlignment="0" applyProtection="0"/>
    <xf numFmtId="0" fontId="5" fillId="8" borderId="12" applyNumberFormat="0" applyFont="0" applyAlignment="0" applyProtection="0"/>
    <xf numFmtId="0" fontId="5" fillId="23"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2" borderId="0" applyNumberFormat="0" applyBorder="0" applyAlignment="0" applyProtection="0"/>
    <xf numFmtId="9" fontId="5" fillId="0" borderId="0" applyFont="0" applyFill="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0" borderId="0"/>
    <xf numFmtId="0" fontId="5" fillId="27" borderId="0" applyNumberFormat="0" applyBorder="0" applyAlignment="0" applyProtection="0"/>
    <xf numFmtId="0" fontId="5" fillId="0" borderId="0"/>
    <xf numFmtId="0" fontId="5" fillId="11"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0" fontId="5" fillId="0" borderId="0"/>
    <xf numFmtId="0" fontId="5" fillId="26" borderId="0" applyNumberFormat="0" applyBorder="0" applyAlignment="0" applyProtection="0"/>
    <xf numFmtId="0" fontId="5" fillId="23" borderId="0" applyNumberFormat="0" applyBorder="0" applyAlignment="0" applyProtection="0"/>
    <xf numFmtId="0" fontId="5" fillId="11" borderId="0" applyNumberFormat="0" applyBorder="0" applyAlignment="0" applyProtection="0"/>
    <xf numFmtId="9" fontId="5" fillId="0" borderId="0" applyFont="0" applyFill="0" applyBorder="0" applyAlignment="0" applyProtection="0"/>
    <xf numFmtId="167" fontId="5" fillId="0" borderId="0" applyFont="0" applyFill="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27"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31" borderId="0" applyNumberFormat="0" applyBorder="0" applyAlignment="0" applyProtection="0"/>
    <xf numFmtId="0" fontId="5" fillId="0" borderId="0"/>
    <xf numFmtId="0" fontId="5" fillId="14" borderId="0" applyNumberFormat="0" applyBorder="0" applyAlignment="0" applyProtection="0"/>
    <xf numFmtId="0" fontId="5" fillId="30" borderId="0" applyNumberFormat="0" applyBorder="0" applyAlignment="0" applyProtection="0"/>
    <xf numFmtId="9" fontId="5" fillId="0" borderId="0" applyFont="0" applyFill="0" applyBorder="0" applyAlignment="0" applyProtection="0"/>
    <xf numFmtId="0" fontId="5" fillId="8" borderId="12" applyNumberFormat="0" applyFont="0" applyAlignment="0" applyProtection="0"/>
    <xf numFmtId="9" fontId="5" fillId="0" borderId="0" applyFont="0" applyFill="0" applyBorder="0" applyAlignment="0" applyProtection="0"/>
    <xf numFmtId="0" fontId="5" fillId="27" borderId="0" applyNumberFormat="0" applyBorder="0" applyAlignment="0" applyProtection="0"/>
    <xf numFmtId="43" fontId="5" fillId="0" borderId="0" applyFont="0" applyFill="0" applyBorder="0" applyAlignment="0" applyProtection="0"/>
    <xf numFmtId="0" fontId="5" fillId="0" borderId="0"/>
    <xf numFmtId="0" fontId="5" fillId="0" borderId="0"/>
    <xf numFmtId="0" fontId="5" fillId="19"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11" borderId="0" applyNumberFormat="0" applyBorder="0" applyAlignment="0" applyProtection="0"/>
    <xf numFmtId="9" fontId="5" fillId="0" borderId="0" applyFont="0" applyFill="0" applyBorder="0" applyAlignment="0" applyProtection="0"/>
    <xf numFmtId="0" fontId="5" fillId="8" borderId="12" applyNumberFormat="0" applyFont="0" applyAlignment="0" applyProtection="0"/>
    <xf numFmtId="43" fontId="5" fillId="0" borderId="0" applyFont="0" applyFill="0" applyBorder="0" applyAlignment="0" applyProtection="0"/>
    <xf numFmtId="0" fontId="5" fillId="30" borderId="0" applyNumberFormat="0" applyBorder="0" applyAlignment="0" applyProtection="0"/>
    <xf numFmtId="0" fontId="5" fillId="0" borderId="0"/>
    <xf numFmtId="0" fontId="5" fillId="19" borderId="0" applyNumberFormat="0" applyBorder="0" applyAlignment="0" applyProtection="0"/>
    <xf numFmtId="0" fontId="5" fillId="8" borderId="12" applyNumberFormat="0" applyFont="0" applyAlignment="0" applyProtection="0"/>
    <xf numFmtId="0" fontId="5" fillId="11"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14" borderId="0" applyNumberFormat="0" applyBorder="0" applyAlignment="0" applyProtection="0"/>
    <xf numFmtId="0" fontId="5" fillId="27"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27"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0" borderId="0"/>
    <xf numFmtId="0" fontId="5" fillId="19" borderId="0" applyNumberFormat="0" applyBorder="0" applyAlignment="0" applyProtection="0"/>
    <xf numFmtId="0" fontId="5" fillId="8" borderId="12" applyNumberFormat="0" applyFont="0" applyAlignment="0" applyProtection="0"/>
    <xf numFmtId="0" fontId="5" fillId="23" borderId="0" applyNumberFormat="0" applyBorder="0" applyAlignment="0" applyProtection="0"/>
    <xf numFmtId="0" fontId="5" fillId="10" borderId="0" applyNumberFormat="0" applyBorder="0" applyAlignment="0" applyProtection="0"/>
    <xf numFmtId="0" fontId="5" fillId="19" borderId="0" applyNumberFormat="0" applyBorder="0" applyAlignment="0" applyProtection="0"/>
    <xf numFmtId="0" fontId="5" fillId="10" borderId="0" applyNumberFormat="0" applyBorder="0" applyAlignment="0" applyProtection="0"/>
    <xf numFmtId="0" fontId="5" fillId="19"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0"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30"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167" fontId="5" fillId="0" borderId="0" applyFon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0"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0" borderId="0"/>
    <xf numFmtId="0" fontId="5" fillId="30" borderId="0" applyNumberFormat="0" applyBorder="0" applyAlignment="0" applyProtection="0"/>
    <xf numFmtId="0" fontId="5" fillId="10" borderId="0" applyNumberFormat="0" applyBorder="0" applyAlignment="0" applyProtection="0"/>
    <xf numFmtId="0" fontId="5" fillId="0" borderId="0"/>
    <xf numFmtId="0" fontId="5" fillId="31" borderId="0" applyNumberFormat="0" applyBorder="0" applyAlignment="0" applyProtection="0"/>
    <xf numFmtId="0" fontId="5" fillId="18" borderId="0" applyNumberFormat="0" applyBorder="0" applyAlignment="0" applyProtection="0"/>
    <xf numFmtId="0" fontId="5" fillId="27" borderId="0" applyNumberFormat="0" applyBorder="0" applyAlignment="0" applyProtection="0"/>
    <xf numFmtId="167" fontId="5" fillId="0" borderId="0" applyFont="0" applyFill="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10" borderId="0" applyNumberFormat="0" applyBorder="0" applyAlignment="0" applyProtection="0"/>
    <xf numFmtId="0" fontId="5" fillId="26" borderId="0" applyNumberFormat="0" applyBorder="0" applyAlignment="0" applyProtection="0"/>
    <xf numFmtId="0" fontId="5" fillId="19"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0" borderId="0"/>
    <xf numFmtId="0" fontId="5" fillId="0" borderId="0"/>
    <xf numFmtId="0" fontId="5" fillId="11" borderId="0" applyNumberFormat="0" applyBorder="0" applyAlignment="0" applyProtection="0"/>
    <xf numFmtId="0" fontId="5" fillId="0" borderId="0"/>
    <xf numFmtId="0" fontId="5" fillId="11" borderId="0" applyNumberFormat="0" applyBorder="0" applyAlignment="0" applyProtection="0"/>
    <xf numFmtId="0" fontId="5" fillId="22" borderId="0" applyNumberFormat="0" applyBorder="0" applyAlignment="0" applyProtection="0"/>
    <xf numFmtId="0" fontId="5" fillId="27" borderId="0" applyNumberFormat="0" applyBorder="0" applyAlignment="0" applyProtection="0"/>
    <xf numFmtId="0" fontId="5" fillId="10"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10" borderId="0" applyNumberFormat="0" applyBorder="0" applyAlignment="0" applyProtection="0"/>
    <xf numFmtId="0" fontId="5" fillId="0" borderId="0"/>
    <xf numFmtId="0" fontId="5" fillId="8" borderId="12" applyNumberFormat="0" applyFont="0" applyAlignment="0" applyProtection="0"/>
    <xf numFmtId="0" fontId="5" fillId="14"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0" borderId="0"/>
    <xf numFmtId="0" fontId="5" fillId="18" borderId="0" applyNumberFormat="0" applyBorder="0" applyAlignment="0" applyProtection="0"/>
    <xf numFmtId="0" fontId="5" fillId="0" borderId="0"/>
    <xf numFmtId="0" fontId="5" fillId="23" borderId="0" applyNumberFormat="0" applyBorder="0" applyAlignment="0" applyProtection="0"/>
    <xf numFmtId="0" fontId="5" fillId="11" borderId="0" applyNumberFormat="0" applyBorder="0" applyAlignment="0" applyProtection="0"/>
    <xf numFmtId="0" fontId="5" fillId="22" borderId="0" applyNumberFormat="0" applyBorder="0" applyAlignment="0" applyProtection="0"/>
    <xf numFmtId="167" fontId="5" fillId="0" borderId="0" applyFont="0" applyFill="0" applyBorder="0" applyAlignment="0" applyProtection="0"/>
    <xf numFmtId="0" fontId="5" fillId="11" borderId="0" applyNumberFormat="0" applyBorder="0" applyAlignment="0" applyProtection="0"/>
    <xf numFmtId="43" fontId="5" fillId="0" borderId="0" applyFont="0" applyFill="0" applyBorder="0" applyAlignment="0" applyProtection="0"/>
    <xf numFmtId="0" fontId="5" fillId="0" borderId="0"/>
    <xf numFmtId="0" fontId="5" fillId="18" borderId="0" applyNumberFormat="0" applyBorder="0" applyAlignment="0" applyProtection="0"/>
    <xf numFmtId="0" fontId="5" fillId="22" borderId="0" applyNumberFormat="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8" borderId="12" applyNumberFormat="0" applyFont="0" applyAlignment="0" applyProtection="0"/>
    <xf numFmtId="0" fontId="5" fillId="26"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18" borderId="0" applyNumberFormat="0" applyBorder="0" applyAlignment="0" applyProtection="0"/>
    <xf numFmtId="0" fontId="5" fillId="0" borderId="0"/>
    <xf numFmtId="0" fontId="5" fillId="18" borderId="0" applyNumberFormat="0" applyBorder="0" applyAlignment="0" applyProtection="0"/>
    <xf numFmtId="0" fontId="5" fillId="23"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0" borderId="0"/>
    <xf numFmtId="0" fontId="5" fillId="15"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22"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26" borderId="0" applyNumberFormat="0" applyBorder="0" applyAlignment="0" applyProtection="0"/>
    <xf numFmtId="167" fontId="5" fillId="0" borderId="0" applyFont="0" applyFill="0" applyBorder="0" applyAlignment="0" applyProtection="0"/>
    <xf numFmtId="0" fontId="5" fillId="19" borderId="0" applyNumberFormat="0" applyBorder="0" applyAlignment="0" applyProtection="0"/>
    <xf numFmtId="9" fontId="5" fillId="0" borderId="0" applyFont="0" applyFill="0" applyBorder="0" applyAlignment="0" applyProtection="0"/>
    <xf numFmtId="0" fontId="5" fillId="22" borderId="0" applyNumberFormat="0" applyBorder="0" applyAlignment="0" applyProtection="0"/>
    <xf numFmtId="0" fontId="5" fillId="27" borderId="0" applyNumberFormat="0" applyBorder="0" applyAlignment="0" applyProtection="0"/>
    <xf numFmtId="0" fontId="5" fillId="11" borderId="0" applyNumberFormat="0" applyBorder="0" applyAlignment="0" applyProtection="0"/>
    <xf numFmtId="0" fontId="5" fillId="18" borderId="0" applyNumberFormat="0" applyBorder="0" applyAlignment="0" applyProtection="0"/>
    <xf numFmtId="0" fontId="5" fillId="27" borderId="0" applyNumberFormat="0" applyBorder="0" applyAlignment="0" applyProtection="0"/>
    <xf numFmtId="0" fontId="5" fillId="22" borderId="0" applyNumberFormat="0" applyBorder="0" applyAlignment="0" applyProtection="0"/>
    <xf numFmtId="0" fontId="5" fillId="0" borderId="0"/>
    <xf numFmtId="0" fontId="5" fillId="0" borderId="0"/>
    <xf numFmtId="0" fontId="5" fillId="22" borderId="0" applyNumberFormat="0" applyBorder="0" applyAlignment="0" applyProtection="0"/>
    <xf numFmtId="0" fontId="5" fillId="11" borderId="0" applyNumberFormat="0" applyBorder="0" applyAlignment="0" applyProtection="0"/>
    <xf numFmtId="0" fontId="5" fillId="8" borderId="12" applyNumberFormat="0" applyFont="0" applyAlignment="0" applyProtection="0"/>
    <xf numFmtId="43" fontId="5" fillId="0" borderId="0" applyFont="0" applyFill="0" applyBorder="0" applyAlignment="0" applyProtection="0"/>
    <xf numFmtId="0" fontId="5" fillId="31" borderId="0" applyNumberFormat="0" applyBorder="0" applyAlignment="0" applyProtection="0"/>
    <xf numFmtId="0" fontId="5" fillId="22"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8" borderId="12" applyNumberFormat="0" applyFont="0" applyAlignment="0" applyProtection="0"/>
    <xf numFmtId="0" fontId="5" fillId="19" borderId="0" applyNumberFormat="0" applyBorder="0" applyAlignment="0" applyProtection="0"/>
    <xf numFmtId="0" fontId="5" fillId="14" borderId="0" applyNumberFormat="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22" borderId="0" applyNumberFormat="0" applyBorder="0" applyAlignment="0" applyProtection="0"/>
    <xf numFmtId="0" fontId="5" fillId="0" borderId="0"/>
    <xf numFmtId="0" fontId="5" fillId="19"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26"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19" borderId="0" applyNumberFormat="0" applyBorder="0" applyAlignment="0" applyProtection="0"/>
    <xf numFmtId="0" fontId="5" fillId="0" borderId="0"/>
    <xf numFmtId="0" fontId="5" fillId="23"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18" borderId="0" applyNumberFormat="0" applyBorder="0" applyAlignment="0" applyProtection="0"/>
    <xf numFmtId="0" fontId="5" fillId="14" borderId="0" applyNumberFormat="0" applyBorder="0" applyAlignment="0" applyProtection="0"/>
    <xf numFmtId="0" fontId="5" fillId="11" borderId="0" applyNumberFormat="0" applyBorder="0" applyAlignment="0" applyProtection="0"/>
    <xf numFmtId="167" fontId="5" fillId="0" borderId="0" applyFont="0" applyFill="0" applyBorder="0" applyAlignment="0" applyProtection="0"/>
    <xf numFmtId="0" fontId="5" fillId="0" borderId="0"/>
    <xf numFmtId="0" fontId="5" fillId="8" borderId="12" applyNumberFormat="0" applyFont="0" applyAlignment="0" applyProtection="0"/>
    <xf numFmtId="0" fontId="5" fillId="15" borderId="0" applyNumberFormat="0" applyBorder="0" applyAlignment="0" applyProtection="0"/>
    <xf numFmtId="0" fontId="5" fillId="26"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31" borderId="0" applyNumberFormat="0" applyBorder="0" applyAlignment="0" applyProtection="0"/>
    <xf numFmtId="0" fontId="5" fillId="14"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0" borderId="0"/>
    <xf numFmtId="0" fontId="5" fillId="8" borderId="12" applyNumberFormat="0" applyFont="0" applyAlignment="0" applyProtection="0"/>
    <xf numFmtId="0" fontId="5" fillId="0" borderId="0"/>
    <xf numFmtId="0" fontId="5" fillId="8" borderId="12" applyNumberFormat="0" applyFont="0" applyAlignment="0" applyProtection="0"/>
    <xf numFmtId="0" fontId="5" fillId="8" borderId="12" applyNumberFormat="0" applyFont="0" applyAlignment="0" applyProtection="0"/>
    <xf numFmtId="0" fontId="5" fillId="14" borderId="0" applyNumberFormat="0" applyBorder="0" applyAlignment="0" applyProtection="0"/>
    <xf numFmtId="167" fontId="5" fillId="0" borderId="0" applyFont="0" applyFill="0" applyBorder="0" applyAlignment="0" applyProtection="0"/>
    <xf numFmtId="0" fontId="5" fillId="22"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0" borderId="0"/>
    <xf numFmtId="0" fontId="5" fillId="0" borderId="0"/>
    <xf numFmtId="0" fontId="5" fillId="18" borderId="0" applyNumberFormat="0" applyBorder="0" applyAlignment="0" applyProtection="0"/>
    <xf numFmtId="9" fontId="5" fillId="0" borderId="0" applyFont="0" applyFill="0" applyBorder="0" applyAlignment="0" applyProtection="0"/>
    <xf numFmtId="0" fontId="5" fillId="0" borderId="0"/>
    <xf numFmtId="0" fontId="5" fillId="0" borderId="0"/>
    <xf numFmtId="0" fontId="5" fillId="11" borderId="0" applyNumberFormat="0" applyBorder="0" applyAlignment="0" applyProtection="0"/>
    <xf numFmtId="0" fontId="5" fillId="0" borderId="0"/>
    <xf numFmtId="0" fontId="5" fillId="11"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18" borderId="0" applyNumberFormat="0" applyBorder="0" applyAlignment="0" applyProtection="0"/>
    <xf numFmtId="0" fontId="5" fillId="14" borderId="0" applyNumberFormat="0" applyBorder="0" applyAlignment="0" applyProtection="0"/>
    <xf numFmtId="0" fontId="5" fillId="23" borderId="0" applyNumberFormat="0" applyBorder="0" applyAlignment="0" applyProtection="0"/>
    <xf numFmtId="43" fontId="5" fillId="0" borderId="0" applyFont="0" applyFill="0" applyBorder="0" applyAlignment="0" applyProtection="0"/>
    <xf numFmtId="0" fontId="5" fillId="0" borderId="0"/>
    <xf numFmtId="0" fontId="5" fillId="11"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31" borderId="0" applyNumberFormat="0" applyBorder="0" applyAlignment="0" applyProtection="0"/>
    <xf numFmtId="43" fontId="5" fillId="0" borderId="0" applyFont="0" applyFill="0" applyBorder="0" applyAlignment="0" applyProtection="0"/>
    <xf numFmtId="0" fontId="5" fillId="30" borderId="0" applyNumberFormat="0" applyBorder="0" applyAlignment="0" applyProtection="0"/>
    <xf numFmtId="0" fontId="5" fillId="23" borderId="0" applyNumberFormat="0" applyBorder="0" applyAlignment="0" applyProtection="0"/>
    <xf numFmtId="0" fontId="5" fillId="8" borderId="12" applyNumberFormat="0" applyFont="0" applyAlignment="0" applyProtection="0"/>
    <xf numFmtId="0" fontId="5" fillId="11" borderId="0" applyNumberFormat="0" applyBorder="0" applyAlignment="0" applyProtection="0"/>
    <xf numFmtId="0" fontId="5" fillId="26"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9" fontId="5" fillId="0" borderId="0" applyFont="0" applyFill="0" applyBorder="0" applyAlignment="0" applyProtection="0"/>
    <xf numFmtId="0" fontId="5" fillId="0" borderId="0"/>
    <xf numFmtId="0" fontId="5" fillId="18"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30" borderId="0" applyNumberFormat="0" applyBorder="0" applyAlignment="0" applyProtection="0"/>
    <xf numFmtId="0" fontId="5" fillId="10" borderId="0" applyNumberFormat="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0" borderId="0"/>
    <xf numFmtId="0" fontId="5" fillId="27" borderId="0" applyNumberFormat="0" applyBorder="0" applyAlignment="0" applyProtection="0"/>
    <xf numFmtId="43" fontId="5" fillId="0" borderId="0" applyFont="0" applyFill="0" applyBorder="0" applyAlignment="0" applyProtection="0"/>
    <xf numFmtId="0" fontId="5" fillId="19" borderId="0" applyNumberFormat="0" applyBorder="0" applyAlignment="0" applyProtection="0"/>
    <xf numFmtId="0" fontId="5" fillId="30"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167" fontId="5" fillId="0" borderId="0" applyFont="0" applyFill="0" applyBorder="0" applyAlignment="0" applyProtection="0"/>
    <xf numFmtId="0" fontId="5" fillId="27" borderId="0" applyNumberFormat="0" applyBorder="0" applyAlignment="0" applyProtection="0"/>
    <xf numFmtId="9" fontId="5" fillId="0" borderId="0" applyFont="0" applyFill="0" applyBorder="0" applyAlignment="0" applyProtection="0"/>
    <xf numFmtId="0" fontId="5" fillId="8" borderId="12" applyNumberFormat="0" applyFont="0" applyAlignment="0" applyProtection="0"/>
    <xf numFmtId="0" fontId="5" fillId="19"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14" borderId="0" applyNumberFormat="0" applyBorder="0" applyAlignment="0" applyProtection="0"/>
    <xf numFmtId="0" fontId="5" fillId="31"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10" borderId="0" applyNumberFormat="0" applyBorder="0" applyAlignment="0" applyProtection="0"/>
    <xf numFmtId="0" fontId="5" fillId="27"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0" borderId="0"/>
    <xf numFmtId="0" fontId="5" fillId="14" borderId="0" applyNumberFormat="0" applyBorder="0" applyAlignment="0" applyProtection="0"/>
    <xf numFmtId="0" fontId="5" fillId="23" borderId="0" applyNumberFormat="0" applyBorder="0" applyAlignment="0" applyProtection="0"/>
    <xf numFmtId="9" fontId="5" fillId="0" borderId="0" applyFont="0" applyFill="0" applyBorder="0" applyAlignment="0" applyProtection="0"/>
    <xf numFmtId="0" fontId="5" fillId="22" borderId="0" applyNumberFormat="0" applyBorder="0" applyAlignment="0" applyProtection="0"/>
    <xf numFmtId="0" fontId="5" fillId="30"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0" borderId="0"/>
    <xf numFmtId="0" fontId="5" fillId="27" borderId="0" applyNumberFormat="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5" fillId="27" borderId="0" applyNumberFormat="0" applyBorder="0" applyAlignment="0" applyProtection="0"/>
    <xf numFmtId="0" fontId="5" fillId="18" borderId="0" applyNumberFormat="0" applyBorder="0" applyAlignment="0" applyProtection="0"/>
    <xf numFmtId="0" fontId="5" fillId="8" borderId="12" applyNumberFormat="0" applyFont="0" applyAlignment="0" applyProtection="0"/>
    <xf numFmtId="0" fontId="5" fillId="31"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19" borderId="0" applyNumberFormat="0" applyBorder="0" applyAlignment="0" applyProtection="0"/>
    <xf numFmtId="9" fontId="5" fillId="0" borderId="0" applyFont="0" applyFill="0" applyBorder="0" applyAlignment="0" applyProtection="0"/>
    <xf numFmtId="0" fontId="5" fillId="0" borderId="0"/>
    <xf numFmtId="0" fontId="5" fillId="27" borderId="0" applyNumberFormat="0" applyBorder="0" applyAlignment="0" applyProtection="0"/>
    <xf numFmtId="9" fontId="5" fillId="0" borderId="0" applyFont="0" applyFill="0" applyBorder="0" applyAlignment="0" applyProtection="0"/>
    <xf numFmtId="44" fontId="5" fillId="0" borderId="0" applyFont="0" applyFill="0" applyBorder="0" applyAlignment="0" applyProtection="0"/>
    <xf numFmtId="0" fontId="5" fillId="11" borderId="0" applyNumberFormat="0" applyBorder="0" applyAlignment="0" applyProtection="0"/>
    <xf numFmtId="44" fontId="5" fillId="0" borderId="0" applyFont="0" applyFill="0" applyBorder="0" applyAlignment="0" applyProtection="0"/>
    <xf numFmtId="0" fontId="5" fillId="8" borderId="12" applyNumberFormat="0" applyFont="0" applyAlignment="0" applyProtection="0"/>
    <xf numFmtId="43" fontId="5" fillId="0" borderId="0" applyFont="0" applyFill="0" applyBorder="0" applyAlignment="0" applyProtection="0"/>
    <xf numFmtId="0" fontId="5" fillId="27" borderId="0" applyNumberFormat="0" applyBorder="0" applyAlignment="0" applyProtection="0"/>
    <xf numFmtId="0" fontId="5" fillId="0" borderId="0"/>
    <xf numFmtId="0" fontId="5" fillId="31"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9" fontId="5" fillId="0" borderId="0" applyFont="0" applyFill="0" applyBorder="0" applyAlignment="0" applyProtection="0"/>
    <xf numFmtId="0" fontId="5" fillId="26" borderId="0" applyNumberFormat="0" applyBorder="0" applyAlignment="0" applyProtection="0"/>
    <xf numFmtId="0" fontId="5" fillId="11" borderId="0" applyNumberFormat="0" applyBorder="0" applyAlignment="0" applyProtection="0"/>
    <xf numFmtId="0" fontId="5" fillId="30" borderId="0" applyNumberFormat="0" applyBorder="0" applyAlignment="0" applyProtection="0"/>
    <xf numFmtId="0" fontId="5" fillId="15" borderId="0" applyNumberFormat="0" applyBorder="0" applyAlignment="0" applyProtection="0"/>
    <xf numFmtId="0" fontId="5" fillId="31" borderId="0" applyNumberFormat="0" applyBorder="0" applyAlignment="0" applyProtection="0"/>
    <xf numFmtId="0" fontId="5" fillId="14" borderId="0" applyNumberFormat="0" applyBorder="0" applyAlignment="0" applyProtection="0"/>
    <xf numFmtId="0" fontId="5" fillId="27" borderId="0" applyNumberFormat="0" applyBorder="0" applyAlignment="0" applyProtection="0"/>
    <xf numFmtId="0" fontId="5" fillId="23" borderId="0" applyNumberFormat="0" applyBorder="0" applyAlignment="0" applyProtection="0"/>
    <xf numFmtId="0" fontId="5" fillId="19" borderId="0" applyNumberFormat="0" applyBorder="0" applyAlignment="0" applyProtection="0"/>
    <xf numFmtId="0" fontId="5" fillId="30"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22"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27" borderId="0" applyNumberFormat="0" applyBorder="0" applyAlignment="0" applyProtection="0"/>
    <xf numFmtId="44" fontId="5" fillId="0" borderId="0" applyFont="0" applyFill="0" applyBorder="0" applyAlignment="0" applyProtection="0"/>
    <xf numFmtId="0" fontId="5" fillId="0" borderId="0"/>
    <xf numFmtId="0" fontId="5" fillId="15" borderId="0" applyNumberFormat="0" applyBorder="0" applyAlignment="0" applyProtection="0"/>
    <xf numFmtId="0" fontId="5" fillId="18" borderId="0" applyNumberFormat="0" applyBorder="0" applyAlignment="0" applyProtection="0"/>
    <xf numFmtId="0" fontId="5" fillId="15" borderId="0" applyNumberFormat="0" applyBorder="0" applyAlignment="0" applyProtection="0"/>
    <xf numFmtId="0" fontId="5" fillId="8" borderId="12" applyNumberFormat="0" applyFont="0" applyAlignment="0" applyProtection="0"/>
    <xf numFmtId="0" fontId="5" fillId="0" borderId="0"/>
    <xf numFmtId="0" fontId="5" fillId="19" borderId="0" applyNumberFormat="0" applyBorder="0" applyAlignment="0" applyProtection="0"/>
    <xf numFmtId="0" fontId="5" fillId="0" borderId="0"/>
    <xf numFmtId="0" fontId="5" fillId="19" borderId="0" applyNumberFormat="0" applyBorder="0" applyAlignment="0" applyProtection="0"/>
    <xf numFmtId="0" fontId="5" fillId="31" borderId="0" applyNumberFormat="0" applyBorder="0" applyAlignment="0" applyProtection="0"/>
    <xf numFmtId="43" fontId="5" fillId="0" borderId="0" applyFont="0" applyFill="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8"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22" borderId="0" applyNumberFormat="0" applyBorder="0" applyAlignment="0" applyProtection="0"/>
    <xf numFmtId="0" fontId="5" fillId="0" borderId="0"/>
    <xf numFmtId="0" fontId="5" fillId="26" borderId="0" applyNumberFormat="0" applyBorder="0" applyAlignment="0" applyProtection="0"/>
    <xf numFmtId="0" fontId="5" fillId="0" borderId="0"/>
    <xf numFmtId="0" fontId="5" fillId="26" borderId="0" applyNumberFormat="0" applyBorder="0" applyAlignment="0" applyProtection="0"/>
    <xf numFmtId="0" fontId="5" fillId="11"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15" borderId="0" applyNumberFormat="0" applyBorder="0" applyAlignment="0" applyProtection="0"/>
    <xf numFmtId="167"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0" borderId="0"/>
    <xf numFmtId="0" fontId="5" fillId="30" borderId="0" applyNumberFormat="0" applyBorder="0" applyAlignment="0" applyProtection="0"/>
    <xf numFmtId="0" fontId="5" fillId="27" borderId="0" applyNumberFormat="0" applyBorder="0" applyAlignment="0" applyProtection="0"/>
    <xf numFmtId="0" fontId="5" fillId="19"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5" fillId="26"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10"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0" borderId="0"/>
    <xf numFmtId="0" fontId="5" fillId="26" borderId="0" applyNumberFormat="0" applyBorder="0" applyAlignment="0" applyProtection="0"/>
    <xf numFmtId="0" fontId="5" fillId="30" borderId="0" applyNumberFormat="0" applyBorder="0" applyAlignment="0" applyProtection="0"/>
    <xf numFmtId="0" fontId="5" fillId="0" borderId="0"/>
    <xf numFmtId="0" fontId="5" fillId="11" borderId="0" applyNumberFormat="0" applyBorder="0" applyAlignment="0" applyProtection="0"/>
    <xf numFmtId="0" fontId="5" fillId="0" borderId="0"/>
    <xf numFmtId="0" fontId="5" fillId="11" borderId="0" applyNumberFormat="0" applyBorder="0" applyAlignment="0" applyProtection="0"/>
    <xf numFmtId="0" fontId="5" fillId="10" borderId="0" applyNumberFormat="0" applyBorder="0" applyAlignment="0" applyProtection="0"/>
    <xf numFmtId="0" fontId="5" fillId="0" borderId="0"/>
    <xf numFmtId="0" fontId="5" fillId="19" borderId="0" applyNumberFormat="0" applyBorder="0" applyAlignment="0" applyProtection="0"/>
    <xf numFmtId="0" fontId="5" fillId="15"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1" borderId="0" applyNumberFormat="0" applyBorder="0" applyAlignment="0" applyProtection="0"/>
    <xf numFmtId="0" fontId="5" fillId="0" borderId="0"/>
    <xf numFmtId="0" fontId="5" fillId="27" borderId="0" applyNumberFormat="0" applyBorder="0" applyAlignment="0" applyProtection="0"/>
    <xf numFmtId="0" fontId="5" fillId="30" borderId="0" applyNumberFormat="0" applyBorder="0" applyAlignment="0" applyProtection="0"/>
    <xf numFmtId="0" fontId="5" fillId="8" borderId="12" applyNumberFormat="0" applyFont="0" applyAlignment="0" applyProtection="0"/>
    <xf numFmtId="167" fontId="5" fillId="0" borderId="0" applyFont="0" applyFill="0" applyBorder="0" applyAlignment="0" applyProtection="0"/>
    <xf numFmtId="0" fontId="5" fillId="27" borderId="0" applyNumberFormat="0" applyBorder="0" applyAlignment="0" applyProtection="0"/>
    <xf numFmtId="0" fontId="5" fillId="0" borderId="0"/>
    <xf numFmtId="0" fontId="5" fillId="0" borderId="0"/>
    <xf numFmtId="0" fontId="5" fillId="11"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0" borderId="0"/>
    <xf numFmtId="0" fontId="5" fillId="0" borderId="0"/>
    <xf numFmtId="0" fontId="5" fillId="27" borderId="0" applyNumberFormat="0" applyBorder="0" applyAlignment="0" applyProtection="0"/>
    <xf numFmtId="0" fontId="5" fillId="10"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0" borderId="0"/>
    <xf numFmtId="0" fontId="5" fillId="23" borderId="0" applyNumberFormat="0" applyBorder="0" applyAlignment="0" applyProtection="0"/>
    <xf numFmtId="0" fontId="5" fillId="0" borderId="0"/>
    <xf numFmtId="0" fontId="5" fillId="0" borderId="0"/>
    <xf numFmtId="0" fontId="5" fillId="22" borderId="0" applyNumberFormat="0" applyBorder="0" applyAlignment="0" applyProtection="0"/>
    <xf numFmtId="0" fontId="5" fillId="23"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30" borderId="0" applyNumberFormat="0" applyBorder="0" applyAlignment="0" applyProtection="0"/>
    <xf numFmtId="0" fontId="5" fillId="0" borderId="0"/>
    <xf numFmtId="0" fontId="5" fillId="30" borderId="0" applyNumberFormat="0" applyBorder="0" applyAlignment="0" applyProtection="0"/>
    <xf numFmtId="0" fontId="5" fillId="30" borderId="0" applyNumberFormat="0" applyBorder="0" applyAlignment="0" applyProtection="0"/>
    <xf numFmtId="0" fontId="5" fillId="18"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27" borderId="0" applyNumberFormat="0" applyBorder="0" applyAlignment="0" applyProtection="0"/>
    <xf numFmtId="0" fontId="5" fillId="0" borderId="0"/>
    <xf numFmtId="0" fontId="5" fillId="31" borderId="0" applyNumberFormat="0" applyBorder="0" applyAlignment="0" applyProtection="0"/>
    <xf numFmtId="0" fontId="5" fillId="22" borderId="0" applyNumberFormat="0" applyBorder="0" applyAlignment="0" applyProtection="0"/>
    <xf numFmtId="0" fontId="5" fillId="15" borderId="0" applyNumberFormat="0" applyBorder="0" applyAlignment="0" applyProtection="0"/>
    <xf numFmtId="43" fontId="5" fillId="0" borderId="0" applyFont="0" applyFill="0" applyBorder="0" applyAlignment="0" applyProtection="0"/>
    <xf numFmtId="0" fontId="5" fillId="30" borderId="0" applyNumberFormat="0" applyBorder="0" applyAlignment="0" applyProtection="0"/>
    <xf numFmtId="0" fontId="5" fillId="11" borderId="0" applyNumberFormat="0" applyBorder="0" applyAlignment="0" applyProtection="0"/>
    <xf numFmtId="167" fontId="5" fillId="0" borderId="0" applyFont="0" applyFill="0" applyBorder="0" applyAlignment="0" applyProtection="0"/>
    <xf numFmtId="0" fontId="5" fillId="19" borderId="0" applyNumberFormat="0" applyBorder="0" applyAlignment="0" applyProtection="0"/>
    <xf numFmtId="43" fontId="5" fillId="0" borderId="0" applyFont="0" applyFill="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0" borderId="0"/>
    <xf numFmtId="0" fontId="5" fillId="15" borderId="0" applyNumberFormat="0" applyBorder="0" applyAlignment="0" applyProtection="0"/>
    <xf numFmtId="0" fontId="5" fillId="0" borderId="0"/>
    <xf numFmtId="9" fontId="5" fillId="0" borderId="0" applyFont="0" applyFill="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15" borderId="0" applyNumberFormat="0" applyBorder="0" applyAlignment="0" applyProtection="0"/>
    <xf numFmtId="0" fontId="5" fillId="31" borderId="0" applyNumberFormat="0" applyBorder="0" applyAlignment="0" applyProtection="0"/>
    <xf numFmtId="0" fontId="5" fillId="23" borderId="0" applyNumberFormat="0" applyBorder="0" applyAlignment="0" applyProtection="0"/>
    <xf numFmtId="43" fontId="5" fillId="0" borderId="0" applyFont="0" applyFill="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0" borderId="0"/>
    <xf numFmtId="0" fontId="5" fillId="8" borderId="12" applyNumberFormat="0" applyFont="0" applyAlignment="0" applyProtection="0"/>
    <xf numFmtId="0" fontId="5" fillId="8" borderId="12" applyNumberFormat="0" applyFont="0" applyAlignment="0" applyProtection="0"/>
    <xf numFmtId="0" fontId="5" fillId="0" borderId="0"/>
    <xf numFmtId="0" fontId="5" fillId="14" borderId="0" applyNumberFormat="0" applyBorder="0" applyAlignment="0" applyProtection="0"/>
    <xf numFmtId="0" fontId="5" fillId="26" borderId="0" applyNumberFormat="0" applyBorder="0" applyAlignment="0" applyProtection="0"/>
    <xf numFmtId="0" fontId="5" fillId="31" borderId="0" applyNumberFormat="0" applyBorder="0" applyAlignment="0" applyProtection="0"/>
    <xf numFmtId="0" fontId="5" fillId="0" borderId="0"/>
    <xf numFmtId="0" fontId="5" fillId="14" borderId="0" applyNumberFormat="0" applyBorder="0" applyAlignment="0" applyProtection="0"/>
    <xf numFmtId="0" fontId="5" fillId="26" borderId="0" applyNumberFormat="0" applyBorder="0" applyAlignment="0" applyProtection="0"/>
    <xf numFmtId="0" fontId="5" fillId="19" borderId="0" applyNumberFormat="0" applyBorder="0" applyAlignment="0" applyProtection="0"/>
    <xf numFmtId="44" fontId="5" fillId="0" borderId="0" applyFont="0" applyFill="0" applyBorder="0" applyAlignment="0" applyProtection="0"/>
    <xf numFmtId="0" fontId="5" fillId="19" borderId="0" applyNumberFormat="0" applyBorder="0" applyAlignment="0" applyProtection="0"/>
    <xf numFmtId="0" fontId="5" fillId="30" borderId="0" applyNumberFormat="0" applyBorder="0" applyAlignment="0" applyProtection="0"/>
    <xf numFmtId="0" fontId="5" fillId="0" borderId="0"/>
    <xf numFmtId="0" fontId="5" fillId="23" borderId="0" applyNumberFormat="0" applyBorder="0" applyAlignment="0" applyProtection="0"/>
    <xf numFmtId="0" fontId="5" fillId="15" borderId="0" applyNumberFormat="0" applyBorder="0" applyAlignment="0" applyProtection="0"/>
    <xf numFmtId="44" fontId="5" fillId="0" borderId="0" applyFont="0" applyFill="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23"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30" borderId="0" applyNumberFormat="0" applyBorder="0" applyAlignment="0" applyProtection="0"/>
    <xf numFmtId="0" fontId="5" fillId="0" borderId="0"/>
    <xf numFmtId="0" fontId="5" fillId="31" borderId="0" applyNumberFormat="0" applyBorder="0" applyAlignment="0" applyProtection="0"/>
    <xf numFmtId="0" fontId="5" fillId="23" borderId="0" applyNumberFormat="0" applyBorder="0" applyAlignment="0" applyProtection="0"/>
    <xf numFmtId="0" fontId="5" fillId="0" borderId="0"/>
    <xf numFmtId="9"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11" borderId="0" applyNumberFormat="0" applyBorder="0" applyAlignment="0" applyProtection="0"/>
    <xf numFmtId="0" fontId="5" fillId="8" borderId="12" applyNumberFormat="0" applyFont="0" applyAlignment="0" applyProtection="0"/>
    <xf numFmtId="0" fontId="5" fillId="0" borderId="0"/>
    <xf numFmtId="0" fontId="5" fillId="8" borderId="12" applyNumberFormat="0" applyFont="0" applyAlignment="0" applyProtection="0"/>
    <xf numFmtId="0" fontId="5" fillId="19" borderId="0" applyNumberFormat="0" applyBorder="0" applyAlignment="0" applyProtection="0"/>
    <xf numFmtId="0" fontId="5" fillId="15"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22" borderId="0" applyNumberFormat="0" applyBorder="0" applyAlignment="0" applyProtection="0"/>
    <xf numFmtId="0" fontId="5" fillId="0" borderId="0"/>
    <xf numFmtId="0" fontId="5" fillId="27"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10" borderId="0" applyNumberFormat="0" applyBorder="0" applyAlignment="0" applyProtection="0"/>
    <xf numFmtId="0" fontId="5" fillId="19"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0" fontId="5" fillId="26" borderId="0" applyNumberFormat="0" applyBorder="0" applyAlignment="0" applyProtection="0"/>
    <xf numFmtId="0" fontId="5" fillId="15" borderId="0" applyNumberFormat="0" applyBorder="0" applyAlignment="0" applyProtection="0"/>
    <xf numFmtId="0" fontId="5" fillId="8" borderId="12" applyNumberFormat="0" applyFont="0" applyAlignment="0" applyProtection="0"/>
    <xf numFmtId="0" fontId="5" fillId="14"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0" borderId="0"/>
    <xf numFmtId="0" fontId="5" fillId="11" borderId="0" applyNumberFormat="0" applyBorder="0" applyAlignment="0" applyProtection="0"/>
    <xf numFmtId="0" fontId="5" fillId="27" borderId="0" applyNumberFormat="0" applyBorder="0" applyAlignment="0" applyProtection="0"/>
    <xf numFmtId="43" fontId="5" fillId="0" borderId="0" applyFont="0" applyFill="0" applyBorder="0" applyAlignment="0" applyProtection="0"/>
    <xf numFmtId="0" fontId="5" fillId="18" borderId="0" applyNumberFormat="0" applyBorder="0" applyAlignment="0" applyProtection="0"/>
    <xf numFmtId="0" fontId="5" fillId="0" borderId="0"/>
    <xf numFmtId="0" fontId="5" fillId="22" borderId="0" applyNumberFormat="0" applyBorder="0" applyAlignment="0" applyProtection="0"/>
    <xf numFmtId="0" fontId="5" fillId="22" borderId="0" applyNumberFormat="0" applyBorder="0" applyAlignment="0" applyProtection="0"/>
    <xf numFmtId="9" fontId="5" fillId="0" borderId="0" applyFont="0" applyFill="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11" borderId="0" applyNumberFormat="0" applyBorder="0" applyAlignment="0" applyProtection="0"/>
    <xf numFmtId="0" fontId="5" fillId="22" borderId="0" applyNumberFormat="0" applyBorder="0" applyAlignment="0" applyProtection="0"/>
    <xf numFmtId="0" fontId="5" fillId="11" borderId="0" applyNumberFormat="0" applyBorder="0" applyAlignment="0" applyProtection="0"/>
    <xf numFmtId="0" fontId="5" fillId="10" borderId="0" applyNumberFormat="0" applyBorder="0" applyAlignment="0" applyProtection="0"/>
    <xf numFmtId="0" fontId="5" fillId="0" borderId="0"/>
    <xf numFmtId="0" fontId="5" fillId="31"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18" borderId="0" applyNumberFormat="0" applyBorder="0" applyAlignment="0" applyProtection="0"/>
    <xf numFmtId="9" fontId="5" fillId="0" borderId="0" applyFont="0" applyFill="0" applyBorder="0" applyAlignment="0" applyProtection="0"/>
    <xf numFmtId="0" fontId="5" fillId="18" borderId="0" applyNumberFormat="0" applyBorder="0" applyAlignment="0" applyProtection="0"/>
    <xf numFmtId="0" fontId="5" fillId="8" borderId="12" applyNumberFormat="0" applyFont="0" applyAlignment="0" applyProtection="0"/>
    <xf numFmtId="0" fontId="5" fillId="1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10"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0" borderId="0"/>
    <xf numFmtId="0" fontId="5" fillId="30" borderId="0" applyNumberFormat="0" applyBorder="0" applyAlignment="0" applyProtection="0"/>
    <xf numFmtId="0" fontId="5" fillId="14" borderId="0" applyNumberFormat="0" applyBorder="0" applyAlignment="0" applyProtection="0"/>
    <xf numFmtId="0" fontId="5" fillId="0" borderId="0"/>
    <xf numFmtId="167" fontId="5" fillId="0" borderId="0" applyFont="0" applyFill="0" applyBorder="0" applyAlignment="0" applyProtection="0"/>
    <xf numFmtId="0" fontId="5" fillId="10"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9" fontId="5" fillId="0" borderId="0" applyFont="0" applyFill="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0" borderId="0"/>
    <xf numFmtId="0" fontId="5" fillId="18" borderId="0" applyNumberFormat="0" applyBorder="0" applyAlignment="0" applyProtection="0"/>
    <xf numFmtId="0" fontId="5" fillId="27" borderId="0" applyNumberFormat="0" applyBorder="0" applyAlignment="0" applyProtection="0"/>
    <xf numFmtId="0" fontId="5" fillId="22" borderId="0" applyNumberFormat="0" applyBorder="0" applyAlignment="0" applyProtection="0"/>
    <xf numFmtId="0" fontId="5" fillId="0" borderId="0"/>
    <xf numFmtId="0" fontId="5" fillId="23" borderId="0" applyNumberFormat="0" applyBorder="0" applyAlignment="0" applyProtection="0"/>
    <xf numFmtId="9" fontId="5" fillId="0" borderId="0" applyFont="0" applyFill="0" applyBorder="0" applyAlignment="0" applyProtection="0"/>
    <xf numFmtId="0" fontId="5" fillId="18" borderId="0" applyNumberFormat="0" applyBorder="0" applyAlignment="0" applyProtection="0"/>
    <xf numFmtId="0" fontId="5" fillId="0" borderId="0"/>
    <xf numFmtId="0" fontId="5" fillId="30" borderId="0" applyNumberFormat="0" applyBorder="0" applyAlignment="0" applyProtection="0"/>
    <xf numFmtId="167" fontId="5" fillId="0" borderId="0" applyFont="0" applyFill="0" applyBorder="0" applyAlignment="0" applyProtection="0"/>
    <xf numFmtId="0" fontId="5" fillId="11" borderId="0" applyNumberFormat="0" applyBorder="0" applyAlignment="0" applyProtection="0"/>
    <xf numFmtId="0" fontId="5" fillId="30" borderId="0" applyNumberFormat="0" applyBorder="0" applyAlignment="0" applyProtection="0"/>
    <xf numFmtId="0" fontId="5" fillId="22" borderId="0" applyNumberFormat="0" applyBorder="0" applyAlignment="0" applyProtection="0"/>
    <xf numFmtId="43" fontId="5" fillId="0" borderId="0" applyFont="0" applyFill="0" applyBorder="0" applyAlignment="0" applyProtection="0"/>
    <xf numFmtId="0" fontId="5" fillId="30" borderId="0" applyNumberFormat="0" applyBorder="0" applyAlignment="0" applyProtection="0"/>
    <xf numFmtId="0" fontId="5" fillId="8" borderId="12" applyNumberFormat="0" applyFont="0" applyAlignment="0" applyProtection="0"/>
    <xf numFmtId="0" fontId="5" fillId="11" borderId="0" applyNumberFormat="0" applyBorder="0" applyAlignment="0" applyProtection="0"/>
    <xf numFmtId="0" fontId="5" fillId="31" borderId="0" applyNumberFormat="0" applyBorder="0" applyAlignment="0" applyProtection="0"/>
    <xf numFmtId="0" fontId="5" fillId="0" borderId="0"/>
    <xf numFmtId="0" fontId="5" fillId="26" borderId="0" applyNumberFormat="0" applyBorder="0" applyAlignment="0" applyProtection="0"/>
    <xf numFmtId="0" fontId="5" fillId="0" borderId="0"/>
    <xf numFmtId="0" fontId="5" fillId="11" borderId="0" applyNumberFormat="0" applyBorder="0" applyAlignment="0" applyProtection="0"/>
    <xf numFmtId="0" fontId="5" fillId="27" borderId="0" applyNumberFormat="0" applyBorder="0" applyAlignment="0" applyProtection="0"/>
    <xf numFmtId="0" fontId="5" fillId="19" borderId="0" applyNumberFormat="0" applyBorder="0" applyAlignment="0" applyProtection="0"/>
    <xf numFmtId="0" fontId="5" fillId="26" borderId="0" applyNumberFormat="0" applyBorder="0" applyAlignment="0" applyProtection="0"/>
    <xf numFmtId="0" fontId="5" fillId="0" borderId="0"/>
    <xf numFmtId="0" fontId="5" fillId="31" borderId="0" applyNumberFormat="0" applyBorder="0" applyAlignment="0" applyProtection="0"/>
    <xf numFmtId="167" fontId="5" fillId="0" borderId="0" applyFont="0" applyFill="0" applyBorder="0" applyAlignment="0" applyProtection="0"/>
    <xf numFmtId="0" fontId="5" fillId="0" borderId="0"/>
    <xf numFmtId="0" fontId="5" fillId="11"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0" borderId="0"/>
    <xf numFmtId="9" fontId="5" fillId="0" borderId="0" applyFont="0" applyFill="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5" fillId="8" borderId="12" applyNumberFormat="0" applyFont="0" applyAlignment="0" applyProtection="0"/>
    <xf numFmtId="43" fontId="5" fillId="0" borderId="0" applyFont="0" applyFill="0" applyBorder="0" applyAlignment="0" applyProtection="0"/>
    <xf numFmtId="0" fontId="5" fillId="22" borderId="0" applyNumberFormat="0" applyBorder="0" applyAlignment="0" applyProtection="0"/>
    <xf numFmtId="43" fontId="5" fillId="0" borderId="0" applyFont="0" applyFill="0" applyBorder="0" applyAlignment="0" applyProtection="0"/>
    <xf numFmtId="0" fontId="5" fillId="0" borderId="0"/>
    <xf numFmtId="0" fontId="5" fillId="26" borderId="0" applyNumberFormat="0" applyBorder="0" applyAlignment="0" applyProtection="0"/>
    <xf numFmtId="0" fontId="5" fillId="11"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43" fontId="5" fillId="0" borderId="0" applyFont="0" applyFill="0" applyBorder="0" applyAlignment="0" applyProtection="0"/>
    <xf numFmtId="0" fontId="5" fillId="23" borderId="0" applyNumberFormat="0" applyBorder="0" applyAlignment="0" applyProtection="0"/>
    <xf numFmtId="0" fontId="5" fillId="0" borderId="0"/>
    <xf numFmtId="44" fontId="5" fillId="0" borderId="0" applyFont="0" applyFill="0" applyBorder="0" applyAlignment="0" applyProtection="0"/>
    <xf numFmtId="43" fontId="5" fillId="0" borderId="0" applyFont="0" applyFill="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10" borderId="0" applyNumberFormat="0" applyBorder="0" applyAlignment="0" applyProtection="0"/>
    <xf numFmtId="0" fontId="5" fillId="26" borderId="0" applyNumberFormat="0" applyBorder="0" applyAlignment="0" applyProtection="0"/>
    <xf numFmtId="0" fontId="5" fillId="31"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8" borderId="12" applyNumberFormat="0" applyFont="0" applyAlignment="0" applyProtection="0"/>
    <xf numFmtId="167" fontId="5" fillId="0" borderId="0" applyFont="0" applyFill="0" applyBorder="0" applyAlignment="0" applyProtection="0"/>
    <xf numFmtId="0" fontId="5" fillId="15"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167" fontId="5" fillId="0" borderId="0" applyFont="0" applyFill="0" applyBorder="0" applyAlignment="0" applyProtection="0"/>
    <xf numFmtId="0" fontId="5" fillId="30"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22" borderId="0" applyNumberFormat="0" applyBorder="0" applyAlignment="0" applyProtection="0"/>
    <xf numFmtId="0" fontId="5" fillId="10" borderId="0" applyNumberFormat="0" applyBorder="0" applyAlignment="0" applyProtection="0"/>
    <xf numFmtId="9" fontId="5" fillId="0" borderId="0" applyFont="0" applyFill="0" applyBorder="0" applyAlignment="0" applyProtection="0"/>
    <xf numFmtId="0" fontId="5" fillId="0" borderId="0"/>
    <xf numFmtId="0" fontId="5" fillId="18" borderId="0" applyNumberFormat="0" applyBorder="0" applyAlignment="0" applyProtection="0"/>
    <xf numFmtId="0" fontId="5" fillId="26"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5"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0" borderId="0"/>
    <xf numFmtId="0" fontId="5" fillId="27"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31" borderId="0" applyNumberFormat="0" applyBorder="0" applyAlignment="0" applyProtection="0"/>
    <xf numFmtId="0" fontId="5" fillId="0" borderId="0"/>
    <xf numFmtId="9" fontId="5" fillId="0" borderId="0" applyFont="0" applyFill="0" applyBorder="0" applyAlignment="0" applyProtection="0"/>
    <xf numFmtId="44" fontId="5" fillId="0" borderId="0" applyFont="0" applyFill="0" applyBorder="0" applyAlignment="0" applyProtection="0"/>
    <xf numFmtId="0" fontId="5" fillId="10" borderId="0" applyNumberFormat="0" applyBorder="0" applyAlignment="0" applyProtection="0"/>
    <xf numFmtId="0" fontId="5" fillId="0" borderId="0"/>
    <xf numFmtId="9" fontId="5" fillId="0" borderId="0" applyFont="0" applyFill="0" applyBorder="0" applyAlignment="0" applyProtection="0"/>
    <xf numFmtId="0" fontId="5" fillId="18" borderId="0" applyNumberFormat="0" applyBorder="0" applyAlignment="0" applyProtection="0"/>
    <xf numFmtId="0" fontId="5" fillId="22" borderId="0" applyNumberFormat="0" applyBorder="0" applyAlignment="0" applyProtection="0"/>
    <xf numFmtId="9" fontId="5" fillId="0" borderId="0" applyFont="0" applyFill="0" applyBorder="0" applyAlignment="0" applyProtection="0"/>
    <xf numFmtId="0" fontId="5" fillId="22" borderId="0" applyNumberFormat="0" applyBorder="0" applyAlignment="0" applyProtection="0"/>
    <xf numFmtId="0" fontId="5" fillId="8" borderId="12" applyNumberFormat="0" applyFont="0" applyAlignment="0" applyProtection="0"/>
    <xf numFmtId="0" fontId="5" fillId="15" borderId="0" applyNumberFormat="0" applyBorder="0" applyAlignment="0" applyProtection="0"/>
    <xf numFmtId="0" fontId="5" fillId="0" borderId="0"/>
    <xf numFmtId="0" fontId="5" fillId="19" borderId="0" applyNumberFormat="0" applyBorder="0" applyAlignment="0" applyProtection="0"/>
    <xf numFmtId="43" fontId="5" fillId="0" borderId="0" applyFont="0" applyFill="0" applyBorder="0" applyAlignment="0" applyProtection="0"/>
    <xf numFmtId="0" fontId="5" fillId="30"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15" borderId="0" applyNumberFormat="0" applyBorder="0" applyAlignment="0" applyProtection="0"/>
    <xf numFmtId="0" fontId="5" fillId="0" borderId="0"/>
    <xf numFmtId="0" fontId="5" fillId="11" borderId="0" applyNumberFormat="0" applyBorder="0" applyAlignment="0" applyProtection="0"/>
    <xf numFmtId="0" fontId="5" fillId="18" borderId="0" applyNumberFormat="0" applyBorder="0" applyAlignment="0" applyProtection="0"/>
    <xf numFmtId="0" fontId="5" fillId="27" borderId="0" applyNumberFormat="0" applyBorder="0" applyAlignment="0" applyProtection="0"/>
    <xf numFmtId="167" fontId="5" fillId="0" borderId="0" applyFont="0" applyFill="0" applyBorder="0" applyAlignment="0" applyProtection="0"/>
    <xf numFmtId="0" fontId="5" fillId="19" borderId="0" applyNumberFormat="0" applyBorder="0" applyAlignment="0" applyProtection="0"/>
    <xf numFmtId="0" fontId="5" fillId="30" borderId="0" applyNumberFormat="0" applyBorder="0" applyAlignment="0" applyProtection="0"/>
    <xf numFmtId="0" fontId="5" fillId="15" borderId="0" applyNumberFormat="0" applyBorder="0" applyAlignment="0" applyProtection="0"/>
    <xf numFmtId="0" fontId="5" fillId="0" borderId="0"/>
    <xf numFmtId="0" fontId="5" fillId="18" borderId="0" applyNumberFormat="0" applyBorder="0" applyAlignment="0" applyProtection="0"/>
    <xf numFmtId="0" fontId="5" fillId="23" borderId="0" applyNumberFormat="0" applyBorder="0" applyAlignment="0" applyProtection="0"/>
    <xf numFmtId="0" fontId="5" fillId="0" borderId="0"/>
    <xf numFmtId="0" fontId="5" fillId="15"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23" borderId="0" applyNumberFormat="0" applyBorder="0" applyAlignment="0" applyProtection="0"/>
    <xf numFmtId="0" fontId="5" fillId="0" borderId="0"/>
    <xf numFmtId="0" fontId="5" fillId="26"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8" borderId="12" applyNumberFormat="0" applyFont="0" applyAlignment="0" applyProtection="0"/>
    <xf numFmtId="0" fontId="5" fillId="15" borderId="0" applyNumberFormat="0" applyBorder="0" applyAlignment="0" applyProtection="0"/>
    <xf numFmtId="0" fontId="5" fillId="27"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14" borderId="0" applyNumberFormat="0" applyBorder="0" applyAlignment="0" applyProtection="0"/>
    <xf numFmtId="0" fontId="5" fillId="11" borderId="0" applyNumberFormat="0" applyBorder="0" applyAlignment="0" applyProtection="0"/>
    <xf numFmtId="0" fontId="5" fillId="0" borderId="0"/>
    <xf numFmtId="0" fontId="5" fillId="31" borderId="0" applyNumberFormat="0" applyBorder="0" applyAlignment="0" applyProtection="0"/>
    <xf numFmtId="0" fontId="5" fillId="8" borderId="12" applyNumberFormat="0" applyFont="0" applyAlignment="0" applyProtection="0"/>
    <xf numFmtId="44" fontId="5" fillId="0" borderId="0" applyFont="0" applyFill="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19"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43" fontId="5" fillId="0" borderId="0" applyFont="0" applyFill="0" applyBorder="0" applyAlignment="0" applyProtection="0"/>
    <xf numFmtId="0" fontId="5" fillId="14" borderId="0" applyNumberFormat="0" applyBorder="0" applyAlignment="0" applyProtection="0"/>
    <xf numFmtId="0" fontId="5" fillId="0" borderId="0"/>
    <xf numFmtId="0" fontId="5" fillId="11" borderId="0" applyNumberFormat="0" applyBorder="0" applyAlignment="0" applyProtection="0"/>
    <xf numFmtId="0" fontId="5" fillId="11" borderId="0" applyNumberFormat="0" applyBorder="0" applyAlignment="0" applyProtection="0"/>
    <xf numFmtId="0" fontId="5" fillId="18" borderId="0" applyNumberFormat="0" applyBorder="0" applyAlignment="0" applyProtection="0"/>
    <xf numFmtId="0" fontId="5" fillId="0" borderId="0"/>
    <xf numFmtId="0" fontId="5" fillId="10" borderId="0" applyNumberFormat="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5" fillId="27"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15" borderId="0" applyNumberFormat="0" applyBorder="0" applyAlignment="0" applyProtection="0"/>
    <xf numFmtId="0" fontId="5" fillId="23" borderId="0" applyNumberFormat="0" applyBorder="0" applyAlignment="0" applyProtection="0"/>
    <xf numFmtId="0" fontId="5" fillId="0" borderId="0"/>
    <xf numFmtId="0" fontId="5" fillId="14"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0" borderId="0"/>
    <xf numFmtId="0" fontId="5" fillId="14" borderId="0" applyNumberFormat="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7" borderId="0" applyNumberFormat="0" applyBorder="0" applyAlignment="0" applyProtection="0"/>
    <xf numFmtId="0" fontId="5" fillId="8" borderId="12" applyNumberFormat="0" applyFont="0" applyAlignment="0" applyProtection="0"/>
    <xf numFmtId="0" fontId="5" fillId="26" borderId="0" applyNumberFormat="0" applyBorder="0" applyAlignment="0" applyProtection="0"/>
    <xf numFmtId="0" fontId="5" fillId="26" borderId="0" applyNumberFormat="0" applyBorder="0" applyAlignment="0" applyProtection="0"/>
    <xf numFmtId="0" fontId="5" fillId="0" borderId="0"/>
    <xf numFmtId="0" fontId="5" fillId="18" borderId="0" applyNumberFormat="0" applyBorder="0" applyAlignment="0" applyProtection="0"/>
    <xf numFmtId="0" fontId="5" fillId="0" borderId="0"/>
    <xf numFmtId="0" fontId="5" fillId="30"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0" borderId="0"/>
    <xf numFmtId="0" fontId="5" fillId="0" borderId="0"/>
    <xf numFmtId="0" fontId="5" fillId="15" borderId="0" applyNumberFormat="0" applyBorder="0" applyAlignment="0" applyProtection="0"/>
    <xf numFmtId="0" fontId="5" fillId="30" borderId="0" applyNumberFormat="0" applyBorder="0" applyAlignment="0" applyProtection="0"/>
    <xf numFmtId="0" fontId="5" fillId="22"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9" fontId="5" fillId="0" borderId="0" applyFont="0" applyFill="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19" borderId="0" applyNumberFormat="0" applyBorder="0" applyAlignment="0" applyProtection="0"/>
    <xf numFmtId="0" fontId="5" fillId="30"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15" borderId="0" applyNumberFormat="0" applyBorder="0" applyAlignment="0" applyProtection="0"/>
    <xf numFmtId="0" fontId="5" fillId="22" borderId="0" applyNumberFormat="0" applyBorder="0" applyAlignment="0" applyProtection="0"/>
    <xf numFmtId="0" fontId="5" fillId="27"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43" fontId="5" fillId="0" borderId="0" applyFont="0" applyFill="0" applyBorder="0" applyAlignment="0" applyProtection="0"/>
    <xf numFmtId="0" fontId="5" fillId="27" borderId="0" applyNumberFormat="0" applyBorder="0" applyAlignment="0" applyProtection="0"/>
    <xf numFmtId="0" fontId="5" fillId="22" borderId="0" applyNumberFormat="0" applyBorder="0" applyAlignment="0" applyProtection="0"/>
    <xf numFmtId="9" fontId="5" fillId="0" borderId="0" applyFont="0" applyFill="0" applyBorder="0" applyAlignment="0" applyProtection="0"/>
    <xf numFmtId="0" fontId="5" fillId="23" borderId="0" applyNumberFormat="0" applyBorder="0" applyAlignment="0" applyProtection="0"/>
    <xf numFmtId="43" fontId="5" fillId="0" borderId="0" applyFont="0" applyFill="0" applyBorder="0" applyAlignment="0" applyProtection="0"/>
    <xf numFmtId="0" fontId="5" fillId="0" borderId="0"/>
    <xf numFmtId="0" fontId="5" fillId="30" borderId="0" applyNumberFormat="0" applyBorder="0" applyAlignment="0" applyProtection="0"/>
    <xf numFmtId="0" fontId="5" fillId="10"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30" borderId="0" applyNumberFormat="0" applyBorder="0" applyAlignment="0" applyProtection="0"/>
    <xf numFmtId="0" fontId="5" fillId="0" borderId="0"/>
    <xf numFmtId="0" fontId="5" fillId="8" borderId="12" applyNumberFormat="0" applyFont="0" applyAlignment="0" applyProtection="0"/>
    <xf numFmtId="0" fontId="5" fillId="14" borderId="0" applyNumberFormat="0" applyBorder="0" applyAlignment="0" applyProtection="0"/>
    <xf numFmtId="167" fontId="5" fillId="0" borderId="0" applyFont="0" applyFill="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8" borderId="12" applyNumberFormat="0" applyFont="0" applyAlignment="0" applyProtection="0"/>
    <xf numFmtId="0" fontId="5" fillId="30"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167" fontId="5"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0" fontId="5" fillId="23"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0" borderId="0"/>
    <xf numFmtId="0" fontId="5" fillId="8" borderId="12" applyNumberFormat="0" applyFont="0" applyAlignment="0" applyProtection="0"/>
    <xf numFmtId="9" fontId="5" fillId="0" borderId="0" applyFont="0" applyFill="0" applyBorder="0" applyAlignment="0" applyProtection="0"/>
    <xf numFmtId="0" fontId="5" fillId="30"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15" borderId="0" applyNumberFormat="0" applyBorder="0" applyAlignment="0" applyProtection="0"/>
    <xf numFmtId="0" fontId="5" fillId="0" borderId="0"/>
    <xf numFmtId="0" fontId="5" fillId="10"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18" borderId="0" applyNumberFormat="0" applyBorder="0" applyAlignment="0" applyProtection="0"/>
    <xf numFmtId="0" fontId="5" fillId="0" borderId="0"/>
    <xf numFmtId="0" fontId="5" fillId="22" borderId="0" applyNumberFormat="0" applyBorder="0" applyAlignment="0" applyProtection="0"/>
    <xf numFmtId="0" fontId="5" fillId="27" borderId="0" applyNumberFormat="0" applyBorder="0" applyAlignment="0" applyProtection="0"/>
    <xf numFmtId="44" fontId="5" fillId="0" borderId="0" applyFont="0" applyFill="0" applyBorder="0" applyAlignment="0" applyProtection="0"/>
    <xf numFmtId="167" fontId="5" fillId="0" borderId="0" applyFont="0" applyFill="0" applyBorder="0" applyAlignment="0" applyProtection="0"/>
    <xf numFmtId="0" fontId="5" fillId="10" borderId="0" applyNumberFormat="0" applyBorder="0" applyAlignment="0" applyProtection="0"/>
    <xf numFmtId="0" fontId="5" fillId="26" borderId="0" applyNumberFormat="0" applyBorder="0" applyAlignment="0" applyProtection="0"/>
    <xf numFmtId="0" fontId="5" fillId="15" borderId="0" applyNumberFormat="0" applyBorder="0" applyAlignment="0" applyProtection="0"/>
    <xf numFmtId="0" fontId="5" fillId="30" borderId="0" applyNumberFormat="0" applyBorder="0" applyAlignment="0" applyProtection="0"/>
    <xf numFmtId="0" fontId="5" fillId="10" borderId="0" applyNumberFormat="0" applyBorder="0" applyAlignment="0" applyProtection="0"/>
    <xf numFmtId="167" fontId="5" fillId="0" borderId="0" applyFont="0" applyFill="0" applyBorder="0" applyAlignment="0" applyProtection="0"/>
    <xf numFmtId="0" fontId="5" fillId="30"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23" borderId="0" applyNumberFormat="0" applyBorder="0" applyAlignment="0" applyProtection="0"/>
    <xf numFmtId="44" fontId="5" fillId="0" borderId="0" applyFont="0" applyFill="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0" borderId="0"/>
    <xf numFmtId="0" fontId="5" fillId="11"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31" borderId="0" applyNumberFormat="0" applyBorder="0" applyAlignment="0" applyProtection="0"/>
    <xf numFmtId="0" fontId="5" fillId="22"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9" fontId="5" fillId="0" borderId="0" applyFont="0" applyFill="0" applyBorder="0" applyAlignment="0" applyProtection="0"/>
    <xf numFmtId="0" fontId="5" fillId="14" borderId="0" applyNumberFormat="0" applyBorder="0" applyAlignment="0" applyProtection="0"/>
    <xf numFmtId="44" fontId="5" fillId="0" borderId="0" applyFont="0" applyFill="0" applyBorder="0" applyAlignment="0" applyProtection="0"/>
    <xf numFmtId="0" fontId="5" fillId="0" borderId="0"/>
    <xf numFmtId="0" fontId="5" fillId="22" borderId="0" applyNumberFormat="0" applyBorder="0" applyAlignment="0" applyProtection="0"/>
    <xf numFmtId="0" fontId="5" fillId="22"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0" borderId="0"/>
    <xf numFmtId="0" fontId="5" fillId="8" borderId="12" applyNumberFormat="0" applyFont="0" applyAlignment="0" applyProtection="0"/>
    <xf numFmtId="0" fontId="5" fillId="10" borderId="0" applyNumberFormat="0" applyBorder="0" applyAlignment="0" applyProtection="0"/>
    <xf numFmtId="0" fontId="5" fillId="26" borderId="0" applyNumberFormat="0" applyBorder="0" applyAlignment="0" applyProtection="0"/>
    <xf numFmtId="0" fontId="5" fillId="19" borderId="0" applyNumberFormat="0" applyBorder="0" applyAlignment="0" applyProtection="0"/>
    <xf numFmtId="0" fontId="5" fillId="0" borderId="0"/>
    <xf numFmtId="0" fontId="5" fillId="30" borderId="0" applyNumberFormat="0" applyBorder="0" applyAlignment="0" applyProtection="0"/>
    <xf numFmtId="0" fontId="5" fillId="30" borderId="0" applyNumberFormat="0" applyBorder="0" applyAlignment="0" applyProtection="0"/>
    <xf numFmtId="0" fontId="5" fillId="15"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0" borderId="0" applyNumberFormat="0" applyBorder="0" applyAlignment="0" applyProtection="0"/>
    <xf numFmtId="9" fontId="5" fillId="0" borderId="0" applyFont="0" applyFill="0" applyBorder="0" applyAlignment="0" applyProtection="0"/>
    <xf numFmtId="44" fontId="5" fillId="0" borderId="0" applyFont="0" applyFill="0" applyBorder="0" applyAlignment="0" applyProtection="0"/>
    <xf numFmtId="0" fontId="5" fillId="23"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23" borderId="0" applyNumberFormat="0" applyBorder="0" applyAlignment="0" applyProtection="0"/>
    <xf numFmtId="43" fontId="5" fillId="0" borderId="0" applyFont="0" applyFill="0" applyBorder="0" applyAlignment="0" applyProtection="0"/>
    <xf numFmtId="0" fontId="5" fillId="14" borderId="0" applyNumberFormat="0" applyBorder="0" applyAlignment="0" applyProtection="0"/>
    <xf numFmtId="0" fontId="5" fillId="11" borderId="0" applyNumberFormat="0" applyBorder="0" applyAlignment="0" applyProtection="0"/>
    <xf numFmtId="0" fontId="5" fillId="27" borderId="0" applyNumberFormat="0" applyBorder="0" applyAlignment="0" applyProtection="0"/>
    <xf numFmtId="0" fontId="5" fillId="0" borderId="0"/>
    <xf numFmtId="0" fontId="5" fillId="8" borderId="12" applyNumberFormat="0" applyFont="0" applyAlignment="0" applyProtection="0"/>
    <xf numFmtId="0" fontId="5" fillId="22" borderId="0" applyNumberFormat="0" applyBorder="0" applyAlignment="0" applyProtection="0"/>
    <xf numFmtId="0" fontId="5" fillId="0" borderId="0"/>
    <xf numFmtId="0" fontId="5" fillId="10"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19" borderId="0" applyNumberFormat="0" applyBorder="0" applyAlignment="0" applyProtection="0"/>
    <xf numFmtId="0" fontId="5" fillId="30" borderId="0" applyNumberFormat="0" applyBorder="0" applyAlignment="0" applyProtection="0"/>
    <xf numFmtId="0" fontId="5" fillId="26" borderId="0" applyNumberFormat="0" applyBorder="0" applyAlignment="0" applyProtection="0"/>
    <xf numFmtId="0" fontId="5" fillId="10" borderId="0" applyNumberFormat="0" applyBorder="0" applyAlignment="0" applyProtection="0"/>
    <xf numFmtId="0" fontId="5" fillId="30"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9" fontId="5" fillId="0" borderId="0" applyFont="0" applyFill="0" applyBorder="0" applyAlignment="0" applyProtection="0"/>
    <xf numFmtId="0" fontId="5" fillId="14" borderId="0" applyNumberFormat="0" applyBorder="0" applyAlignment="0" applyProtection="0"/>
    <xf numFmtId="0" fontId="5" fillId="0" borderId="0"/>
    <xf numFmtId="0" fontId="5" fillId="27" borderId="0" applyNumberFormat="0" applyBorder="0" applyAlignment="0" applyProtection="0"/>
    <xf numFmtId="0" fontId="5" fillId="31"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8" borderId="12" applyNumberFormat="0" applyFont="0" applyAlignment="0" applyProtection="0"/>
    <xf numFmtId="0" fontId="5" fillId="15" borderId="0" applyNumberFormat="0" applyBorder="0" applyAlignment="0" applyProtection="0"/>
    <xf numFmtId="0" fontId="5" fillId="31"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0" fontId="5" fillId="8" borderId="12" applyNumberFormat="0" applyFont="0" applyAlignment="0" applyProtection="0"/>
    <xf numFmtId="0" fontId="5" fillId="15" borderId="0" applyNumberFormat="0" applyBorder="0" applyAlignment="0" applyProtection="0"/>
    <xf numFmtId="0" fontId="5" fillId="0" borderId="0"/>
    <xf numFmtId="0" fontId="5" fillId="0" borderId="0"/>
    <xf numFmtId="0" fontId="5" fillId="19"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8" borderId="12" applyNumberFormat="0" applyFont="0" applyAlignment="0" applyProtection="0"/>
    <xf numFmtId="0" fontId="5" fillId="0" borderId="0"/>
    <xf numFmtId="167" fontId="5" fillId="0" borderId="0" applyFont="0" applyFill="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0" borderId="0"/>
    <xf numFmtId="0" fontId="5" fillId="14" borderId="0" applyNumberFormat="0" applyBorder="0" applyAlignment="0" applyProtection="0"/>
    <xf numFmtId="0" fontId="5" fillId="26"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26" borderId="0" applyNumberFormat="0" applyBorder="0" applyAlignment="0" applyProtection="0"/>
    <xf numFmtId="0" fontId="5" fillId="18"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5" borderId="0" applyNumberFormat="0" applyBorder="0" applyAlignment="0" applyProtection="0"/>
    <xf numFmtId="0" fontId="5" fillId="8" borderId="12" applyNumberFormat="0" applyFont="0" applyAlignment="0" applyProtection="0"/>
    <xf numFmtId="0" fontId="5" fillId="19" borderId="0" applyNumberFormat="0" applyBorder="0" applyAlignment="0" applyProtection="0"/>
    <xf numFmtId="0" fontId="5" fillId="15"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10"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15" borderId="0" applyNumberFormat="0" applyBorder="0" applyAlignment="0" applyProtection="0"/>
    <xf numFmtId="9" fontId="5" fillId="0" borderId="0" applyFont="0" applyFill="0" applyBorder="0" applyAlignment="0" applyProtection="0"/>
    <xf numFmtId="0" fontId="5" fillId="18" borderId="0" applyNumberFormat="0" applyBorder="0" applyAlignment="0" applyProtection="0"/>
    <xf numFmtId="43" fontId="5" fillId="0" borderId="0" applyFont="0" applyFill="0" applyBorder="0" applyAlignment="0" applyProtection="0"/>
    <xf numFmtId="0" fontId="5" fillId="14" borderId="0" applyNumberFormat="0" applyBorder="0" applyAlignment="0" applyProtection="0"/>
    <xf numFmtId="0" fontId="5" fillId="31"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0" fontId="5" fillId="31" borderId="0" applyNumberFormat="0" applyBorder="0" applyAlignment="0" applyProtection="0"/>
    <xf numFmtId="0" fontId="5" fillId="0" borderId="0"/>
    <xf numFmtId="0" fontId="5" fillId="22"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26" borderId="0" applyNumberFormat="0" applyBorder="0" applyAlignment="0" applyProtection="0"/>
    <xf numFmtId="43" fontId="5" fillId="0" borderId="0" applyFont="0" applyFill="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0" borderId="0"/>
    <xf numFmtId="0" fontId="5" fillId="15"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31" borderId="0" applyNumberFormat="0" applyBorder="0" applyAlignment="0" applyProtection="0"/>
    <xf numFmtId="9" fontId="5" fillId="0" borderId="0" applyFont="0" applyFill="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4" borderId="0" applyNumberFormat="0" applyBorder="0" applyAlignment="0" applyProtection="0"/>
    <xf numFmtId="0" fontId="5" fillId="0" borderId="0"/>
    <xf numFmtId="43" fontId="5" fillId="0" borderId="0" applyFont="0" applyFill="0" applyBorder="0" applyAlignment="0" applyProtection="0"/>
    <xf numFmtId="0" fontId="5" fillId="31" borderId="0" applyNumberFormat="0" applyBorder="0" applyAlignment="0" applyProtection="0"/>
    <xf numFmtId="0" fontId="5" fillId="15" borderId="0" applyNumberFormat="0" applyBorder="0" applyAlignment="0" applyProtection="0"/>
    <xf numFmtId="0" fontId="5" fillId="31" borderId="0" applyNumberFormat="0" applyBorder="0" applyAlignment="0" applyProtection="0"/>
    <xf numFmtId="0" fontId="5" fillId="0" borderId="0"/>
    <xf numFmtId="0" fontId="5" fillId="26" borderId="0" applyNumberFormat="0" applyBorder="0" applyAlignment="0" applyProtection="0"/>
    <xf numFmtId="0" fontId="5" fillId="0" borderId="0"/>
    <xf numFmtId="0" fontId="5" fillId="27" borderId="0" applyNumberFormat="0" applyBorder="0" applyAlignment="0" applyProtection="0"/>
    <xf numFmtId="9"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5" fillId="19" borderId="0" applyNumberFormat="0" applyBorder="0" applyAlignment="0" applyProtection="0"/>
    <xf numFmtId="0" fontId="5" fillId="18" borderId="0" applyNumberFormat="0" applyBorder="0" applyAlignment="0" applyProtection="0"/>
    <xf numFmtId="167" fontId="5" fillId="0" borderId="0" applyFont="0" applyFill="0" applyBorder="0" applyAlignment="0" applyProtection="0"/>
    <xf numFmtId="0" fontId="5" fillId="15" borderId="0" applyNumberFormat="0" applyBorder="0" applyAlignment="0" applyProtection="0"/>
    <xf numFmtId="0" fontId="5" fillId="31" borderId="0" applyNumberFormat="0" applyBorder="0" applyAlignment="0" applyProtection="0"/>
    <xf numFmtId="9" fontId="5" fillId="0" borderId="0" applyFont="0" applyFill="0" applyBorder="0" applyAlignment="0" applyProtection="0"/>
    <xf numFmtId="43" fontId="5" fillId="0" borderId="0" applyFont="0" applyFill="0" applyBorder="0" applyAlignment="0" applyProtection="0"/>
    <xf numFmtId="0" fontId="5" fillId="8" borderId="12" applyNumberFormat="0" applyFont="0" applyAlignment="0" applyProtection="0"/>
    <xf numFmtId="43" fontId="5" fillId="0" borderId="0" applyFont="0" applyFill="0" applyBorder="0" applyAlignment="0" applyProtection="0"/>
    <xf numFmtId="0" fontId="5" fillId="22" borderId="0" applyNumberFormat="0" applyBorder="0" applyAlignment="0" applyProtection="0"/>
    <xf numFmtId="0" fontId="5" fillId="15" borderId="0" applyNumberFormat="0" applyBorder="0" applyAlignment="0" applyProtection="0"/>
    <xf numFmtId="0" fontId="5" fillId="8" borderId="12" applyNumberFormat="0" applyFont="0" applyAlignment="0" applyProtection="0"/>
    <xf numFmtId="0" fontId="5" fillId="0" borderId="0"/>
    <xf numFmtId="0" fontId="5" fillId="22" borderId="0" applyNumberFormat="0" applyBorder="0" applyAlignment="0" applyProtection="0"/>
    <xf numFmtId="44" fontId="5" fillId="0" borderId="0" applyFont="0" applyFill="0" applyBorder="0" applyAlignment="0" applyProtection="0"/>
    <xf numFmtId="0" fontId="5" fillId="31"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27" borderId="0" applyNumberFormat="0" applyBorder="0" applyAlignment="0" applyProtection="0"/>
    <xf numFmtId="44" fontId="5" fillId="0" borderId="0" applyFont="0" applyFill="0" applyBorder="0" applyAlignment="0" applyProtection="0"/>
    <xf numFmtId="0" fontId="5" fillId="27" borderId="0" applyNumberFormat="0" applyBorder="0" applyAlignment="0" applyProtection="0"/>
    <xf numFmtId="0" fontId="5" fillId="0" borderId="0"/>
    <xf numFmtId="0" fontId="5" fillId="19" borderId="0" applyNumberFormat="0" applyBorder="0" applyAlignment="0" applyProtection="0"/>
    <xf numFmtId="0" fontId="5" fillId="8" borderId="12" applyNumberFormat="0" applyFont="0" applyAlignment="0" applyProtection="0"/>
    <xf numFmtId="0" fontId="5" fillId="30" borderId="0" applyNumberFormat="0" applyBorder="0" applyAlignment="0" applyProtection="0"/>
    <xf numFmtId="0" fontId="5" fillId="27"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44" fontId="5" fillId="0" borderId="0" applyFont="0" applyFill="0" applyBorder="0" applyAlignment="0" applyProtection="0"/>
    <xf numFmtId="0" fontId="5" fillId="8" borderId="12" applyNumberFormat="0" applyFont="0" applyAlignment="0" applyProtection="0"/>
    <xf numFmtId="0" fontId="5" fillId="19"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0" borderId="0"/>
    <xf numFmtId="0" fontId="5" fillId="27" borderId="0" applyNumberFormat="0" applyBorder="0" applyAlignment="0" applyProtection="0"/>
    <xf numFmtId="0" fontId="5" fillId="11" borderId="0" applyNumberFormat="0" applyBorder="0" applyAlignment="0" applyProtection="0"/>
    <xf numFmtId="167" fontId="5" fillId="0" borderId="0" applyFont="0" applyFill="0" applyBorder="0" applyAlignment="0" applyProtection="0"/>
    <xf numFmtId="0" fontId="5" fillId="0" borderId="0"/>
    <xf numFmtId="0" fontId="5" fillId="27" borderId="0" applyNumberFormat="0" applyBorder="0" applyAlignment="0" applyProtection="0"/>
    <xf numFmtId="167" fontId="5" fillId="0" borderId="0" applyFont="0" applyFill="0" applyBorder="0" applyAlignment="0" applyProtection="0"/>
    <xf numFmtId="0" fontId="5" fillId="10"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0" borderId="0"/>
    <xf numFmtId="0" fontId="5" fillId="0" borderId="0"/>
    <xf numFmtId="0" fontId="5" fillId="22" borderId="0" applyNumberFormat="0" applyBorder="0" applyAlignment="0" applyProtection="0"/>
    <xf numFmtId="0" fontId="5" fillId="19" borderId="0" applyNumberFormat="0" applyBorder="0" applyAlignment="0" applyProtection="0"/>
    <xf numFmtId="9" fontId="5" fillId="0" borderId="0" applyFont="0" applyFill="0" applyBorder="0" applyAlignment="0" applyProtection="0"/>
    <xf numFmtId="0" fontId="5" fillId="27" borderId="0" applyNumberFormat="0" applyBorder="0" applyAlignment="0" applyProtection="0"/>
    <xf numFmtId="0" fontId="5" fillId="10" borderId="0" applyNumberFormat="0" applyBorder="0" applyAlignment="0" applyProtection="0"/>
    <xf numFmtId="0" fontId="5" fillId="22" borderId="0" applyNumberFormat="0" applyBorder="0" applyAlignment="0" applyProtection="0"/>
    <xf numFmtId="0" fontId="5" fillId="14" borderId="0" applyNumberFormat="0" applyBorder="0" applyAlignment="0" applyProtection="0"/>
    <xf numFmtId="0" fontId="5" fillId="23" borderId="0" applyNumberFormat="0" applyBorder="0" applyAlignment="0" applyProtection="0"/>
    <xf numFmtId="44" fontId="5" fillId="0" borderId="0" applyFont="0" applyFill="0" applyBorder="0" applyAlignment="0" applyProtection="0"/>
    <xf numFmtId="0" fontId="5" fillId="30" borderId="0" applyNumberFormat="0" applyBorder="0" applyAlignment="0" applyProtection="0"/>
    <xf numFmtId="0" fontId="5" fillId="0" borderId="0"/>
    <xf numFmtId="9" fontId="5" fillId="0" borderId="0" applyFont="0" applyFill="0" applyBorder="0" applyAlignment="0" applyProtection="0"/>
    <xf numFmtId="0" fontId="5" fillId="31" borderId="0" applyNumberFormat="0" applyBorder="0" applyAlignment="0" applyProtection="0"/>
    <xf numFmtId="9" fontId="5" fillId="0" borderId="0" applyFont="0" applyFill="0" applyBorder="0" applyAlignment="0" applyProtection="0"/>
    <xf numFmtId="0" fontId="5" fillId="0" borderId="0"/>
    <xf numFmtId="0" fontId="5" fillId="23" borderId="0" applyNumberFormat="0" applyBorder="0" applyAlignment="0" applyProtection="0"/>
    <xf numFmtId="0" fontId="5" fillId="0" borderId="0"/>
    <xf numFmtId="0" fontId="5" fillId="11" borderId="0" applyNumberFormat="0" applyBorder="0" applyAlignment="0" applyProtection="0"/>
    <xf numFmtId="0" fontId="5" fillId="31" borderId="0" applyNumberFormat="0" applyBorder="0" applyAlignment="0" applyProtection="0"/>
    <xf numFmtId="0" fontId="5" fillId="23" borderId="0" applyNumberFormat="0" applyBorder="0" applyAlignment="0" applyProtection="0"/>
    <xf numFmtId="43" fontId="5" fillId="0" borderId="0" applyFont="0" applyFill="0" applyBorder="0" applyAlignment="0" applyProtection="0"/>
    <xf numFmtId="0" fontId="5" fillId="22" borderId="0" applyNumberFormat="0" applyBorder="0" applyAlignment="0" applyProtection="0"/>
    <xf numFmtId="0" fontId="5" fillId="15" borderId="0" applyNumberFormat="0" applyBorder="0" applyAlignment="0" applyProtection="0"/>
    <xf numFmtId="0" fontId="5" fillId="30" borderId="0" applyNumberFormat="0" applyBorder="0" applyAlignment="0" applyProtection="0"/>
    <xf numFmtId="0" fontId="5" fillId="18" borderId="0" applyNumberFormat="0" applyBorder="0" applyAlignment="0" applyProtection="0"/>
    <xf numFmtId="0" fontId="5" fillId="0" borderId="0"/>
    <xf numFmtId="0" fontId="5" fillId="30"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0" borderId="0"/>
    <xf numFmtId="0" fontId="5" fillId="18" borderId="0" applyNumberFormat="0" applyBorder="0" applyAlignment="0" applyProtection="0"/>
    <xf numFmtId="0" fontId="5" fillId="27"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27" borderId="0" applyNumberFormat="0" applyBorder="0" applyAlignment="0" applyProtection="0"/>
    <xf numFmtId="0" fontId="5" fillId="19" borderId="0" applyNumberFormat="0" applyBorder="0" applyAlignment="0" applyProtection="0"/>
    <xf numFmtId="0" fontId="5" fillId="11"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0" borderId="0"/>
    <xf numFmtId="0" fontId="5" fillId="14" borderId="0" applyNumberFormat="0" applyBorder="0" applyAlignment="0" applyProtection="0"/>
    <xf numFmtId="0" fontId="5" fillId="19" borderId="0" applyNumberFormat="0" applyBorder="0" applyAlignment="0" applyProtection="0"/>
    <xf numFmtId="0" fontId="5" fillId="10" borderId="0" applyNumberFormat="0" applyBorder="0" applyAlignment="0" applyProtection="0"/>
    <xf numFmtId="9" fontId="5" fillId="0" borderId="0" applyFont="0" applyFill="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0" borderId="0"/>
    <xf numFmtId="0" fontId="5" fillId="11" borderId="0" applyNumberFormat="0" applyBorder="0" applyAlignment="0" applyProtection="0"/>
    <xf numFmtId="0" fontId="5" fillId="23" borderId="0" applyNumberFormat="0" applyBorder="0" applyAlignment="0" applyProtection="0"/>
    <xf numFmtId="0" fontId="5" fillId="11" borderId="0" applyNumberFormat="0" applyBorder="0" applyAlignment="0" applyProtection="0"/>
    <xf numFmtId="0" fontId="5" fillId="0" borderId="0"/>
    <xf numFmtId="0" fontId="5" fillId="15" borderId="0" applyNumberFormat="0" applyBorder="0" applyAlignment="0" applyProtection="0"/>
    <xf numFmtId="0" fontId="5" fillId="26" borderId="0" applyNumberFormat="0" applyBorder="0" applyAlignment="0" applyProtection="0"/>
    <xf numFmtId="0" fontId="5" fillId="10" borderId="0" applyNumberFormat="0" applyBorder="0" applyAlignment="0" applyProtection="0"/>
    <xf numFmtId="0" fontId="5" fillId="0" borderId="0"/>
    <xf numFmtId="0" fontId="5" fillId="15" borderId="0" applyNumberFormat="0" applyBorder="0" applyAlignment="0" applyProtection="0"/>
    <xf numFmtId="0" fontId="5" fillId="8" borderId="12" applyNumberFormat="0" applyFont="0" applyAlignment="0" applyProtection="0"/>
    <xf numFmtId="0" fontId="5" fillId="0" borderId="0"/>
    <xf numFmtId="0" fontId="5" fillId="31"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11"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43" fontId="5" fillId="0" borderId="0" applyFont="0" applyFill="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30" borderId="0" applyNumberFormat="0" applyBorder="0" applyAlignment="0" applyProtection="0"/>
    <xf numFmtId="0" fontId="5" fillId="14"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9" fontId="5" fillId="0" borderId="0" applyFont="0" applyFill="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23" borderId="0" applyNumberFormat="0" applyBorder="0" applyAlignment="0" applyProtection="0"/>
    <xf numFmtId="0" fontId="5" fillId="0" borderId="0"/>
    <xf numFmtId="0" fontId="5" fillId="8" borderId="12" applyNumberFormat="0" applyFont="0" applyAlignment="0" applyProtection="0"/>
    <xf numFmtId="0" fontId="5" fillId="23" borderId="0" applyNumberFormat="0" applyBorder="0" applyAlignment="0" applyProtection="0"/>
    <xf numFmtId="0" fontId="5" fillId="0" borderId="0"/>
    <xf numFmtId="0" fontId="5" fillId="27" borderId="0" applyNumberFormat="0" applyBorder="0" applyAlignment="0" applyProtection="0"/>
    <xf numFmtId="0" fontId="5" fillId="14" borderId="0" applyNumberFormat="0" applyBorder="0" applyAlignment="0" applyProtection="0"/>
    <xf numFmtId="0" fontId="5" fillId="22" borderId="0" applyNumberFormat="0" applyBorder="0" applyAlignment="0" applyProtection="0"/>
    <xf numFmtId="0" fontId="5" fillId="30" borderId="0" applyNumberFormat="0" applyBorder="0" applyAlignment="0" applyProtection="0"/>
    <xf numFmtId="167" fontId="5" fillId="0" borderId="0" applyFont="0" applyFill="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11" borderId="0" applyNumberFormat="0" applyBorder="0" applyAlignment="0" applyProtection="0"/>
    <xf numFmtId="0" fontId="5" fillId="18"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167" fontId="5" fillId="0" borderId="0" applyFont="0" applyFill="0" applyBorder="0" applyAlignment="0" applyProtection="0"/>
    <xf numFmtId="0" fontId="5" fillId="22" borderId="0" applyNumberFormat="0" applyBorder="0" applyAlignment="0" applyProtection="0"/>
    <xf numFmtId="0" fontId="5" fillId="0" borderId="0"/>
    <xf numFmtId="0" fontId="5" fillId="23" borderId="0" applyNumberFormat="0" applyBorder="0" applyAlignment="0" applyProtection="0"/>
    <xf numFmtId="0" fontId="5" fillId="27" borderId="0" applyNumberFormat="0" applyBorder="0" applyAlignment="0" applyProtection="0"/>
    <xf numFmtId="0" fontId="5" fillId="8" borderId="12" applyNumberFormat="0" applyFont="0" applyAlignment="0" applyProtection="0"/>
    <xf numFmtId="44" fontId="5" fillId="0" borderId="0" applyFont="0" applyFill="0" applyBorder="0" applyAlignment="0" applyProtection="0"/>
    <xf numFmtId="0" fontId="5" fillId="0" borderId="0"/>
    <xf numFmtId="0" fontId="5" fillId="0" borderId="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19" borderId="0" applyNumberFormat="0" applyBorder="0" applyAlignment="0" applyProtection="0"/>
    <xf numFmtId="0" fontId="5" fillId="10" borderId="0" applyNumberFormat="0" applyBorder="0" applyAlignment="0" applyProtection="0"/>
    <xf numFmtId="0" fontId="5" fillId="30" borderId="0" applyNumberFormat="0" applyBorder="0" applyAlignment="0" applyProtection="0"/>
    <xf numFmtId="0" fontId="5" fillId="8" borderId="12" applyNumberFormat="0" applyFont="0" applyAlignment="0" applyProtection="0"/>
    <xf numFmtId="0" fontId="5" fillId="26" borderId="0" applyNumberFormat="0" applyBorder="0" applyAlignment="0" applyProtection="0"/>
    <xf numFmtId="0" fontId="5" fillId="10" borderId="0" applyNumberFormat="0" applyBorder="0" applyAlignment="0" applyProtection="0"/>
    <xf numFmtId="9" fontId="5" fillId="0" borderId="0" applyFont="0" applyFill="0" applyBorder="0" applyAlignment="0" applyProtection="0"/>
    <xf numFmtId="0" fontId="5" fillId="0" borderId="0"/>
    <xf numFmtId="0" fontId="5" fillId="14" borderId="0" applyNumberFormat="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43" fontId="5" fillId="0" borderId="0" applyFont="0" applyFill="0" applyBorder="0" applyAlignment="0" applyProtection="0"/>
    <xf numFmtId="0" fontId="5" fillId="22" borderId="0" applyNumberFormat="0" applyBorder="0" applyAlignment="0" applyProtection="0"/>
    <xf numFmtId="0" fontId="5" fillId="27" borderId="0" applyNumberFormat="0" applyBorder="0" applyAlignment="0" applyProtection="0"/>
    <xf numFmtId="0" fontId="5" fillId="19"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5" borderId="0" applyNumberFormat="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19" borderId="0" applyNumberFormat="0" applyBorder="0" applyAlignment="0" applyProtection="0"/>
    <xf numFmtId="0" fontId="5" fillId="31"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0" borderId="0"/>
    <xf numFmtId="0" fontId="5" fillId="22" borderId="0" applyNumberFormat="0" applyBorder="0" applyAlignment="0" applyProtection="0"/>
    <xf numFmtId="0" fontId="5" fillId="8" borderId="12" applyNumberFormat="0" applyFont="0" applyAlignment="0" applyProtection="0"/>
    <xf numFmtId="0" fontId="5" fillId="14" borderId="0" applyNumberFormat="0" applyBorder="0" applyAlignment="0" applyProtection="0"/>
    <xf numFmtId="0" fontId="5" fillId="27"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14" borderId="0" applyNumberFormat="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0" borderId="0"/>
    <xf numFmtId="167" fontId="5" fillId="0" borderId="0" applyFont="0" applyFill="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0" borderId="0"/>
    <xf numFmtId="0" fontId="5" fillId="27" borderId="0" applyNumberFormat="0" applyBorder="0" applyAlignment="0" applyProtection="0"/>
    <xf numFmtId="0" fontId="5" fillId="0" borderId="0"/>
    <xf numFmtId="9" fontId="5" fillId="0" borderId="0" applyFont="0" applyFill="0" applyBorder="0" applyAlignment="0" applyProtection="0"/>
    <xf numFmtId="0" fontId="5" fillId="19" borderId="0" applyNumberFormat="0" applyBorder="0" applyAlignment="0" applyProtection="0"/>
    <xf numFmtId="0" fontId="5" fillId="27" borderId="0" applyNumberFormat="0" applyBorder="0" applyAlignment="0" applyProtection="0"/>
    <xf numFmtId="44" fontId="5" fillId="0" borderId="0" applyFont="0" applyFill="0" applyBorder="0" applyAlignment="0" applyProtection="0"/>
    <xf numFmtId="0" fontId="5" fillId="11" borderId="0" applyNumberFormat="0" applyBorder="0" applyAlignment="0" applyProtection="0"/>
    <xf numFmtId="0" fontId="5" fillId="27" borderId="0" applyNumberFormat="0" applyBorder="0" applyAlignment="0" applyProtection="0"/>
    <xf numFmtId="0" fontId="5" fillId="0" borderId="0"/>
    <xf numFmtId="0" fontId="5" fillId="11" borderId="0" applyNumberFormat="0" applyBorder="0" applyAlignment="0" applyProtection="0"/>
    <xf numFmtId="0" fontId="5" fillId="23" borderId="0" applyNumberFormat="0" applyBorder="0" applyAlignment="0" applyProtection="0"/>
    <xf numFmtId="0" fontId="5" fillId="11"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0" fontId="5" fillId="30" borderId="0" applyNumberFormat="0" applyBorder="0" applyAlignment="0" applyProtection="0"/>
    <xf numFmtId="44" fontId="5" fillId="0" borderId="0" applyFont="0" applyFill="0" applyBorder="0" applyAlignment="0" applyProtection="0"/>
    <xf numFmtId="0" fontId="5" fillId="15" borderId="0" applyNumberFormat="0" applyBorder="0" applyAlignment="0" applyProtection="0"/>
    <xf numFmtId="43" fontId="5" fillId="0" borderId="0" applyFont="0" applyFill="0" applyBorder="0" applyAlignment="0" applyProtection="0"/>
    <xf numFmtId="0" fontId="5" fillId="19" borderId="0" applyNumberFormat="0" applyBorder="0" applyAlignment="0" applyProtection="0"/>
    <xf numFmtId="0" fontId="5" fillId="0" borderId="0"/>
    <xf numFmtId="0" fontId="5" fillId="0" borderId="0"/>
    <xf numFmtId="0" fontId="5" fillId="27" borderId="0" applyNumberFormat="0" applyBorder="0" applyAlignment="0" applyProtection="0"/>
    <xf numFmtId="0" fontId="5" fillId="0" borderId="0"/>
    <xf numFmtId="0" fontId="5" fillId="27"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26" borderId="0" applyNumberFormat="0" applyBorder="0" applyAlignment="0" applyProtection="0"/>
    <xf numFmtId="0" fontId="5" fillId="15" borderId="0" applyNumberFormat="0" applyBorder="0" applyAlignment="0" applyProtection="0"/>
    <xf numFmtId="0" fontId="5" fillId="27" borderId="0" applyNumberFormat="0" applyBorder="0" applyAlignment="0" applyProtection="0"/>
    <xf numFmtId="0" fontId="5" fillId="15"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0" borderId="0"/>
    <xf numFmtId="0" fontId="5" fillId="19" borderId="0" applyNumberFormat="0" applyBorder="0" applyAlignment="0" applyProtection="0"/>
    <xf numFmtId="0" fontId="5" fillId="27" borderId="0" applyNumberFormat="0" applyBorder="0" applyAlignment="0" applyProtection="0"/>
    <xf numFmtId="0" fontId="5" fillId="22" borderId="0" applyNumberFormat="0" applyBorder="0" applyAlignment="0" applyProtection="0"/>
    <xf numFmtId="0" fontId="5" fillId="15" borderId="0" applyNumberFormat="0" applyBorder="0" applyAlignment="0" applyProtection="0"/>
    <xf numFmtId="0" fontId="5" fillId="22" borderId="0" applyNumberFormat="0" applyBorder="0" applyAlignment="0" applyProtection="0"/>
    <xf numFmtId="0" fontId="5" fillId="19" borderId="0" applyNumberFormat="0" applyBorder="0" applyAlignment="0" applyProtection="0"/>
    <xf numFmtId="0" fontId="5" fillId="0" borderId="0"/>
    <xf numFmtId="0" fontId="5" fillId="23" borderId="0" applyNumberFormat="0" applyBorder="0" applyAlignment="0" applyProtection="0"/>
    <xf numFmtId="0" fontId="5" fillId="18" borderId="0" applyNumberFormat="0" applyBorder="0" applyAlignment="0" applyProtection="0"/>
    <xf numFmtId="0" fontId="5" fillId="10"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30" borderId="0" applyNumberFormat="0" applyBorder="0" applyAlignment="0" applyProtection="0"/>
    <xf numFmtId="9" fontId="5" fillId="0" borderId="0" applyFont="0" applyFill="0" applyBorder="0" applyAlignment="0" applyProtection="0"/>
    <xf numFmtId="0" fontId="5" fillId="19" borderId="0" applyNumberFormat="0" applyBorder="0" applyAlignment="0" applyProtection="0"/>
    <xf numFmtId="44" fontId="5" fillId="0" borderId="0" applyFont="0" applyFill="0" applyBorder="0" applyAlignment="0" applyProtection="0"/>
    <xf numFmtId="0" fontId="5" fillId="31" borderId="0" applyNumberFormat="0" applyBorder="0" applyAlignment="0" applyProtection="0"/>
    <xf numFmtId="44" fontId="5" fillId="0" borderId="0" applyFont="0" applyFill="0" applyBorder="0" applyAlignment="0" applyProtection="0"/>
    <xf numFmtId="0" fontId="5" fillId="23" borderId="0" applyNumberFormat="0" applyBorder="0" applyAlignment="0" applyProtection="0"/>
    <xf numFmtId="0" fontId="5" fillId="26" borderId="0" applyNumberFormat="0" applyBorder="0" applyAlignment="0" applyProtection="0"/>
    <xf numFmtId="43" fontId="5" fillId="0" borderId="0" applyFont="0" applyFill="0" applyBorder="0" applyAlignment="0" applyProtection="0"/>
    <xf numFmtId="0" fontId="5" fillId="27" borderId="0" applyNumberFormat="0" applyBorder="0" applyAlignment="0" applyProtection="0"/>
    <xf numFmtId="167" fontId="5" fillId="0" borderId="0" applyFont="0" applyFill="0" applyBorder="0" applyAlignment="0" applyProtection="0"/>
    <xf numFmtId="0" fontId="5" fillId="11" borderId="0" applyNumberFormat="0" applyBorder="0" applyAlignment="0" applyProtection="0"/>
    <xf numFmtId="0" fontId="5" fillId="22"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0" fontId="5" fillId="15" borderId="0" applyNumberFormat="0" applyBorder="0" applyAlignment="0" applyProtection="0"/>
    <xf numFmtId="0" fontId="5" fillId="11" borderId="0" applyNumberFormat="0" applyBorder="0" applyAlignment="0" applyProtection="0"/>
    <xf numFmtId="43" fontId="5" fillId="0" borderId="0" applyFont="0" applyFill="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19" borderId="0" applyNumberFormat="0" applyBorder="0" applyAlignment="0" applyProtection="0"/>
    <xf numFmtId="0" fontId="5" fillId="30" borderId="0" applyNumberFormat="0" applyBorder="0" applyAlignment="0" applyProtection="0"/>
    <xf numFmtId="0" fontId="5" fillId="0" borderId="0"/>
    <xf numFmtId="0" fontId="5" fillId="0" borderId="0"/>
    <xf numFmtId="0" fontId="5" fillId="30" borderId="0" applyNumberFormat="0" applyBorder="0" applyAlignment="0" applyProtection="0"/>
    <xf numFmtId="0" fontId="5" fillId="23" borderId="0" applyNumberFormat="0" applyBorder="0" applyAlignment="0" applyProtection="0"/>
    <xf numFmtId="9" fontId="5" fillId="0" borderId="0" applyFont="0" applyFill="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26" borderId="0" applyNumberFormat="0" applyBorder="0" applyAlignment="0" applyProtection="0"/>
    <xf numFmtId="0" fontId="5" fillId="0" borderId="0"/>
    <xf numFmtId="0" fontId="5" fillId="19"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0" borderId="0"/>
    <xf numFmtId="0" fontId="5" fillId="18"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19" borderId="0" applyNumberFormat="0" applyBorder="0" applyAlignment="0" applyProtection="0"/>
    <xf numFmtId="43" fontId="5" fillId="0" borderId="0" applyFont="0" applyFill="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0" borderId="0"/>
    <xf numFmtId="0" fontId="5" fillId="0" borderId="0"/>
    <xf numFmtId="0" fontId="5" fillId="0" borderId="0"/>
    <xf numFmtId="167" fontId="5" fillId="0" borderId="0" applyFont="0" applyFill="0" applyBorder="0" applyAlignment="0" applyProtection="0"/>
    <xf numFmtId="0" fontId="5" fillId="26" borderId="0" applyNumberFormat="0" applyBorder="0" applyAlignment="0" applyProtection="0"/>
    <xf numFmtId="0" fontId="5" fillId="15" borderId="0" applyNumberFormat="0" applyBorder="0" applyAlignment="0" applyProtection="0"/>
    <xf numFmtId="0" fontId="5" fillId="30" borderId="0" applyNumberFormat="0" applyBorder="0" applyAlignment="0" applyProtection="0"/>
    <xf numFmtId="0" fontId="5" fillId="0" borderId="0"/>
    <xf numFmtId="0" fontId="5" fillId="14" borderId="0" applyNumberFormat="0" applyBorder="0" applyAlignment="0" applyProtection="0"/>
    <xf numFmtId="0" fontId="5" fillId="18" borderId="0" applyNumberFormat="0" applyBorder="0" applyAlignment="0" applyProtection="0"/>
    <xf numFmtId="0" fontId="5" fillId="14" borderId="0" applyNumberFormat="0" applyBorder="0" applyAlignment="0" applyProtection="0"/>
    <xf numFmtId="0" fontId="5" fillId="22" borderId="0" applyNumberFormat="0" applyBorder="0" applyAlignment="0" applyProtection="0"/>
    <xf numFmtId="0" fontId="5" fillId="10" borderId="0" applyNumberFormat="0" applyBorder="0" applyAlignment="0" applyProtection="0"/>
    <xf numFmtId="43" fontId="5" fillId="0" borderId="0" applyFont="0" applyFill="0" applyBorder="0" applyAlignment="0" applyProtection="0"/>
    <xf numFmtId="0" fontId="5" fillId="30" borderId="0" applyNumberFormat="0" applyBorder="0" applyAlignment="0" applyProtection="0"/>
    <xf numFmtId="0" fontId="5" fillId="0" borderId="0"/>
    <xf numFmtId="0" fontId="5" fillId="15" borderId="0" applyNumberFormat="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0" borderId="0"/>
    <xf numFmtId="0" fontId="5" fillId="30" borderId="0" applyNumberFormat="0" applyBorder="0" applyAlignment="0" applyProtection="0"/>
    <xf numFmtId="0" fontId="5" fillId="0" borderId="0"/>
    <xf numFmtId="0" fontId="5" fillId="14" borderId="0" applyNumberFormat="0" applyBorder="0" applyAlignment="0" applyProtection="0"/>
    <xf numFmtId="0" fontId="5" fillId="0" borderId="0"/>
    <xf numFmtId="0" fontId="5" fillId="26" borderId="0" applyNumberFormat="0" applyBorder="0" applyAlignment="0" applyProtection="0"/>
    <xf numFmtId="9" fontId="5" fillId="0" borderId="0" applyFont="0" applyFill="0" applyBorder="0" applyAlignment="0" applyProtection="0"/>
    <xf numFmtId="0" fontId="5" fillId="18"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167"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14" borderId="0" applyNumberFormat="0" applyBorder="0" applyAlignment="0" applyProtection="0"/>
    <xf numFmtId="9" fontId="5" fillId="0" borderId="0" applyFont="0" applyFill="0" applyBorder="0" applyAlignment="0" applyProtection="0"/>
    <xf numFmtId="0" fontId="5" fillId="30" borderId="0" applyNumberFormat="0" applyBorder="0" applyAlignment="0" applyProtection="0"/>
    <xf numFmtId="0" fontId="5" fillId="18"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31" borderId="0" applyNumberFormat="0" applyBorder="0" applyAlignment="0" applyProtection="0"/>
    <xf numFmtId="0" fontId="5" fillId="0" borderId="0"/>
    <xf numFmtId="0" fontId="5" fillId="23" borderId="0" applyNumberFormat="0" applyBorder="0" applyAlignment="0" applyProtection="0"/>
    <xf numFmtId="0" fontId="5" fillId="26"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9" fontId="5" fillId="0" borderId="0" applyFont="0" applyFill="0" applyBorder="0" applyAlignment="0" applyProtection="0"/>
    <xf numFmtId="0" fontId="5" fillId="0" borderId="0"/>
    <xf numFmtId="0" fontId="5" fillId="23" borderId="0" applyNumberFormat="0" applyBorder="0" applyAlignment="0" applyProtection="0"/>
    <xf numFmtId="0" fontId="5" fillId="10" borderId="0" applyNumberFormat="0" applyBorder="0" applyAlignment="0" applyProtection="0"/>
    <xf numFmtId="44" fontId="5" fillId="0" borderId="0" applyFont="0" applyFill="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0" fontId="5" fillId="8" borderId="12" applyNumberFormat="0" applyFont="0" applyAlignment="0" applyProtection="0"/>
    <xf numFmtId="0" fontId="5" fillId="23" borderId="0" applyNumberFormat="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18" borderId="0" applyNumberFormat="0" applyBorder="0" applyAlignment="0" applyProtection="0"/>
    <xf numFmtId="0" fontId="5" fillId="11"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2" borderId="0" applyNumberFormat="0" applyBorder="0" applyAlignment="0" applyProtection="0"/>
    <xf numFmtId="9" fontId="5" fillId="0" borderId="0" applyFont="0" applyFill="0" applyBorder="0" applyAlignment="0" applyProtection="0"/>
    <xf numFmtId="0" fontId="5" fillId="8" borderId="12" applyNumberFormat="0" applyFont="0" applyAlignment="0" applyProtection="0"/>
    <xf numFmtId="0" fontId="5" fillId="31"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22"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11" borderId="0" applyNumberFormat="0" applyBorder="0" applyAlignment="0" applyProtection="0"/>
    <xf numFmtId="0" fontId="5" fillId="8" borderId="12" applyNumberFormat="0" applyFont="0" applyAlignment="0" applyProtection="0"/>
    <xf numFmtId="43" fontId="5" fillId="0" borderId="0" applyFont="0" applyFill="0" applyBorder="0" applyAlignment="0" applyProtection="0"/>
    <xf numFmtId="0" fontId="5" fillId="19"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30"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26" borderId="0" applyNumberFormat="0" applyBorder="0" applyAlignment="0" applyProtection="0"/>
    <xf numFmtId="0" fontId="5" fillId="11" borderId="0" applyNumberFormat="0" applyBorder="0" applyAlignment="0" applyProtection="0"/>
    <xf numFmtId="0" fontId="5" fillId="30" borderId="0" applyNumberFormat="0" applyBorder="0" applyAlignment="0" applyProtection="0"/>
    <xf numFmtId="0" fontId="5" fillId="11" borderId="0" applyNumberFormat="0" applyBorder="0" applyAlignment="0" applyProtection="0"/>
    <xf numFmtId="0" fontId="5" fillId="0" borderId="0"/>
    <xf numFmtId="0" fontId="5" fillId="31" borderId="0" applyNumberFormat="0" applyBorder="0" applyAlignment="0" applyProtection="0"/>
    <xf numFmtId="0" fontId="5" fillId="0" borderId="0"/>
    <xf numFmtId="0" fontId="5" fillId="14" borderId="0" applyNumberFormat="0" applyBorder="0" applyAlignment="0" applyProtection="0"/>
    <xf numFmtId="9" fontId="5" fillId="0" borderId="0" applyFont="0" applyFill="0" applyBorder="0" applyAlignment="0" applyProtection="0"/>
    <xf numFmtId="0" fontId="5" fillId="22" borderId="0" applyNumberFormat="0" applyBorder="0" applyAlignment="0" applyProtection="0"/>
    <xf numFmtId="0" fontId="5" fillId="0" borderId="0"/>
    <xf numFmtId="0" fontId="5" fillId="30" borderId="0" applyNumberFormat="0" applyBorder="0" applyAlignment="0" applyProtection="0"/>
    <xf numFmtId="0" fontId="5" fillId="19" borderId="0" applyNumberFormat="0" applyBorder="0" applyAlignment="0" applyProtection="0"/>
    <xf numFmtId="0" fontId="5" fillId="26" borderId="0" applyNumberFormat="0" applyBorder="0" applyAlignment="0" applyProtection="0"/>
    <xf numFmtId="0" fontId="5" fillId="22" borderId="0" applyNumberFormat="0" applyBorder="0" applyAlignment="0" applyProtection="0"/>
    <xf numFmtId="0" fontId="5" fillId="8" borderId="12" applyNumberFormat="0" applyFont="0" applyAlignment="0" applyProtection="0"/>
    <xf numFmtId="0" fontId="5" fillId="30" borderId="0" applyNumberFormat="0" applyBorder="0" applyAlignment="0" applyProtection="0"/>
    <xf numFmtId="0" fontId="5" fillId="22" borderId="0" applyNumberFormat="0" applyBorder="0" applyAlignment="0" applyProtection="0"/>
    <xf numFmtId="0" fontId="5" fillId="31" borderId="0" applyNumberFormat="0" applyBorder="0" applyAlignment="0" applyProtection="0"/>
    <xf numFmtId="0" fontId="5" fillId="0" borderId="0"/>
    <xf numFmtId="0" fontId="5" fillId="8" borderId="12" applyNumberFormat="0" applyFont="0" applyAlignment="0" applyProtection="0"/>
    <xf numFmtId="0" fontId="5" fillId="11"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11" borderId="0" applyNumberFormat="0" applyBorder="0" applyAlignment="0" applyProtection="0"/>
    <xf numFmtId="0" fontId="5" fillId="3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5" borderId="0" applyNumberFormat="0" applyBorder="0" applyAlignment="0" applyProtection="0"/>
    <xf numFmtId="0" fontId="5" fillId="14" borderId="0" applyNumberFormat="0" applyBorder="0" applyAlignment="0" applyProtection="0"/>
    <xf numFmtId="0" fontId="5" fillId="0" borderId="0"/>
    <xf numFmtId="9" fontId="5" fillId="0" borderId="0" applyFont="0" applyFill="0" applyBorder="0" applyAlignment="0" applyProtection="0"/>
    <xf numFmtId="0" fontId="5" fillId="8" borderId="12" applyNumberFormat="0" applyFont="0" applyAlignment="0" applyProtection="0"/>
    <xf numFmtId="0" fontId="5" fillId="14" borderId="0" applyNumberFormat="0" applyBorder="0" applyAlignment="0" applyProtection="0"/>
    <xf numFmtId="0" fontId="5" fillId="0" borderId="0"/>
    <xf numFmtId="9" fontId="5" fillId="0" borderId="0" applyFont="0" applyFill="0" applyBorder="0" applyAlignment="0" applyProtection="0"/>
    <xf numFmtId="0" fontId="5" fillId="18" borderId="0" applyNumberFormat="0" applyBorder="0" applyAlignment="0" applyProtection="0"/>
    <xf numFmtId="0" fontId="5" fillId="10" borderId="0" applyNumberFormat="0" applyBorder="0" applyAlignment="0" applyProtection="0"/>
    <xf numFmtId="43" fontId="5" fillId="0" borderId="0" applyFont="0" applyFill="0" applyBorder="0" applyAlignment="0" applyProtection="0"/>
    <xf numFmtId="0" fontId="5" fillId="8" borderId="12" applyNumberFormat="0" applyFont="0" applyAlignment="0" applyProtection="0"/>
    <xf numFmtId="0" fontId="5" fillId="14"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0" borderId="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43" fontId="5" fillId="0" borderId="0" applyFont="0" applyFill="0" applyBorder="0" applyAlignment="0" applyProtection="0"/>
    <xf numFmtId="0" fontId="5" fillId="23" borderId="0" applyNumberFormat="0" applyBorder="0" applyAlignment="0" applyProtection="0"/>
    <xf numFmtId="0" fontId="5" fillId="11" borderId="0" applyNumberFormat="0" applyBorder="0" applyAlignment="0" applyProtection="0"/>
    <xf numFmtId="0" fontId="5" fillId="27" borderId="0" applyNumberFormat="0" applyBorder="0" applyAlignment="0" applyProtection="0"/>
    <xf numFmtId="44" fontId="5" fillId="0" borderId="0" applyFont="0" applyFill="0" applyBorder="0" applyAlignment="0" applyProtection="0"/>
    <xf numFmtId="0" fontId="5" fillId="14" borderId="0" applyNumberFormat="0" applyBorder="0" applyAlignment="0" applyProtection="0"/>
    <xf numFmtId="9" fontId="5" fillId="0" borderId="0" applyFont="0" applyFill="0" applyBorder="0" applyAlignment="0" applyProtection="0"/>
    <xf numFmtId="0" fontId="5" fillId="18"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11" borderId="0" applyNumberFormat="0" applyBorder="0" applyAlignment="0" applyProtection="0"/>
    <xf numFmtId="43" fontId="5" fillId="0" borderId="0" applyFont="0" applyFill="0" applyBorder="0" applyAlignment="0" applyProtection="0"/>
    <xf numFmtId="0" fontId="5" fillId="0" borderId="0"/>
    <xf numFmtId="9" fontId="5" fillId="0" borderId="0" applyFont="0" applyFill="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8" borderId="12" applyNumberFormat="0" applyFont="0" applyAlignment="0" applyProtection="0"/>
    <xf numFmtId="0" fontId="5" fillId="26" borderId="0" applyNumberFormat="0" applyBorder="0" applyAlignment="0" applyProtection="0"/>
    <xf numFmtId="0" fontId="5" fillId="31"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0" borderId="0"/>
    <xf numFmtId="0" fontId="5" fillId="15" borderId="0" applyNumberFormat="0" applyBorder="0" applyAlignment="0" applyProtection="0"/>
    <xf numFmtId="0" fontId="5" fillId="0" borderId="0"/>
    <xf numFmtId="0" fontId="5" fillId="26" borderId="0" applyNumberFormat="0" applyBorder="0" applyAlignment="0" applyProtection="0"/>
    <xf numFmtId="0" fontId="5" fillId="8" borderId="12" applyNumberFormat="0" applyFont="0" applyAlignment="0" applyProtection="0"/>
    <xf numFmtId="0" fontId="5" fillId="30" borderId="0" applyNumberFormat="0" applyBorder="0" applyAlignment="0" applyProtection="0"/>
    <xf numFmtId="0" fontId="5" fillId="30" borderId="0" applyNumberFormat="0" applyBorder="0" applyAlignment="0" applyProtection="0"/>
    <xf numFmtId="167" fontId="5" fillId="0" borderId="0" applyFont="0" applyFill="0" applyBorder="0" applyAlignment="0" applyProtection="0"/>
    <xf numFmtId="0" fontId="5" fillId="15" borderId="0" applyNumberFormat="0" applyBorder="0" applyAlignment="0" applyProtection="0"/>
    <xf numFmtId="0" fontId="5" fillId="0" borderId="0"/>
    <xf numFmtId="0" fontId="5" fillId="10" borderId="0" applyNumberFormat="0" applyBorder="0" applyAlignment="0" applyProtection="0"/>
    <xf numFmtId="0" fontId="5" fillId="0" borderId="0"/>
    <xf numFmtId="0" fontId="5" fillId="30"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31"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0" borderId="0"/>
    <xf numFmtId="0" fontId="5" fillId="26" borderId="0" applyNumberFormat="0" applyBorder="0" applyAlignment="0" applyProtection="0"/>
    <xf numFmtId="0" fontId="5" fillId="14"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18" borderId="0" applyNumberFormat="0" applyBorder="0" applyAlignment="0" applyProtection="0"/>
    <xf numFmtId="0" fontId="5" fillId="10"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0" borderId="0"/>
    <xf numFmtId="167" fontId="5" fillId="0" borderId="0" applyFont="0" applyFill="0" applyBorder="0" applyAlignment="0" applyProtection="0"/>
    <xf numFmtId="0" fontId="5" fillId="26"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0" borderId="0"/>
    <xf numFmtId="0" fontId="5" fillId="27" borderId="0" applyNumberFormat="0" applyBorder="0" applyAlignment="0" applyProtection="0"/>
    <xf numFmtId="0" fontId="5" fillId="8" borderId="12" applyNumberFormat="0" applyFont="0" applyAlignment="0" applyProtection="0"/>
    <xf numFmtId="0" fontId="5" fillId="14" borderId="0" applyNumberFormat="0" applyBorder="0" applyAlignment="0" applyProtection="0"/>
    <xf numFmtId="0" fontId="5" fillId="27" borderId="0" applyNumberFormat="0" applyBorder="0" applyAlignment="0" applyProtection="0"/>
    <xf numFmtId="43" fontId="5" fillId="0" borderId="0" applyFont="0" applyFill="0" applyBorder="0" applyAlignment="0" applyProtection="0"/>
    <xf numFmtId="0" fontId="5" fillId="19" borderId="0" applyNumberFormat="0" applyBorder="0" applyAlignment="0" applyProtection="0"/>
    <xf numFmtId="9" fontId="5" fillId="0" borderId="0" applyFont="0" applyFill="0" applyBorder="0" applyAlignment="0" applyProtection="0"/>
    <xf numFmtId="0" fontId="5" fillId="31" borderId="0" applyNumberFormat="0" applyBorder="0" applyAlignment="0" applyProtection="0"/>
    <xf numFmtId="167" fontId="5" fillId="0" borderId="0" applyFont="0" applyFill="0" applyBorder="0" applyAlignment="0" applyProtection="0"/>
    <xf numFmtId="0" fontId="5" fillId="30" borderId="0" applyNumberFormat="0" applyBorder="0" applyAlignment="0" applyProtection="0"/>
    <xf numFmtId="0" fontId="5" fillId="0" borderId="0"/>
    <xf numFmtId="0" fontId="5" fillId="23" borderId="0" applyNumberFormat="0" applyBorder="0" applyAlignment="0" applyProtection="0"/>
    <xf numFmtId="167"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5" fillId="3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27" borderId="0" applyNumberFormat="0" applyBorder="0" applyAlignment="0" applyProtection="0"/>
    <xf numFmtId="0" fontId="5" fillId="8" borderId="12" applyNumberFormat="0" applyFont="0" applyAlignment="0" applyProtection="0"/>
    <xf numFmtId="0" fontId="5" fillId="18" borderId="0" applyNumberFormat="0" applyBorder="0" applyAlignment="0" applyProtection="0"/>
    <xf numFmtId="0" fontId="5" fillId="18" borderId="0" applyNumberFormat="0" applyBorder="0" applyAlignment="0" applyProtection="0"/>
    <xf numFmtId="0" fontId="5" fillId="8" borderId="12" applyNumberFormat="0" applyFont="0" applyAlignment="0" applyProtection="0"/>
    <xf numFmtId="0" fontId="5" fillId="0" borderId="0"/>
    <xf numFmtId="0" fontId="5" fillId="19" borderId="0" applyNumberFormat="0" applyBorder="0" applyAlignment="0" applyProtection="0"/>
    <xf numFmtId="0" fontId="5" fillId="11" borderId="0" applyNumberFormat="0" applyBorder="0" applyAlignment="0" applyProtection="0"/>
    <xf numFmtId="0" fontId="5" fillId="30" borderId="0" applyNumberFormat="0" applyBorder="0" applyAlignment="0" applyProtection="0"/>
    <xf numFmtId="0" fontId="5" fillId="23" borderId="0" applyNumberFormat="0" applyBorder="0" applyAlignment="0" applyProtection="0"/>
    <xf numFmtId="43" fontId="5" fillId="0" borderId="0" applyFont="0" applyFill="0" applyBorder="0" applyAlignment="0" applyProtection="0"/>
    <xf numFmtId="0" fontId="5" fillId="26"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43" fontId="5" fillId="0" borderId="0" applyFont="0" applyFill="0" applyBorder="0" applyAlignment="0" applyProtection="0"/>
    <xf numFmtId="0" fontId="5" fillId="26" borderId="0" applyNumberFormat="0" applyBorder="0" applyAlignment="0" applyProtection="0"/>
    <xf numFmtId="0" fontId="5" fillId="22" borderId="0" applyNumberFormat="0" applyBorder="0" applyAlignment="0" applyProtection="0"/>
    <xf numFmtId="0" fontId="5" fillId="14" borderId="0" applyNumberFormat="0" applyBorder="0" applyAlignment="0" applyProtection="0"/>
    <xf numFmtId="9" fontId="5" fillId="0" borderId="0" applyFont="0" applyFill="0" applyBorder="0" applyAlignment="0" applyProtection="0"/>
    <xf numFmtId="0" fontId="5" fillId="19" borderId="0" applyNumberFormat="0" applyBorder="0" applyAlignment="0" applyProtection="0"/>
    <xf numFmtId="0" fontId="5" fillId="10" borderId="0" applyNumberFormat="0" applyBorder="0" applyAlignment="0" applyProtection="0"/>
    <xf numFmtId="0" fontId="5" fillId="27" borderId="0" applyNumberFormat="0" applyBorder="0" applyAlignment="0" applyProtection="0"/>
    <xf numFmtId="44" fontId="5" fillId="0" borderId="0" applyFont="0" applyFill="0" applyBorder="0" applyAlignment="0" applyProtection="0"/>
    <xf numFmtId="0" fontId="5" fillId="0" borderId="0"/>
    <xf numFmtId="0" fontId="5" fillId="0" borderId="0"/>
    <xf numFmtId="0" fontId="5" fillId="26" borderId="0" applyNumberFormat="0" applyBorder="0" applyAlignment="0" applyProtection="0"/>
    <xf numFmtId="0" fontId="5" fillId="0" borderId="0"/>
    <xf numFmtId="0" fontId="5" fillId="22" borderId="0" applyNumberFormat="0" applyBorder="0" applyAlignment="0" applyProtection="0"/>
    <xf numFmtId="0" fontId="5" fillId="14" borderId="0" applyNumberFormat="0" applyBorder="0" applyAlignment="0" applyProtection="0"/>
    <xf numFmtId="0" fontId="5" fillId="31" borderId="0" applyNumberFormat="0" applyBorder="0" applyAlignment="0" applyProtection="0"/>
    <xf numFmtId="0" fontId="5" fillId="0" borderId="0"/>
    <xf numFmtId="0" fontId="5" fillId="18"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31" borderId="0" applyNumberFormat="0" applyBorder="0" applyAlignment="0" applyProtection="0"/>
    <xf numFmtId="0" fontId="5" fillId="19" borderId="0" applyNumberFormat="0" applyBorder="0" applyAlignment="0" applyProtection="0"/>
    <xf numFmtId="44" fontId="5" fillId="0" borderId="0" applyFont="0" applyFill="0" applyBorder="0" applyAlignment="0" applyProtection="0"/>
    <xf numFmtId="0" fontId="5" fillId="30" borderId="0" applyNumberFormat="0" applyBorder="0" applyAlignment="0" applyProtection="0"/>
    <xf numFmtId="0" fontId="5" fillId="18" borderId="0" applyNumberFormat="0" applyBorder="0" applyAlignment="0" applyProtection="0"/>
    <xf numFmtId="0" fontId="5" fillId="14" borderId="0" applyNumberFormat="0" applyBorder="0" applyAlignment="0" applyProtection="0"/>
    <xf numFmtId="0" fontId="5" fillId="26" borderId="0" applyNumberFormat="0" applyBorder="0" applyAlignment="0" applyProtection="0"/>
    <xf numFmtId="0" fontId="5" fillId="14"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18" borderId="0" applyNumberFormat="0" applyBorder="0" applyAlignment="0" applyProtection="0"/>
    <xf numFmtId="0" fontId="5" fillId="15"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44" fontId="5" fillId="0" borderId="0" applyFont="0" applyFill="0" applyBorder="0" applyAlignment="0" applyProtection="0"/>
    <xf numFmtId="0" fontId="5" fillId="0" borderId="0"/>
    <xf numFmtId="0" fontId="5" fillId="23" borderId="0" applyNumberFormat="0" applyBorder="0" applyAlignment="0" applyProtection="0"/>
    <xf numFmtId="0" fontId="5" fillId="8" borderId="12" applyNumberFormat="0" applyFont="0" applyAlignment="0" applyProtection="0"/>
    <xf numFmtId="0" fontId="5" fillId="15"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0" borderId="0"/>
    <xf numFmtId="0" fontId="5" fillId="18"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0" fontId="5" fillId="27" borderId="0" applyNumberFormat="0" applyBorder="0" applyAlignment="0" applyProtection="0"/>
    <xf numFmtId="0" fontId="5" fillId="0" borderId="0"/>
    <xf numFmtId="0" fontId="5" fillId="26" borderId="0" applyNumberFormat="0" applyBorder="0" applyAlignment="0" applyProtection="0"/>
    <xf numFmtId="0" fontId="5" fillId="11" borderId="0" applyNumberFormat="0" applyBorder="0" applyAlignment="0" applyProtection="0"/>
    <xf numFmtId="0" fontId="5" fillId="22" borderId="0" applyNumberFormat="0" applyBorder="0" applyAlignment="0" applyProtection="0"/>
    <xf numFmtId="0" fontId="5" fillId="8" borderId="12" applyNumberFormat="0" applyFont="0" applyAlignment="0" applyProtection="0"/>
    <xf numFmtId="0" fontId="5" fillId="14"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18" borderId="0" applyNumberFormat="0" applyBorder="0" applyAlignment="0" applyProtection="0"/>
    <xf numFmtId="0" fontId="5" fillId="0" borderId="0"/>
    <xf numFmtId="0" fontId="5" fillId="30" borderId="0" applyNumberFormat="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18" borderId="0" applyNumberFormat="0" applyBorder="0" applyAlignment="0" applyProtection="0"/>
    <xf numFmtId="0" fontId="5" fillId="8" borderId="12" applyNumberFormat="0" applyFont="0" applyAlignment="0" applyProtection="0"/>
    <xf numFmtId="0" fontId="5" fillId="26" borderId="0" applyNumberFormat="0" applyBorder="0" applyAlignment="0" applyProtection="0"/>
    <xf numFmtId="43" fontId="5" fillId="0" borderId="0" applyFont="0" applyFill="0" applyBorder="0" applyAlignment="0" applyProtection="0"/>
    <xf numFmtId="0" fontId="5" fillId="27" borderId="0" applyNumberFormat="0" applyBorder="0" applyAlignment="0" applyProtection="0"/>
    <xf numFmtId="0" fontId="5" fillId="0" borderId="0"/>
    <xf numFmtId="0" fontId="5" fillId="23"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167" fontId="5" fillId="0" borderId="0" applyFont="0" applyFill="0" applyBorder="0" applyAlignment="0" applyProtection="0"/>
    <xf numFmtId="0" fontId="5" fillId="19"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0" borderId="0"/>
    <xf numFmtId="0" fontId="5" fillId="0" borderId="0"/>
    <xf numFmtId="0" fontId="5" fillId="31" borderId="0" applyNumberFormat="0" applyBorder="0" applyAlignment="0" applyProtection="0"/>
    <xf numFmtId="0" fontId="5" fillId="30"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26" borderId="0" applyNumberFormat="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10" borderId="0" applyNumberFormat="0" applyBorder="0" applyAlignment="0" applyProtection="0"/>
    <xf numFmtId="0" fontId="5" fillId="26" borderId="0" applyNumberFormat="0" applyBorder="0" applyAlignment="0" applyProtection="0"/>
    <xf numFmtId="0" fontId="5" fillId="31"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9" fontId="5" fillId="0" borderId="0" applyFont="0" applyFill="0" applyBorder="0" applyAlignment="0" applyProtection="0"/>
    <xf numFmtId="0" fontId="5" fillId="15"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26"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8" borderId="12" applyNumberFormat="0" applyFont="0" applyAlignment="0" applyProtection="0"/>
    <xf numFmtId="0" fontId="5" fillId="15"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10" borderId="0" applyNumberFormat="0" applyBorder="0" applyAlignment="0" applyProtection="0"/>
    <xf numFmtId="43" fontId="5" fillId="0" borderId="0" applyFont="0" applyFill="0" applyBorder="0" applyAlignment="0" applyProtection="0"/>
    <xf numFmtId="0" fontId="5" fillId="23" borderId="0" applyNumberFormat="0" applyBorder="0" applyAlignment="0" applyProtection="0"/>
    <xf numFmtId="0" fontId="5" fillId="14" borderId="0" applyNumberFormat="0" applyBorder="0" applyAlignment="0" applyProtection="0"/>
    <xf numFmtId="0" fontId="5" fillId="0" borderId="0"/>
    <xf numFmtId="0" fontId="5" fillId="0" borderId="0"/>
    <xf numFmtId="0" fontId="5" fillId="0" borderId="0"/>
    <xf numFmtId="0" fontId="5" fillId="15" borderId="0" applyNumberFormat="0" applyBorder="0" applyAlignment="0" applyProtection="0"/>
    <xf numFmtId="0" fontId="5" fillId="31" borderId="0" applyNumberFormat="0" applyBorder="0" applyAlignment="0" applyProtection="0"/>
    <xf numFmtId="0" fontId="5" fillId="23" borderId="0" applyNumberFormat="0" applyBorder="0" applyAlignment="0" applyProtection="0"/>
    <xf numFmtId="43" fontId="5" fillId="0" borderId="0" applyFont="0" applyFill="0" applyBorder="0" applyAlignment="0" applyProtection="0"/>
    <xf numFmtId="0" fontId="5" fillId="23" borderId="0" applyNumberFormat="0" applyBorder="0" applyAlignment="0" applyProtection="0"/>
    <xf numFmtId="0" fontId="5" fillId="0" borderId="0"/>
    <xf numFmtId="0" fontId="5" fillId="26"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4" borderId="0" applyNumberFormat="0" applyBorder="0" applyAlignment="0" applyProtection="0"/>
    <xf numFmtId="0" fontId="5" fillId="31" borderId="0" applyNumberFormat="0" applyBorder="0" applyAlignment="0" applyProtection="0"/>
    <xf numFmtId="0" fontId="5" fillId="22" borderId="0" applyNumberFormat="0" applyBorder="0" applyAlignment="0" applyProtection="0"/>
    <xf numFmtId="0" fontId="5" fillId="30" borderId="0" applyNumberFormat="0" applyBorder="0" applyAlignment="0" applyProtection="0"/>
    <xf numFmtId="0" fontId="5" fillId="10" borderId="0" applyNumberFormat="0" applyBorder="0" applyAlignment="0" applyProtection="0"/>
    <xf numFmtId="44" fontId="5" fillId="0" borderId="0" applyFont="0" applyFill="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0" borderId="0"/>
    <xf numFmtId="0" fontId="5" fillId="22"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8" borderId="12" applyNumberFormat="0" applyFont="0" applyAlignment="0" applyProtection="0"/>
    <xf numFmtId="0" fontId="5" fillId="26" borderId="0" applyNumberFormat="0" applyBorder="0" applyAlignment="0" applyProtection="0"/>
    <xf numFmtId="44" fontId="5" fillId="0" borderId="0" applyFont="0" applyFill="0" applyBorder="0" applyAlignment="0" applyProtection="0"/>
    <xf numFmtId="0" fontId="5" fillId="10" borderId="0" applyNumberFormat="0" applyBorder="0" applyAlignment="0" applyProtection="0"/>
    <xf numFmtId="0" fontId="5" fillId="30" borderId="0" applyNumberFormat="0" applyBorder="0" applyAlignment="0" applyProtection="0"/>
    <xf numFmtId="0" fontId="5" fillId="23" borderId="0" applyNumberFormat="0" applyBorder="0" applyAlignment="0" applyProtection="0"/>
    <xf numFmtId="0" fontId="5" fillId="11" borderId="0" applyNumberFormat="0" applyBorder="0" applyAlignment="0" applyProtection="0"/>
    <xf numFmtId="0" fontId="5" fillId="0" borderId="0"/>
    <xf numFmtId="0" fontId="5" fillId="0" borderId="0"/>
    <xf numFmtId="0" fontId="5" fillId="15" borderId="0" applyNumberFormat="0" applyBorder="0" applyAlignment="0" applyProtection="0"/>
    <xf numFmtId="0" fontId="5" fillId="30" borderId="0" applyNumberFormat="0" applyBorder="0" applyAlignment="0" applyProtection="0"/>
    <xf numFmtId="0" fontId="5" fillId="0" borderId="0"/>
    <xf numFmtId="0" fontId="5" fillId="15" borderId="0" applyNumberFormat="0" applyBorder="0" applyAlignment="0" applyProtection="0"/>
    <xf numFmtId="9" fontId="5" fillId="0" borderId="0" applyFont="0" applyFill="0" applyBorder="0" applyAlignment="0" applyProtection="0"/>
    <xf numFmtId="0" fontId="5" fillId="26" borderId="0" applyNumberFormat="0" applyBorder="0" applyAlignment="0" applyProtection="0"/>
    <xf numFmtId="0" fontId="5" fillId="18" borderId="0" applyNumberFormat="0" applyBorder="0" applyAlignment="0" applyProtection="0"/>
    <xf numFmtId="167" fontId="5" fillId="0" borderId="0" applyFont="0" applyFill="0" applyBorder="0" applyAlignment="0" applyProtection="0"/>
    <xf numFmtId="0" fontId="5" fillId="27" borderId="0" applyNumberFormat="0" applyBorder="0" applyAlignment="0" applyProtection="0"/>
    <xf numFmtId="0" fontId="5" fillId="11" borderId="0" applyNumberFormat="0" applyBorder="0" applyAlignment="0" applyProtection="0"/>
    <xf numFmtId="0" fontId="5" fillId="30" borderId="0" applyNumberFormat="0" applyBorder="0" applyAlignment="0" applyProtection="0"/>
    <xf numFmtId="0" fontId="5" fillId="14" borderId="0" applyNumberFormat="0" applyBorder="0" applyAlignment="0" applyProtection="0"/>
    <xf numFmtId="9" fontId="5" fillId="0" borderId="0" applyFont="0" applyFill="0" applyBorder="0" applyAlignment="0" applyProtection="0"/>
    <xf numFmtId="0" fontId="5" fillId="11" borderId="0" applyNumberFormat="0" applyBorder="0" applyAlignment="0" applyProtection="0"/>
    <xf numFmtId="0" fontId="5" fillId="10" borderId="0" applyNumberFormat="0" applyBorder="0" applyAlignment="0" applyProtection="0"/>
    <xf numFmtId="0" fontId="5" fillId="19" borderId="0" applyNumberFormat="0" applyBorder="0" applyAlignment="0" applyProtection="0"/>
    <xf numFmtId="9" fontId="5" fillId="0" borderId="0" applyFont="0" applyFill="0" applyBorder="0" applyAlignment="0" applyProtection="0"/>
    <xf numFmtId="0" fontId="5" fillId="11"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44" fontId="5" fillId="0" borderId="0" applyFont="0" applyFill="0" applyBorder="0" applyAlignment="0" applyProtection="0"/>
    <xf numFmtId="0" fontId="5" fillId="19" borderId="0" applyNumberFormat="0" applyBorder="0" applyAlignment="0" applyProtection="0"/>
    <xf numFmtId="0" fontId="5" fillId="10" borderId="0" applyNumberFormat="0" applyBorder="0" applyAlignment="0" applyProtection="0"/>
    <xf numFmtId="0" fontId="5" fillId="0" borderId="0"/>
    <xf numFmtId="0" fontId="5" fillId="22" borderId="0" applyNumberFormat="0" applyBorder="0" applyAlignment="0" applyProtection="0"/>
    <xf numFmtId="0" fontId="5" fillId="10" borderId="0" applyNumberFormat="0" applyBorder="0" applyAlignment="0" applyProtection="0"/>
    <xf numFmtId="0" fontId="5" fillId="31" borderId="0" applyNumberFormat="0" applyBorder="0" applyAlignment="0" applyProtection="0"/>
    <xf numFmtId="0" fontId="5" fillId="15" borderId="0" applyNumberFormat="0" applyBorder="0" applyAlignment="0" applyProtection="0"/>
    <xf numFmtId="9" fontId="5" fillId="0" borderId="0" applyFont="0" applyFill="0" applyBorder="0" applyAlignment="0" applyProtection="0"/>
    <xf numFmtId="0" fontId="5" fillId="26" borderId="0" applyNumberFormat="0" applyBorder="0" applyAlignment="0" applyProtection="0"/>
    <xf numFmtId="43"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19"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0" borderId="0"/>
    <xf numFmtId="0" fontId="5" fillId="31" borderId="0" applyNumberFormat="0" applyBorder="0" applyAlignment="0" applyProtection="0"/>
    <xf numFmtId="0" fontId="5" fillId="22" borderId="0" applyNumberFormat="0" applyBorder="0" applyAlignment="0" applyProtection="0"/>
    <xf numFmtId="0" fontId="5" fillId="8" borderId="12" applyNumberFormat="0" applyFont="0" applyAlignment="0" applyProtection="0"/>
    <xf numFmtId="0" fontId="5" fillId="0" borderId="0"/>
    <xf numFmtId="0" fontId="5" fillId="11" borderId="0" applyNumberFormat="0" applyBorder="0" applyAlignment="0" applyProtection="0"/>
    <xf numFmtId="0" fontId="5" fillId="0" borderId="0"/>
    <xf numFmtId="0" fontId="5" fillId="10" borderId="0" applyNumberFormat="0" applyBorder="0" applyAlignment="0" applyProtection="0"/>
    <xf numFmtId="0" fontId="5" fillId="22" borderId="0" applyNumberFormat="0" applyBorder="0" applyAlignment="0" applyProtection="0"/>
    <xf numFmtId="44" fontId="5" fillId="0" borderId="0" applyFont="0" applyFill="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0" borderId="0"/>
    <xf numFmtId="0" fontId="5" fillId="0" borderId="0"/>
    <xf numFmtId="43" fontId="5" fillId="0" borderId="0" applyFont="0" applyFill="0" applyBorder="0" applyAlignment="0" applyProtection="0"/>
    <xf numFmtId="0" fontId="5" fillId="26" borderId="0" applyNumberFormat="0" applyBorder="0" applyAlignment="0" applyProtection="0"/>
    <xf numFmtId="0" fontId="5" fillId="11" borderId="0" applyNumberFormat="0" applyBorder="0" applyAlignment="0" applyProtection="0"/>
    <xf numFmtId="0" fontId="5" fillId="0" borderId="0"/>
    <xf numFmtId="0" fontId="5" fillId="10" borderId="0" applyNumberFormat="0" applyBorder="0" applyAlignment="0" applyProtection="0"/>
    <xf numFmtId="167" fontId="5" fillId="0" borderId="0" applyFont="0" applyFill="0" applyBorder="0" applyAlignment="0" applyProtection="0"/>
    <xf numFmtId="0" fontId="5" fillId="11" borderId="0" applyNumberFormat="0" applyBorder="0" applyAlignment="0" applyProtection="0"/>
    <xf numFmtId="0" fontId="5" fillId="18" borderId="0" applyNumberFormat="0" applyBorder="0" applyAlignment="0" applyProtection="0"/>
    <xf numFmtId="43" fontId="5" fillId="0" borderId="0" applyFont="0" applyFill="0" applyBorder="0" applyAlignment="0" applyProtection="0"/>
    <xf numFmtId="0" fontId="5" fillId="26" borderId="0" applyNumberFormat="0" applyBorder="0" applyAlignment="0" applyProtection="0"/>
    <xf numFmtId="0" fontId="5" fillId="10" borderId="0" applyNumberFormat="0" applyBorder="0" applyAlignment="0" applyProtection="0"/>
    <xf numFmtId="0" fontId="5" fillId="18" borderId="0" applyNumberFormat="0" applyBorder="0" applyAlignment="0" applyProtection="0"/>
    <xf numFmtId="0" fontId="5" fillId="8" borderId="12" applyNumberFormat="0" applyFont="0" applyAlignment="0" applyProtection="0"/>
    <xf numFmtId="0" fontId="5" fillId="18" borderId="0" applyNumberFormat="0" applyBorder="0" applyAlignment="0" applyProtection="0"/>
    <xf numFmtId="0" fontId="5" fillId="11" borderId="0" applyNumberFormat="0" applyBorder="0" applyAlignment="0" applyProtection="0"/>
    <xf numFmtId="0" fontId="5" fillId="0" borderId="0"/>
    <xf numFmtId="0" fontId="5" fillId="30" borderId="0" applyNumberFormat="0" applyBorder="0" applyAlignment="0" applyProtection="0"/>
    <xf numFmtId="0" fontId="5" fillId="30" borderId="0" applyNumberFormat="0" applyBorder="0" applyAlignment="0" applyProtection="0"/>
    <xf numFmtId="9" fontId="5" fillId="0" borderId="0" applyFont="0" applyFill="0" applyBorder="0" applyAlignment="0" applyProtection="0"/>
    <xf numFmtId="0" fontId="5" fillId="31"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22" borderId="0" applyNumberFormat="0" applyBorder="0" applyAlignment="0" applyProtection="0"/>
    <xf numFmtId="0" fontId="5" fillId="27" borderId="0" applyNumberFormat="0" applyBorder="0" applyAlignment="0" applyProtection="0"/>
    <xf numFmtId="0" fontId="5" fillId="0" borderId="0"/>
    <xf numFmtId="0" fontId="5" fillId="0" borderId="0"/>
    <xf numFmtId="0" fontId="5" fillId="8" borderId="12" applyNumberFormat="0" applyFont="0" applyAlignment="0" applyProtection="0"/>
    <xf numFmtId="0" fontId="5" fillId="0" borderId="0"/>
    <xf numFmtId="43" fontId="5" fillId="0" borderId="0" applyFont="0" applyFill="0" applyBorder="0" applyAlignment="0" applyProtection="0"/>
    <xf numFmtId="0" fontId="5" fillId="10" borderId="0" applyNumberFormat="0" applyBorder="0" applyAlignment="0" applyProtection="0"/>
    <xf numFmtId="0" fontId="5" fillId="15" borderId="0" applyNumberFormat="0" applyBorder="0" applyAlignment="0" applyProtection="0"/>
    <xf numFmtId="0" fontId="5" fillId="22"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0" borderId="0"/>
    <xf numFmtId="9" fontId="5" fillId="0" borderId="0" applyFont="0" applyFill="0" applyBorder="0" applyAlignment="0" applyProtection="0"/>
    <xf numFmtId="0" fontId="5" fillId="8" borderId="12" applyNumberFormat="0" applyFont="0" applyAlignment="0" applyProtection="0"/>
    <xf numFmtId="0" fontId="5" fillId="31" borderId="0" applyNumberFormat="0" applyBorder="0" applyAlignment="0" applyProtection="0"/>
    <xf numFmtId="0" fontId="5" fillId="18"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15" borderId="0" applyNumberFormat="0" applyBorder="0" applyAlignment="0" applyProtection="0"/>
    <xf numFmtId="0" fontId="5" fillId="0" borderId="0"/>
    <xf numFmtId="0" fontId="5" fillId="19" borderId="0" applyNumberFormat="0" applyBorder="0" applyAlignment="0" applyProtection="0"/>
    <xf numFmtId="0" fontId="5" fillId="30" borderId="0" applyNumberFormat="0" applyBorder="0" applyAlignment="0" applyProtection="0"/>
    <xf numFmtId="0" fontId="5" fillId="14"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0" borderId="0"/>
    <xf numFmtId="0" fontId="5" fillId="10" borderId="0" applyNumberFormat="0" applyBorder="0" applyAlignment="0" applyProtection="0"/>
    <xf numFmtId="0" fontId="5" fillId="0" borderId="0"/>
    <xf numFmtId="0" fontId="5" fillId="0" borderId="0"/>
    <xf numFmtId="0" fontId="5" fillId="23" borderId="0" applyNumberFormat="0" applyBorder="0" applyAlignment="0" applyProtection="0"/>
    <xf numFmtId="0" fontId="5" fillId="11"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0" borderId="0"/>
    <xf numFmtId="0" fontId="5" fillId="10" borderId="0" applyNumberFormat="0" applyBorder="0" applyAlignment="0" applyProtection="0"/>
    <xf numFmtId="0" fontId="5" fillId="22"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0" borderId="0"/>
    <xf numFmtId="0" fontId="5" fillId="22" borderId="0" applyNumberFormat="0" applyBorder="0" applyAlignment="0" applyProtection="0"/>
    <xf numFmtId="0" fontId="5" fillId="23" borderId="0" applyNumberFormat="0" applyBorder="0" applyAlignment="0" applyProtection="0"/>
    <xf numFmtId="0" fontId="5" fillId="11" borderId="0" applyNumberFormat="0" applyBorder="0" applyAlignment="0" applyProtection="0"/>
    <xf numFmtId="9" fontId="5" fillId="0" borderId="0" applyFont="0" applyFill="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0" borderId="0"/>
    <xf numFmtId="0" fontId="5" fillId="14" borderId="0" applyNumberFormat="0" applyBorder="0" applyAlignment="0" applyProtection="0"/>
    <xf numFmtId="0" fontId="5" fillId="14" borderId="0" applyNumberFormat="0" applyBorder="0" applyAlignment="0" applyProtection="0"/>
    <xf numFmtId="0" fontId="5" fillId="0" borderId="0"/>
    <xf numFmtId="0" fontId="5" fillId="11" borderId="0" applyNumberFormat="0" applyBorder="0" applyAlignment="0" applyProtection="0"/>
    <xf numFmtId="0" fontId="5" fillId="22"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11" borderId="0" applyNumberFormat="0" applyBorder="0" applyAlignment="0" applyProtection="0"/>
    <xf numFmtId="0" fontId="5" fillId="0" borderId="0"/>
    <xf numFmtId="0" fontId="5" fillId="0" borderId="0"/>
    <xf numFmtId="43" fontId="5" fillId="0" borderId="0" applyFont="0" applyFill="0" applyBorder="0" applyAlignment="0" applyProtection="0"/>
    <xf numFmtId="0" fontId="5" fillId="15" borderId="0" applyNumberFormat="0" applyBorder="0" applyAlignment="0" applyProtection="0"/>
    <xf numFmtId="9" fontId="5" fillId="0" borderId="0" applyFont="0" applyFill="0" applyBorder="0" applyAlignment="0" applyProtection="0"/>
    <xf numFmtId="0" fontId="5" fillId="0" borderId="0"/>
    <xf numFmtId="167" fontId="5" fillId="0" borderId="0" applyFont="0" applyFill="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8" borderId="12" applyNumberFormat="0" applyFont="0" applyAlignment="0" applyProtection="0"/>
    <xf numFmtId="0" fontId="5" fillId="31" borderId="0" applyNumberFormat="0" applyBorder="0" applyAlignment="0" applyProtection="0"/>
    <xf numFmtId="0" fontId="5" fillId="15" borderId="0" applyNumberFormat="0" applyBorder="0" applyAlignment="0" applyProtection="0"/>
    <xf numFmtId="0" fontId="5" fillId="11" borderId="0" applyNumberFormat="0" applyBorder="0" applyAlignment="0" applyProtection="0"/>
    <xf numFmtId="0" fontId="5" fillId="0" borderId="0"/>
    <xf numFmtId="0" fontId="5" fillId="19" borderId="0" applyNumberFormat="0" applyBorder="0" applyAlignment="0" applyProtection="0"/>
    <xf numFmtId="0" fontId="5" fillId="0" borderId="0"/>
    <xf numFmtId="0" fontId="5" fillId="27" borderId="0" applyNumberFormat="0" applyBorder="0" applyAlignment="0" applyProtection="0"/>
    <xf numFmtId="0" fontId="5" fillId="2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11" borderId="0" applyNumberFormat="0" applyBorder="0" applyAlignment="0" applyProtection="0"/>
    <xf numFmtId="0" fontId="5" fillId="31" borderId="0" applyNumberFormat="0" applyBorder="0" applyAlignment="0" applyProtection="0"/>
    <xf numFmtId="0" fontId="5" fillId="0" borderId="0"/>
    <xf numFmtId="0" fontId="5" fillId="30"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14" borderId="0" applyNumberFormat="0" applyBorder="0" applyAlignment="0" applyProtection="0"/>
    <xf numFmtId="0" fontId="5" fillId="27" borderId="0" applyNumberFormat="0" applyBorder="0" applyAlignment="0" applyProtection="0"/>
    <xf numFmtId="167" fontId="5" fillId="0" borderId="0" applyFont="0" applyFill="0" applyBorder="0" applyAlignment="0" applyProtection="0"/>
    <xf numFmtId="0" fontId="5" fillId="22" borderId="0" applyNumberFormat="0" applyBorder="0" applyAlignment="0" applyProtection="0"/>
    <xf numFmtId="0" fontId="5" fillId="11"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8" borderId="12" applyNumberFormat="0" applyFont="0" applyAlignment="0" applyProtection="0"/>
    <xf numFmtId="0" fontId="5" fillId="31" borderId="0" applyNumberFormat="0" applyBorder="0" applyAlignment="0" applyProtection="0"/>
    <xf numFmtId="0" fontId="5" fillId="22" borderId="0" applyNumberFormat="0" applyBorder="0" applyAlignment="0" applyProtection="0"/>
    <xf numFmtId="0" fontId="5" fillId="0" borderId="0"/>
    <xf numFmtId="0" fontId="5" fillId="14" borderId="0" applyNumberFormat="0" applyBorder="0" applyAlignment="0" applyProtection="0"/>
    <xf numFmtId="0" fontId="5" fillId="0" borderId="0"/>
    <xf numFmtId="167" fontId="5" fillId="0" borderId="0" applyFont="0" applyFill="0" applyBorder="0" applyAlignment="0" applyProtection="0"/>
    <xf numFmtId="0" fontId="5" fillId="0" borderId="0"/>
    <xf numFmtId="0" fontId="5" fillId="15" borderId="0" applyNumberFormat="0" applyBorder="0" applyAlignment="0" applyProtection="0"/>
    <xf numFmtId="9" fontId="5" fillId="0" borderId="0" applyFont="0" applyFill="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0" borderId="0"/>
    <xf numFmtId="0" fontId="5" fillId="23"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30" borderId="0" applyNumberFormat="0" applyBorder="0" applyAlignment="0" applyProtection="0"/>
    <xf numFmtId="0" fontId="5" fillId="22" borderId="0" applyNumberFormat="0" applyBorder="0" applyAlignment="0" applyProtection="0"/>
    <xf numFmtId="0" fontId="5" fillId="0" borderId="0"/>
    <xf numFmtId="0" fontId="5" fillId="14" borderId="0" applyNumberFormat="0" applyBorder="0" applyAlignment="0" applyProtection="0"/>
    <xf numFmtId="0" fontId="5" fillId="22" borderId="0" applyNumberFormat="0" applyBorder="0" applyAlignment="0" applyProtection="0"/>
    <xf numFmtId="0" fontId="5" fillId="0" borderId="0"/>
    <xf numFmtId="0" fontId="5" fillId="15" borderId="0" applyNumberFormat="0" applyBorder="0" applyAlignment="0" applyProtection="0"/>
    <xf numFmtId="9" fontId="5" fillId="0" borderId="0" applyFont="0" applyFill="0" applyBorder="0" applyAlignment="0" applyProtection="0"/>
    <xf numFmtId="0" fontId="5" fillId="0" borderId="0"/>
    <xf numFmtId="0" fontId="5" fillId="26" borderId="0" applyNumberFormat="0" applyBorder="0" applyAlignment="0" applyProtection="0"/>
    <xf numFmtId="0" fontId="5" fillId="27" borderId="0" applyNumberFormat="0" applyBorder="0" applyAlignment="0" applyProtection="0"/>
    <xf numFmtId="0" fontId="5" fillId="0" borderId="0"/>
    <xf numFmtId="0" fontId="5" fillId="0" borderId="0"/>
    <xf numFmtId="0" fontId="5" fillId="18" borderId="0" applyNumberFormat="0" applyBorder="0" applyAlignment="0" applyProtection="0"/>
    <xf numFmtId="44" fontId="5" fillId="0" borderId="0" applyFont="0" applyFill="0" applyBorder="0" applyAlignment="0" applyProtection="0"/>
    <xf numFmtId="0" fontId="5" fillId="22"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1" borderId="0" applyNumberFormat="0" applyBorder="0" applyAlignment="0" applyProtection="0"/>
    <xf numFmtId="0" fontId="5" fillId="27"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0" borderId="0"/>
    <xf numFmtId="0" fontId="5" fillId="30" borderId="0" applyNumberFormat="0" applyBorder="0" applyAlignment="0" applyProtection="0"/>
    <xf numFmtId="0" fontId="5" fillId="22" borderId="0" applyNumberFormat="0" applyBorder="0" applyAlignment="0" applyProtection="0"/>
    <xf numFmtId="0" fontId="5" fillId="19" borderId="0" applyNumberFormat="0" applyBorder="0" applyAlignment="0" applyProtection="0"/>
    <xf numFmtId="0" fontId="5" fillId="0" borderId="0"/>
    <xf numFmtId="0" fontId="5" fillId="14" borderId="0" applyNumberFormat="0" applyBorder="0" applyAlignment="0" applyProtection="0"/>
    <xf numFmtId="0" fontId="5" fillId="26" borderId="0" applyNumberFormat="0" applyBorder="0" applyAlignment="0" applyProtection="0"/>
    <xf numFmtId="9" fontId="5" fillId="0" borderId="0" applyFont="0" applyFill="0" applyBorder="0" applyAlignment="0" applyProtection="0"/>
    <xf numFmtId="0" fontId="5" fillId="0" borderId="0"/>
    <xf numFmtId="0" fontId="5" fillId="27" borderId="0" applyNumberFormat="0" applyBorder="0" applyAlignment="0" applyProtection="0"/>
    <xf numFmtId="0" fontId="5" fillId="8" borderId="12" applyNumberFormat="0" applyFont="0" applyAlignment="0" applyProtection="0"/>
    <xf numFmtId="0" fontId="5" fillId="14" borderId="0" applyNumberFormat="0" applyBorder="0" applyAlignment="0" applyProtection="0"/>
    <xf numFmtId="0" fontId="5" fillId="22" borderId="0" applyNumberFormat="0" applyBorder="0" applyAlignment="0" applyProtection="0"/>
    <xf numFmtId="0" fontId="5" fillId="0" borderId="0"/>
    <xf numFmtId="0" fontId="5" fillId="26" borderId="0" applyNumberFormat="0" applyBorder="0" applyAlignment="0" applyProtection="0"/>
    <xf numFmtId="0" fontId="5" fillId="18" borderId="0" applyNumberFormat="0" applyBorder="0" applyAlignment="0" applyProtection="0"/>
    <xf numFmtId="0" fontId="5" fillId="27" borderId="0" applyNumberFormat="0" applyBorder="0" applyAlignment="0" applyProtection="0"/>
    <xf numFmtId="0" fontId="5" fillId="11" borderId="0" applyNumberFormat="0" applyBorder="0" applyAlignment="0" applyProtection="0"/>
    <xf numFmtId="0" fontId="5" fillId="27" borderId="0" applyNumberFormat="0" applyBorder="0" applyAlignment="0" applyProtection="0"/>
    <xf numFmtId="0" fontId="5" fillId="22" borderId="0" applyNumberFormat="0" applyBorder="0" applyAlignment="0" applyProtection="0"/>
    <xf numFmtId="0" fontId="5" fillId="19" borderId="0" applyNumberFormat="0" applyBorder="0" applyAlignment="0" applyProtection="0"/>
    <xf numFmtId="9" fontId="5" fillId="0" borderId="0" applyFont="0" applyFill="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10" borderId="0" applyNumberFormat="0" applyBorder="0" applyAlignment="0" applyProtection="0"/>
    <xf numFmtId="0" fontId="5" fillId="0" borderId="0"/>
    <xf numFmtId="0" fontId="5" fillId="31" borderId="0" applyNumberFormat="0" applyBorder="0" applyAlignment="0" applyProtection="0"/>
    <xf numFmtId="9" fontId="5" fillId="0" borderId="0" applyFont="0" applyFill="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43" fontId="5" fillId="0" borderId="0" applyFont="0" applyFill="0" applyBorder="0" applyAlignment="0" applyProtection="0"/>
    <xf numFmtId="0" fontId="5" fillId="15" borderId="0" applyNumberFormat="0" applyBorder="0" applyAlignment="0" applyProtection="0"/>
    <xf numFmtId="0" fontId="5" fillId="8" borderId="12" applyNumberFormat="0" applyFont="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0" borderId="0"/>
    <xf numFmtId="0" fontId="5" fillId="15" borderId="0" applyNumberFormat="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5" fillId="18" borderId="0" applyNumberFormat="0" applyBorder="0" applyAlignment="0" applyProtection="0"/>
    <xf numFmtId="0" fontId="5" fillId="0" borderId="0"/>
    <xf numFmtId="0" fontId="5" fillId="22"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0" borderId="0"/>
    <xf numFmtId="0" fontId="5" fillId="0" borderId="0"/>
    <xf numFmtId="0" fontId="5" fillId="15" borderId="0" applyNumberFormat="0" applyBorder="0" applyAlignment="0" applyProtection="0"/>
    <xf numFmtId="0" fontId="5" fillId="10"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43" fontId="5" fillId="0" borderId="0" applyFont="0" applyFill="0" applyBorder="0" applyAlignment="0" applyProtection="0"/>
    <xf numFmtId="167" fontId="5" fillId="0" borderId="0" applyFont="0" applyFill="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0" borderId="0"/>
    <xf numFmtId="0" fontId="5" fillId="30" borderId="0" applyNumberFormat="0" applyBorder="0" applyAlignment="0" applyProtection="0"/>
    <xf numFmtId="0" fontId="5" fillId="22" borderId="0" applyNumberFormat="0" applyBorder="0" applyAlignment="0" applyProtection="0"/>
    <xf numFmtId="0" fontId="5" fillId="0" borderId="0"/>
    <xf numFmtId="0" fontId="5" fillId="0" borderId="0"/>
    <xf numFmtId="0" fontId="5" fillId="23" borderId="0" applyNumberFormat="0" applyBorder="0" applyAlignment="0" applyProtection="0"/>
    <xf numFmtId="0" fontId="5" fillId="31" borderId="0" applyNumberFormat="0" applyBorder="0" applyAlignment="0" applyProtection="0"/>
    <xf numFmtId="9" fontId="5" fillId="0" borderId="0" applyFont="0" applyFill="0" applyBorder="0" applyAlignment="0" applyProtection="0"/>
    <xf numFmtId="0" fontId="5" fillId="2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0" borderId="0"/>
    <xf numFmtId="0" fontId="5" fillId="22"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27"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10" borderId="0" applyNumberFormat="0" applyBorder="0" applyAlignment="0" applyProtection="0"/>
    <xf numFmtId="9" fontId="5" fillId="0" borderId="0" applyFont="0" applyFill="0" applyBorder="0" applyAlignment="0" applyProtection="0"/>
    <xf numFmtId="0" fontId="5" fillId="0" borderId="0"/>
    <xf numFmtId="0" fontId="5" fillId="18" borderId="0" applyNumberFormat="0" applyBorder="0" applyAlignment="0" applyProtection="0"/>
    <xf numFmtId="0" fontId="5" fillId="15" borderId="0" applyNumberFormat="0" applyBorder="0" applyAlignment="0" applyProtection="0"/>
    <xf numFmtId="44" fontId="5" fillId="0" borderId="0" applyFont="0" applyFill="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19" borderId="0" applyNumberFormat="0" applyBorder="0" applyAlignment="0" applyProtection="0"/>
    <xf numFmtId="0" fontId="5" fillId="0" borderId="0"/>
    <xf numFmtId="0" fontId="5" fillId="22"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4" borderId="0" applyNumberFormat="0" applyBorder="0" applyAlignment="0" applyProtection="0"/>
    <xf numFmtId="44" fontId="5" fillId="0" borderId="0" applyFont="0" applyFill="0" applyBorder="0" applyAlignment="0" applyProtection="0"/>
    <xf numFmtId="0" fontId="5" fillId="18" borderId="0" applyNumberFormat="0" applyBorder="0" applyAlignment="0" applyProtection="0"/>
    <xf numFmtId="0" fontId="5" fillId="8" borderId="12" applyNumberFormat="0" applyFont="0" applyAlignment="0" applyProtection="0"/>
    <xf numFmtId="0" fontId="5" fillId="26" borderId="0" applyNumberFormat="0" applyBorder="0" applyAlignment="0" applyProtection="0"/>
    <xf numFmtId="0" fontId="5" fillId="27" borderId="0" applyNumberFormat="0" applyBorder="0" applyAlignment="0" applyProtection="0"/>
    <xf numFmtId="9" fontId="5" fillId="0" borderId="0" applyFont="0" applyFill="0" applyBorder="0" applyAlignment="0" applyProtection="0"/>
    <xf numFmtId="0" fontId="5" fillId="27" borderId="0" applyNumberFormat="0" applyBorder="0" applyAlignment="0" applyProtection="0"/>
    <xf numFmtId="0" fontId="5" fillId="0" borderId="0"/>
    <xf numFmtId="0" fontId="5" fillId="14" borderId="0" applyNumberFormat="0" applyBorder="0" applyAlignment="0" applyProtection="0"/>
    <xf numFmtId="0" fontId="5" fillId="8" borderId="12" applyNumberFormat="0" applyFont="0" applyAlignment="0" applyProtection="0"/>
    <xf numFmtId="0" fontId="5" fillId="15" borderId="0" applyNumberFormat="0" applyBorder="0" applyAlignment="0" applyProtection="0"/>
    <xf numFmtId="9" fontId="5" fillId="0" borderId="0" applyFont="0" applyFill="0" applyBorder="0" applyAlignment="0" applyProtection="0"/>
    <xf numFmtId="0" fontId="5" fillId="0" borderId="0"/>
    <xf numFmtId="0" fontId="5" fillId="30"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22" borderId="0" applyNumberFormat="0" applyBorder="0" applyAlignment="0" applyProtection="0"/>
    <xf numFmtId="0" fontId="5" fillId="15" borderId="0" applyNumberFormat="0" applyBorder="0" applyAlignment="0" applyProtection="0"/>
    <xf numFmtId="0" fontId="5" fillId="8" borderId="12" applyNumberFormat="0" applyFont="0" applyAlignment="0" applyProtection="0"/>
    <xf numFmtId="0" fontId="5" fillId="27" borderId="0" applyNumberFormat="0" applyBorder="0" applyAlignment="0" applyProtection="0"/>
    <xf numFmtId="9" fontId="5"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23" borderId="0" applyNumberFormat="0" applyBorder="0" applyAlignment="0" applyProtection="0"/>
    <xf numFmtId="0" fontId="5" fillId="0" borderId="0"/>
    <xf numFmtId="0" fontId="5" fillId="11" borderId="0" applyNumberFormat="0" applyBorder="0" applyAlignment="0" applyProtection="0"/>
    <xf numFmtId="0" fontId="5" fillId="0" borderId="0"/>
    <xf numFmtId="9" fontId="5" fillId="0" borderId="0" applyFont="0" applyFill="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19" borderId="0" applyNumberFormat="0" applyBorder="0" applyAlignment="0" applyProtection="0"/>
    <xf numFmtId="0" fontId="5" fillId="8" borderId="12" applyNumberFormat="0" applyFont="0" applyAlignment="0" applyProtection="0"/>
    <xf numFmtId="0" fontId="5" fillId="31" borderId="0" applyNumberFormat="0" applyBorder="0" applyAlignment="0" applyProtection="0"/>
    <xf numFmtId="0" fontId="5" fillId="14"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31" borderId="0" applyNumberFormat="0" applyBorder="0" applyAlignment="0" applyProtection="0"/>
    <xf numFmtId="0" fontId="5" fillId="22" borderId="0" applyNumberFormat="0" applyBorder="0" applyAlignment="0" applyProtection="0"/>
    <xf numFmtId="0" fontId="5" fillId="0" borderId="0"/>
    <xf numFmtId="167" fontId="5" fillId="0" borderId="0" applyFont="0" applyFill="0" applyBorder="0" applyAlignment="0" applyProtection="0"/>
    <xf numFmtId="0" fontId="5" fillId="0" borderId="0"/>
    <xf numFmtId="0" fontId="5" fillId="19" borderId="0" applyNumberFormat="0" applyBorder="0" applyAlignment="0" applyProtection="0"/>
    <xf numFmtId="0" fontId="5" fillId="10"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5" fillId="10" borderId="0" applyNumberFormat="0" applyBorder="0" applyAlignment="0" applyProtection="0"/>
    <xf numFmtId="0" fontId="5" fillId="30" borderId="0" applyNumberFormat="0" applyBorder="0" applyAlignment="0" applyProtection="0"/>
    <xf numFmtId="0" fontId="5" fillId="14"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0" borderId="0"/>
    <xf numFmtId="0" fontId="5" fillId="0" borderId="0"/>
    <xf numFmtId="0" fontId="5" fillId="8" borderId="12" applyNumberFormat="0" applyFont="0" applyAlignment="0" applyProtection="0"/>
    <xf numFmtId="0" fontId="5" fillId="22" borderId="0" applyNumberFormat="0" applyBorder="0" applyAlignment="0" applyProtection="0"/>
    <xf numFmtId="0" fontId="5" fillId="26" borderId="0" applyNumberFormat="0" applyBorder="0" applyAlignment="0" applyProtection="0"/>
    <xf numFmtId="0" fontId="5" fillId="22"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1" borderId="0" applyNumberFormat="0" applyBorder="0" applyAlignment="0" applyProtection="0"/>
    <xf numFmtId="167" fontId="5" fillId="0" borderId="0" applyFont="0" applyFill="0" applyBorder="0" applyAlignment="0" applyProtection="0"/>
    <xf numFmtId="0" fontId="5" fillId="14" borderId="0" applyNumberFormat="0" applyBorder="0" applyAlignment="0" applyProtection="0"/>
    <xf numFmtId="9" fontId="5" fillId="0" borderId="0" applyFont="0" applyFill="0" applyBorder="0" applyAlignment="0" applyProtection="0"/>
    <xf numFmtId="0" fontId="5" fillId="0" borderId="0"/>
    <xf numFmtId="0" fontId="5" fillId="8" borderId="12" applyNumberFormat="0" applyFont="0" applyAlignment="0" applyProtection="0"/>
    <xf numFmtId="0" fontId="5" fillId="18" borderId="0" applyNumberFormat="0" applyBorder="0" applyAlignment="0" applyProtection="0"/>
    <xf numFmtId="167" fontId="5" fillId="0" borderId="0" applyFont="0" applyFill="0" applyBorder="0" applyAlignment="0" applyProtection="0"/>
    <xf numFmtId="0" fontId="5" fillId="0" borderId="0"/>
    <xf numFmtId="0" fontId="5" fillId="30"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0" borderId="0"/>
    <xf numFmtId="0" fontId="5" fillId="31"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0" borderId="0"/>
    <xf numFmtId="0" fontId="5" fillId="26" borderId="0" applyNumberFormat="0" applyBorder="0" applyAlignment="0" applyProtection="0"/>
    <xf numFmtId="0" fontId="5" fillId="18" borderId="0" applyNumberFormat="0" applyBorder="0" applyAlignment="0" applyProtection="0"/>
    <xf numFmtId="0" fontId="5" fillId="0" borderId="0"/>
    <xf numFmtId="0" fontId="5" fillId="26"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44" fontId="5" fillId="0" borderId="0" applyFont="0" applyFill="0" applyBorder="0" applyAlignment="0" applyProtection="0"/>
    <xf numFmtId="0" fontId="5" fillId="15"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2" borderId="0" applyNumberFormat="0" applyBorder="0" applyAlignment="0" applyProtection="0"/>
    <xf numFmtId="0" fontId="5" fillId="31" borderId="0" applyNumberFormat="0" applyBorder="0" applyAlignment="0" applyProtection="0"/>
    <xf numFmtId="0" fontId="5" fillId="22"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23" borderId="0" applyNumberFormat="0" applyBorder="0" applyAlignment="0" applyProtection="0"/>
    <xf numFmtId="0" fontId="5" fillId="0" borderId="0"/>
    <xf numFmtId="9" fontId="5" fillId="0" borderId="0" applyFont="0" applyFill="0" applyBorder="0" applyAlignment="0" applyProtection="0"/>
    <xf numFmtId="0" fontId="5" fillId="0" borderId="0"/>
    <xf numFmtId="0" fontId="5" fillId="15" borderId="0" applyNumberFormat="0" applyBorder="0" applyAlignment="0" applyProtection="0"/>
    <xf numFmtId="43" fontId="5" fillId="0" borderId="0" applyFont="0" applyFill="0" applyBorder="0" applyAlignment="0" applyProtection="0"/>
    <xf numFmtId="0" fontId="5" fillId="18"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8" borderId="0" applyNumberFormat="0" applyBorder="0" applyAlignment="0" applyProtection="0"/>
    <xf numFmtId="0" fontId="5" fillId="11" borderId="0" applyNumberFormat="0" applyBorder="0" applyAlignment="0" applyProtection="0"/>
    <xf numFmtId="0" fontId="5" fillId="23" borderId="0" applyNumberFormat="0" applyBorder="0" applyAlignment="0" applyProtection="0"/>
    <xf numFmtId="0" fontId="5" fillId="0" borderId="0"/>
    <xf numFmtId="0" fontId="5" fillId="23"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8" borderId="12" applyNumberFormat="0" applyFont="0" applyAlignment="0" applyProtection="0"/>
    <xf numFmtId="0" fontId="5" fillId="0" borderId="0"/>
    <xf numFmtId="0" fontId="5" fillId="14"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0" borderId="0"/>
    <xf numFmtId="0" fontId="5" fillId="22" borderId="0" applyNumberFormat="0" applyBorder="0" applyAlignment="0" applyProtection="0"/>
    <xf numFmtId="0" fontId="5" fillId="8" borderId="12" applyNumberFormat="0" applyFont="0" applyAlignment="0" applyProtection="0"/>
    <xf numFmtId="0" fontId="5" fillId="23" borderId="0" applyNumberFormat="0" applyBorder="0" applyAlignment="0" applyProtection="0"/>
    <xf numFmtId="0" fontId="5" fillId="15" borderId="0" applyNumberFormat="0" applyBorder="0" applyAlignment="0" applyProtection="0"/>
    <xf numFmtId="0" fontId="5" fillId="0" borderId="0"/>
    <xf numFmtId="0" fontId="5" fillId="31" borderId="0" applyNumberFormat="0" applyBorder="0" applyAlignment="0" applyProtection="0"/>
    <xf numFmtId="0" fontId="5" fillId="22" borderId="0" applyNumberFormat="0" applyBorder="0" applyAlignment="0" applyProtection="0"/>
    <xf numFmtId="0" fontId="5" fillId="31" borderId="0" applyNumberFormat="0" applyBorder="0" applyAlignment="0" applyProtection="0"/>
    <xf numFmtId="0" fontId="5" fillId="0" borderId="0"/>
    <xf numFmtId="0" fontId="5" fillId="27" borderId="0" applyNumberFormat="0" applyBorder="0" applyAlignment="0" applyProtection="0"/>
    <xf numFmtId="44" fontId="5" fillId="0" borderId="0" applyFont="0" applyFill="0" applyBorder="0" applyAlignment="0" applyProtection="0"/>
    <xf numFmtId="0" fontId="5" fillId="22"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15" borderId="0" applyNumberFormat="0" applyBorder="0" applyAlignment="0" applyProtection="0"/>
    <xf numFmtId="0" fontId="5" fillId="0" borderId="0"/>
    <xf numFmtId="0" fontId="5" fillId="0" borderId="0"/>
    <xf numFmtId="0" fontId="5" fillId="19" borderId="0" applyNumberFormat="0" applyBorder="0" applyAlignment="0" applyProtection="0"/>
    <xf numFmtId="0" fontId="5" fillId="14" borderId="0" applyNumberFormat="0" applyBorder="0" applyAlignment="0" applyProtection="0"/>
    <xf numFmtId="44" fontId="5" fillId="0" borderId="0" applyFont="0" applyFill="0" applyBorder="0" applyAlignment="0" applyProtection="0"/>
    <xf numFmtId="0" fontId="5" fillId="26" borderId="0" applyNumberFormat="0" applyBorder="0" applyAlignment="0" applyProtection="0"/>
    <xf numFmtId="0" fontId="5" fillId="11" borderId="0" applyNumberFormat="0" applyBorder="0" applyAlignment="0" applyProtection="0"/>
    <xf numFmtId="0" fontId="5" fillId="30"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43" fontId="5" fillId="0" borderId="0" applyFont="0" applyFill="0" applyBorder="0" applyAlignment="0" applyProtection="0"/>
    <xf numFmtId="0" fontId="5" fillId="15" borderId="0" applyNumberFormat="0" applyBorder="0" applyAlignment="0" applyProtection="0"/>
    <xf numFmtId="0" fontId="5" fillId="22" borderId="0" applyNumberFormat="0" applyBorder="0" applyAlignment="0" applyProtection="0"/>
    <xf numFmtId="0" fontId="5" fillId="0" borderId="0"/>
    <xf numFmtId="0" fontId="5" fillId="31" borderId="0" applyNumberFormat="0" applyBorder="0" applyAlignment="0" applyProtection="0"/>
    <xf numFmtId="0" fontId="5" fillId="0" borderId="0"/>
    <xf numFmtId="0" fontId="5" fillId="10" borderId="0" applyNumberFormat="0" applyBorder="0" applyAlignment="0" applyProtection="0"/>
    <xf numFmtId="0" fontId="5" fillId="18"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9" fontId="5" fillId="0" borderId="0" applyFont="0" applyFill="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9" fontId="5" fillId="0" borderId="0" applyFont="0" applyFill="0" applyBorder="0" applyAlignment="0" applyProtection="0"/>
    <xf numFmtId="0" fontId="5" fillId="30" borderId="0" applyNumberFormat="0" applyBorder="0" applyAlignment="0" applyProtection="0"/>
    <xf numFmtId="0" fontId="5" fillId="23" borderId="0" applyNumberFormat="0" applyBorder="0" applyAlignment="0" applyProtection="0"/>
    <xf numFmtId="0" fontId="5" fillId="15" borderId="0" applyNumberFormat="0" applyBorder="0" applyAlignment="0" applyProtection="0"/>
    <xf numFmtId="0" fontId="5" fillId="0" borderId="0"/>
    <xf numFmtId="0" fontId="5" fillId="0" borderId="0"/>
    <xf numFmtId="0" fontId="5" fillId="30" borderId="0" applyNumberFormat="0" applyBorder="0" applyAlignment="0" applyProtection="0"/>
    <xf numFmtId="0" fontId="5" fillId="27" borderId="0" applyNumberFormat="0" applyBorder="0" applyAlignment="0" applyProtection="0"/>
    <xf numFmtId="0" fontId="5" fillId="10" borderId="0" applyNumberFormat="0" applyBorder="0" applyAlignment="0" applyProtection="0"/>
    <xf numFmtId="0" fontId="5" fillId="30" borderId="0" applyNumberFormat="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23" borderId="0" applyNumberFormat="0" applyBorder="0" applyAlignment="0" applyProtection="0"/>
    <xf numFmtId="0" fontId="5" fillId="8" borderId="12" applyNumberFormat="0" applyFont="0" applyAlignment="0" applyProtection="0"/>
    <xf numFmtId="0" fontId="5" fillId="0" borderId="0"/>
    <xf numFmtId="0" fontId="5" fillId="10" borderId="0" applyNumberFormat="0" applyBorder="0" applyAlignment="0" applyProtection="0"/>
    <xf numFmtId="43" fontId="5" fillId="0" borderId="0" applyFont="0" applyFill="0" applyBorder="0" applyAlignment="0" applyProtection="0"/>
    <xf numFmtId="0" fontId="5" fillId="11" borderId="0" applyNumberFormat="0" applyBorder="0" applyAlignment="0" applyProtection="0"/>
    <xf numFmtId="0" fontId="5" fillId="0" borderId="0"/>
    <xf numFmtId="0" fontId="5" fillId="26" borderId="0" applyNumberFormat="0" applyBorder="0" applyAlignment="0" applyProtection="0"/>
    <xf numFmtId="0" fontId="5" fillId="10" borderId="0" applyNumberFormat="0" applyBorder="0" applyAlignment="0" applyProtection="0"/>
    <xf numFmtId="0" fontId="5" fillId="0" borderId="0"/>
    <xf numFmtId="44" fontId="5" fillId="0" borderId="0" applyFont="0" applyFill="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19" borderId="0" applyNumberFormat="0" applyBorder="0" applyAlignment="0" applyProtection="0"/>
    <xf numFmtId="167" fontId="5" fillId="0" borderId="0" applyFont="0" applyFill="0" applyBorder="0" applyAlignment="0" applyProtection="0"/>
    <xf numFmtId="0" fontId="5" fillId="8" borderId="12" applyNumberFormat="0" applyFont="0" applyAlignment="0" applyProtection="0"/>
    <xf numFmtId="0" fontId="5" fillId="26" borderId="0" applyNumberFormat="0" applyBorder="0" applyAlignment="0" applyProtection="0"/>
    <xf numFmtId="0" fontId="5" fillId="30" borderId="0" applyNumberFormat="0" applyBorder="0" applyAlignment="0" applyProtection="0"/>
    <xf numFmtId="0" fontId="5" fillId="10" borderId="0" applyNumberFormat="0" applyBorder="0" applyAlignment="0" applyProtection="0"/>
    <xf numFmtId="167" fontId="5" fillId="0" borderId="0" applyFont="0" applyFill="0" applyBorder="0" applyAlignment="0" applyProtection="0"/>
    <xf numFmtId="0" fontId="5" fillId="30"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0" borderId="0"/>
    <xf numFmtId="0" fontId="5" fillId="10"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8" borderId="12" applyNumberFormat="0" applyFont="0" applyAlignment="0" applyProtection="0"/>
    <xf numFmtId="0" fontId="5" fillId="30" borderId="0" applyNumberFormat="0" applyBorder="0" applyAlignment="0" applyProtection="0"/>
    <xf numFmtId="0" fontId="5" fillId="0" borderId="0"/>
    <xf numFmtId="0" fontId="5" fillId="0" borderId="0"/>
    <xf numFmtId="0" fontId="5" fillId="0" borderId="0"/>
    <xf numFmtId="0" fontId="5" fillId="0" borderId="0"/>
    <xf numFmtId="0" fontId="5" fillId="23"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5" fillId="30" borderId="0" applyNumberFormat="0" applyBorder="0" applyAlignment="0" applyProtection="0"/>
    <xf numFmtId="0" fontId="5" fillId="23" borderId="0" applyNumberFormat="0" applyBorder="0" applyAlignment="0" applyProtection="0"/>
    <xf numFmtId="0" fontId="5" fillId="11" borderId="0" applyNumberFormat="0" applyBorder="0" applyAlignment="0" applyProtection="0"/>
    <xf numFmtId="167" fontId="5" fillId="0" borderId="0" applyFont="0" applyFill="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30" borderId="0" applyNumberFormat="0" applyBorder="0" applyAlignment="0" applyProtection="0"/>
    <xf numFmtId="0" fontId="5" fillId="19"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9" fontId="5" fillId="0" borderId="0" applyFont="0" applyFill="0" applyBorder="0" applyAlignment="0" applyProtection="0"/>
    <xf numFmtId="0" fontId="5" fillId="19" borderId="0" applyNumberFormat="0" applyBorder="0" applyAlignment="0" applyProtection="0"/>
    <xf numFmtId="43" fontId="5" fillId="0" borderId="0" applyFont="0" applyFill="0" applyBorder="0" applyAlignment="0" applyProtection="0"/>
    <xf numFmtId="0" fontId="5" fillId="22" borderId="0" applyNumberFormat="0" applyBorder="0" applyAlignment="0" applyProtection="0"/>
    <xf numFmtId="44" fontId="5" fillId="0" borderId="0" applyFont="0" applyFill="0" applyBorder="0" applyAlignment="0" applyProtection="0"/>
    <xf numFmtId="0" fontId="5" fillId="0" borderId="0"/>
    <xf numFmtId="0" fontId="5" fillId="18" borderId="0" applyNumberFormat="0" applyBorder="0" applyAlignment="0" applyProtection="0"/>
    <xf numFmtId="0" fontId="5" fillId="26" borderId="0" applyNumberFormat="0" applyBorder="0" applyAlignment="0" applyProtection="0"/>
    <xf numFmtId="0" fontId="5" fillId="14" borderId="0" applyNumberFormat="0" applyBorder="0" applyAlignment="0" applyProtection="0"/>
    <xf numFmtId="0" fontId="5" fillId="0" borderId="0"/>
    <xf numFmtId="0" fontId="5" fillId="14" borderId="0" applyNumberFormat="0" applyBorder="0" applyAlignment="0" applyProtection="0"/>
    <xf numFmtId="0" fontId="5" fillId="22"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15" borderId="0" applyNumberFormat="0" applyBorder="0" applyAlignment="0" applyProtection="0"/>
    <xf numFmtId="0" fontId="5" fillId="30" borderId="0" applyNumberFormat="0" applyBorder="0" applyAlignment="0" applyProtection="0"/>
    <xf numFmtId="0" fontId="5" fillId="18"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15" borderId="0" applyNumberFormat="0" applyBorder="0" applyAlignment="0" applyProtection="0"/>
    <xf numFmtId="0" fontId="5" fillId="26" borderId="0" applyNumberFormat="0" applyBorder="0" applyAlignment="0" applyProtection="0"/>
    <xf numFmtId="0" fontId="5" fillId="10" borderId="0" applyNumberFormat="0" applyBorder="0" applyAlignment="0" applyProtection="0"/>
    <xf numFmtId="0" fontId="5" fillId="0" borderId="0"/>
    <xf numFmtId="0" fontId="5" fillId="26" borderId="0" applyNumberFormat="0" applyBorder="0" applyAlignment="0" applyProtection="0"/>
    <xf numFmtId="0" fontId="5" fillId="14"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0" borderId="0"/>
    <xf numFmtId="0" fontId="5" fillId="10" borderId="0" applyNumberFormat="0" applyBorder="0" applyAlignment="0" applyProtection="0"/>
    <xf numFmtId="0" fontId="5" fillId="27" borderId="0" applyNumberFormat="0" applyBorder="0" applyAlignment="0" applyProtection="0"/>
    <xf numFmtId="0" fontId="5" fillId="15" borderId="0" applyNumberFormat="0" applyBorder="0" applyAlignment="0" applyProtection="0"/>
    <xf numFmtId="0" fontId="5" fillId="23" borderId="0" applyNumberFormat="0" applyBorder="0" applyAlignment="0" applyProtection="0"/>
    <xf numFmtId="0" fontId="5" fillId="0" borderId="0"/>
    <xf numFmtId="0" fontId="5" fillId="27" borderId="0" applyNumberFormat="0" applyBorder="0" applyAlignment="0" applyProtection="0"/>
    <xf numFmtId="0" fontId="5" fillId="30" borderId="0" applyNumberFormat="0" applyBorder="0" applyAlignment="0" applyProtection="0"/>
    <xf numFmtId="0" fontId="5" fillId="0" borderId="0"/>
    <xf numFmtId="0" fontId="5" fillId="14" borderId="0" applyNumberFormat="0" applyBorder="0" applyAlignment="0" applyProtection="0"/>
    <xf numFmtId="0" fontId="5" fillId="22" borderId="0" applyNumberFormat="0" applyBorder="0" applyAlignment="0" applyProtection="0"/>
    <xf numFmtId="0" fontId="5" fillId="10" borderId="0" applyNumberFormat="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18" borderId="0" applyNumberFormat="0" applyBorder="0" applyAlignment="0" applyProtection="0"/>
    <xf numFmtId="0" fontId="5" fillId="8" borderId="12" applyNumberFormat="0" applyFont="0" applyAlignment="0" applyProtection="0"/>
    <xf numFmtId="0" fontId="5" fillId="22" borderId="0" applyNumberFormat="0" applyBorder="0" applyAlignment="0" applyProtection="0"/>
    <xf numFmtId="0" fontId="5" fillId="8" borderId="12" applyNumberFormat="0" applyFont="0" applyAlignment="0" applyProtection="0"/>
    <xf numFmtId="0" fontId="5" fillId="0" borderId="0"/>
    <xf numFmtId="0" fontId="5" fillId="14" borderId="0" applyNumberFormat="0" applyBorder="0" applyAlignment="0" applyProtection="0"/>
    <xf numFmtId="0" fontId="5" fillId="8" borderId="12" applyNumberFormat="0" applyFont="0" applyAlignment="0" applyProtection="0"/>
    <xf numFmtId="0" fontId="5" fillId="23" borderId="0" applyNumberFormat="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27" borderId="0" applyNumberFormat="0" applyBorder="0" applyAlignment="0" applyProtection="0"/>
    <xf numFmtId="0" fontId="5" fillId="15" borderId="0" applyNumberFormat="0" applyBorder="0" applyAlignment="0" applyProtection="0"/>
    <xf numFmtId="0" fontId="5" fillId="0" borderId="0"/>
    <xf numFmtId="0" fontId="5" fillId="30" borderId="0" applyNumberFormat="0" applyBorder="0" applyAlignment="0" applyProtection="0"/>
    <xf numFmtId="0" fontId="5" fillId="31" borderId="0" applyNumberFormat="0" applyBorder="0" applyAlignment="0" applyProtection="0"/>
    <xf numFmtId="9" fontId="5" fillId="0" borderId="0" applyFont="0" applyFill="0" applyBorder="0" applyAlignment="0" applyProtection="0"/>
    <xf numFmtId="0" fontId="5" fillId="0" borderId="0"/>
    <xf numFmtId="9" fontId="5" fillId="0" borderId="0" applyFont="0" applyFill="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5" borderId="0" applyNumberFormat="0" applyBorder="0" applyAlignment="0" applyProtection="0"/>
    <xf numFmtId="43" fontId="5" fillId="0" borderId="0" applyFont="0" applyFill="0" applyBorder="0" applyAlignment="0" applyProtection="0"/>
    <xf numFmtId="0" fontId="5" fillId="0" borderId="0"/>
    <xf numFmtId="0" fontId="5" fillId="31" borderId="0" applyNumberFormat="0" applyBorder="0" applyAlignment="0" applyProtection="0"/>
    <xf numFmtId="0" fontId="5" fillId="11"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0" borderId="0"/>
    <xf numFmtId="0" fontId="5" fillId="14" borderId="0" applyNumberFormat="0" applyBorder="0" applyAlignment="0" applyProtection="0"/>
    <xf numFmtId="0" fontId="5" fillId="3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167" fontId="5" fillId="0" borderId="0" applyFont="0" applyFill="0" applyBorder="0" applyAlignment="0" applyProtection="0"/>
    <xf numFmtId="0" fontId="5" fillId="10" borderId="0" applyNumberFormat="0" applyBorder="0" applyAlignment="0" applyProtection="0"/>
    <xf numFmtId="0" fontId="5" fillId="0" borderId="0"/>
    <xf numFmtId="0" fontId="5" fillId="0" borderId="0"/>
    <xf numFmtId="0" fontId="5" fillId="8" borderId="12" applyNumberFormat="0" applyFont="0" applyAlignment="0" applyProtection="0"/>
    <xf numFmtId="0" fontId="5" fillId="30" borderId="0" applyNumberFormat="0" applyBorder="0" applyAlignment="0" applyProtection="0"/>
    <xf numFmtId="0" fontId="5" fillId="0" borderId="0"/>
    <xf numFmtId="0" fontId="5" fillId="27" borderId="0" applyNumberFormat="0" applyBorder="0" applyAlignment="0" applyProtection="0"/>
    <xf numFmtId="0" fontId="5" fillId="30" borderId="0" applyNumberFormat="0" applyBorder="0" applyAlignment="0" applyProtection="0"/>
    <xf numFmtId="0" fontId="5" fillId="15" borderId="0" applyNumberFormat="0" applyBorder="0" applyAlignment="0" applyProtection="0"/>
    <xf numFmtId="0" fontId="5" fillId="11" borderId="0" applyNumberFormat="0" applyBorder="0" applyAlignment="0" applyProtection="0"/>
    <xf numFmtId="0" fontId="5" fillId="22" borderId="0" applyNumberFormat="0" applyBorder="0" applyAlignment="0" applyProtection="0"/>
    <xf numFmtId="0" fontId="5" fillId="14" borderId="0" applyNumberFormat="0" applyBorder="0" applyAlignment="0" applyProtection="0"/>
    <xf numFmtId="0" fontId="5" fillId="31" borderId="0" applyNumberFormat="0" applyBorder="0" applyAlignment="0" applyProtection="0"/>
    <xf numFmtId="0" fontId="5" fillId="0" borderId="0"/>
    <xf numFmtId="167" fontId="5" fillId="0" borderId="0" applyFont="0" applyFill="0" applyBorder="0" applyAlignment="0" applyProtection="0"/>
    <xf numFmtId="0" fontId="5" fillId="0" borderId="0"/>
    <xf numFmtId="0" fontId="5" fillId="19" borderId="0" applyNumberFormat="0" applyBorder="0" applyAlignment="0" applyProtection="0"/>
    <xf numFmtId="0" fontId="5" fillId="14" borderId="0" applyNumberFormat="0" applyBorder="0" applyAlignment="0" applyProtection="0"/>
    <xf numFmtId="0" fontId="5" fillId="26" borderId="0" applyNumberFormat="0" applyBorder="0" applyAlignment="0" applyProtection="0"/>
    <xf numFmtId="0" fontId="5" fillId="8" borderId="12" applyNumberFormat="0" applyFont="0" applyAlignment="0" applyProtection="0"/>
    <xf numFmtId="0" fontId="5" fillId="0" borderId="0"/>
    <xf numFmtId="0" fontId="5" fillId="0" borderId="0"/>
    <xf numFmtId="0" fontId="5" fillId="26" borderId="0" applyNumberFormat="0" applyBorder="0" applyAlignment="0" applyProtection="0"/>
    <xf numFmtId="0" fontId="5" fillId="10" borderId="0" applyNumberFormat="0" applyBorder="0" applyAlignment="0" applyProtection="0"/>
    <xf numFmtId="0" fontId="5" fillId="0" borderId="0"/>
    <xf numFmtId="0" fontId="5" fillId="15" borderId="0" applyNumberFormat="0" applyBorder="0" applyAlignment="0" applyProtection="0"/>
    <xf numFmtId="0" fontId="5" fillId="11" borderId="0" applyNumberFormat="0" applyBorder="0" applyAlignment="0" applyProtection="0"/>
    <xf numFmtId="0" fontId="5" fillId="23"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43" fontId="5" fillId="0" borderId="0" applyFont="0" applyFill="0" applyBorder="0" applyAlignment="0" applyProtection="0"/>
    <xf numFmtId="0" fontId="5" fillId="0" borderId="0"/>
    <xf numFmtId="0" fontId="5" fillId="0" borderId="0"/>
    <xf numFmtId="0" fontId="5" fillId="10" borderId="0" applyNumberFormat="0" applyBorder="0" applyAlignment="0" applyProtection="0"/>
    <xf numFmtId="0" fontId="5" fillId="15"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0" borderId="0"/>
    <xf numFmtId="9" fontId="5" fillId="0" borderId="0" applyFont="0" applyFill="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0" borderId="0"/>
    <xf numFmtId="0" fontId="5" fillId="26" borderId="0" applyNumberFormat="0" applyBorder="0" applyAlignment="0" applyProtection="0"/>
    <xf numFmtId="0" fontId="5" fillId="11" borderId="0" applyNumberFormat="0" applyBorder="0" applyAlignment="0" applyProtection="0"/>
    <xf numFmtId="9" fontId="5" fillId="0" borderId="0" applyFont="0" applyFill="0" applyBorder="0" applyAlignment="0" applyProtection="0"/>
    <xf numFmtId="0" fontId="5" fillId="26" borderId="0" applyNumberFormat="0" applyBorder="0" applyAlignment="0" applyProtection="0"/>
    <xf numFmtId="9" fontId="5" fillId="0" borderId="0" applyFont="0" applyFill="0" applyBorder="0" applyAlignment="0" applyProtection="0"/>
    <xf numFmtId="0" fontId="5" fillId="0" borderId="0"/>
    <xf numFmtId="0" fontId="5" fillId="27"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8" borderId="12" applyNumberFormat="0" applyFont="0" applyAlignment="0" applyProtection="0"/>
    <xf numFmtId="0" fontId="5" fillId="8" borderId="12" applyNumberFormat="0" applyFont="0" applyAlignment="0" applyProtection="0"/>
    <xf numFmtId="0" fontId="5" fillId="23" borderId="0" applyNumberFormat="0" applyBorder="0" applyAlignment="0" applyProtection="0"/>
    <xf numFmtId="0" fontId="5" fillId="0" borderId="0"/>
    <xf numFmtId="0" fontId="5" fillId="0" borderId="0"/>
    <xf numFmtId="0" fontId="5" fillId="0" borderId="0"/>
    <xf numFmtId="0" fontId="5" fillId="19" borderId="0" applyNumberFormat="0" applyBorder="0" applyAlignment="0" applyProtection="0"/>
    <xf numFmtId="0" fontId="5" fillId="11" borderId="0" applyNumberFormat="0" applyBorder="0" applyAlignment="0" applyProtection="0"/>
    <xf numFmtId="0" fontId="5" fillId="19" borderId="0" applyNumberFormat="0" applyBorder="0" applyAlignment="0" applyProtection="0"/>
    <xf numFmtId="0" fontId="5" fillId="15" borderId="0" applyNumberFormat="0" applyBorder="0" applyAlignment="0" applyProtection="0"/>
    <xf numFmtId="0" fontId="5" fillId="10" borderId="0" applyNumberFormat="0" applyBorder="0" applyAlignment="0" applyProtection="0"/>
    <xf numFmtId="0" fontId="5" fillId="8" borderId="12" applyNumberFormat="0" applyFont="0" applyAlignment="0" applyProtection="0"/>
    <xf numFmtId="0" fontId="5" fillId="31"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0" borderId="0"/>
    <xf numFmtId="0" fontId="5" fillId="31" borderId="0" applyNumberFormat="0" applyBorder="0" applyAlignment="0" applyProtection="0"/>
    <xf numFmtId="0" fontId="5" fillId="22" borderId="0" applyNumberFormat="0" applyBorder="0" applyAlignment="0" applyProtection="0"/>
    <xf numFmtId="0" fontId="5" fillId="0" borderId="0"/>
    <xf numFmtId="9" fontId="5" fillId="0" borderId="0" applyFont="0" applyFill="0" applyBorder="0" applyAlignment="0" applyProtection="0"/>
    <xf numFmtId="0" fontId="5" fillId="23" borderId="0" applyNumberFormat="0" applyBorder="0" applyAlignment="0" applyProtection="0"/>
    <xf numFmtId="0" fontId="5" fillId="18" borderId="0" applyNumberFormat="0" applyBorder="0" applyAlignment="0" applyProtection="0"/>
    <xf numFmtId="0" fontId="5" fillId="0" borderId="0"/>
    <xf numFmtId="0" fontId="5" fillId="26" borderId="0" applyNumberFormat="0" applyBorder="0" applyAlignment="0" applyProtection="0"/>
    <xf numFmtId="0" fontId="5" fillId="30" borderId="0" applyNumberFormat="0" applyBorder="0" applyAlignment="0" applyProtection="0"/>
    <xf numFmtId="0" fontId="5" fillId="22"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8" borderId="12" applyNumberFormat="0" applyFont="0" applyAlignment="0" applyProtection="0"/>
    <xf numFmtId="0" fontId="5" fillId="10" borderId="0" applyNumberFormat="0" applyBorder="0" applyAlignment="0" applyProtection="0"/>
    <xf numFmtId="0" fontId="5" fillId="0" borderId="0"/>
    <xf numFmtId="0" fontId="5" fillId="15" borderId="0" applyNumberFormat="0" applyBorder="0" applyAlignment="0" applyProtection="0"/>
    <xf numFmtId="0" fontId="5" fillId="31" borderId="0" applyNumberFormat="0" applyBorder="0" applyAlignment="0" applyProtection="0"/>
    <xf numFmtId="0" fontId="5" fillId="0" borderId="0"/>
    <xf numFmtId="0" fontId="5" fillId="22" borderId="0" applyNumberFormat="0" applyBorder="0" applyAlignment="0" applyProtection="0"/>
    <xf numFmtId="0" fontId="5" fillId="0" borderId="0"/>
    <xf numFmtId="0" fontId="5" fillId="27"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23" borderId="0" applyNumberFormat="0" applyBorder="0" applyAlignment="0" applyProtection="0"/>
    <xf numFmtId="0" fontId="5" fillId="0" borderId="0"/>
    <xf numFmtId="0" fontId="5" fillId="22" borderId="0" applyNumberFormat="0" applyBorder="0" applyAlignment="0" applyProtection="0"/>
    <xf numFmtId="0" fontId="5" fillId="27" borderId="0" applyNumberFormat="0" applyBorder="0" applyAlignment="0" applyProtection="0"/>
    <xf numFmtId="0" fontId="5" fillId="0" borderId="0"/>
    <xf numFmtId="0" fontId="5" fillId="11" borderId="0" applyNumberFormat="0" applyBorder="0" applyAlignment="0" applyProtection="0"/>
    <xf numFmtId="0" fontId="5" fillId="8" borderId="12" applyNumberFormat="0" applyFont="0" applyAlignment="0" applyProtection="0"/>
    <xf numFmtId="0" fontId="5" fillId="18" borderId="0" applyNumberFormat="0" applyBorder="0" applyAlignment="0" applyProtection="0"/>
    <xf numFmtId="0" fontId="5" fillId="11" borderId="0" applyNumberFormat="0" applyBorder="0" applyAlignment="0" applyProtection="0"/>
    <xf numFmtId="0" fontId="5" fillId="18" borderId="0" applyNumberFormat="0" applyBorder="0" applyAlignment="0" applyProtection="0"/>
    <xf numFmtId="0" fontId="5" fillId="8" borderId="12" applyNumberFormat="0" applyFont="0" applyAlignment="0" applyProtection="0"/>
    <xf numFmtId="9" fontId="5" fillId="0" borderId="0" applyFont="0" applyFill="0" applyBorder="0" applyAlignment="0" applyProtection="0"/>
    <xf numFmtId="0" fontId="5" fillId="22" borderId="0" applyNumberFormat="0" applyBorder="0" applyAlignment="0" applyProtection="0"/>
    <xf numFmtId="44" fontId="5" fillId="0" borderId="0" applyFont="0" applyFill="0" applyBorder="0" applyAlignment="0" applyProtection="0"/>
    <xf numFmtId="0" fontId="5" fillId="0" borderId="0"/>
    <xf numFmtId="0" fontId="5" fillId="31" borderId="0" applyNumberFormat="0" applyBorder="0" applyAlignment="0" applyProtection="0"/>
    <xf numFmtId="0" fontId="5" fillId="31" borderId="0" applyNumberFormat="0" applyBorder="0" applyAlignment="0" applyProtection="0"/>
    <xf numFmtId="0" fontId="5" fillId="8" borderId="12" applyNumberFormat="0" applyFont="0" applyAlignment="0" applyProtection="0"/>
    <xf numFmtId="0" fontId="5" fillId="31" borderId="0" applyNumberFormat="0" applyBorder="0" applyAlignment="0" applyProtection="0"/>
    <xf numFmtId="0" fontId="5" fillId="30" borderId="0" applyNumberFormat="0" applyBorder="0" applyAlignment="0" applyProtection="0"/>
    <xf numFmtId="0" fontId="5" fillId="0" borderId="0"/>
    <xf numFmtId="44" fontId="5" fillId="0" borderId="0" applyFont="0" applyFill="0" applyBorder="0" applyAlignment="0" applyProtection="0"/>
    <xf numFmtId="0" fontId="5" fillId="30" borderId="0" applyNumberFormat="0" applyBorder="0" applyAlignment="0" applyProtection="0"/>
    <xf numFmtId="0" fontId="5" fillId="14" borderId="0" applyNumberFormat="0" applyBorder="0" applyAlignment="0" applyProtection="0"/>
    <xf numFmtId="0" fontId="5" fillId="30" borderId="0" applyNumberFormat="0" applyBorder="0" applyAlignment="0" applyProtection="0"/>
    <xf numFmtId="0" fontId="5" fillId="11" borderId="0" applyNumberFormat="0" applyBorder="0" applyAlignment="0" applyProtection="0"/>
    <xf numFmtId="43" fontId="5" fillId="0" borderId="0" applyFont="0" applyFill="0" applyBorder="0" applyAlignment="0" applyProtection="0"/>
    <xf numFmtId="0" fontId="5" fillId="0" borderId="0"/>
    <xf numFmtId="0" fontId="5" fillId="30" borderId="0" applyNumberFormat="0" applyBorder="0" applyAlignment="0" applyProtection="0"/>
    <xf numFmtId="0" fontId="5" fillId="18" borderId="0" applyNumberFormat="0" applyBorder="0" applyAlignment="0" applyProtection="0"/>
    <xf numFmtId="0" fontId="5" fillId="30" borderId="0" applyNumberFormat="0" applyBorder="0" applyAlignment="0" applyProtection="0"/>
    <xf numFmtId="0" fontId="5" fillId="0" borderId="0"/>
    <xf numFmtId="0" fontId="5" fillId="27" borderId="0" applyNumberFormat="0" applyBorder="0" applyAlignment="0" applyProtection="0"/>
    <xf numFmtId="0" fontId="5" fillId="10"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12"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31" borderId="0" applyNumberFormat="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8" borderId="12" applyNumberFormat="0" applyFont="0" applyAlignment="0" applyProtection="0"/>
    <xf numFmtId="0" fontId="1" fillId="0" borderId="0"/>
    <xf numFmtId="0" fontId="1" fillId="14"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167" fontId="1" fillId="0" borderId="0" applyFont="0" applyFill="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8" borderId="12" applyNumberFormat="0" applyFont="0" applyAlignment="0" applyProtection="0"/>
    <xf numFmtId="0" fontId="1" fillId="18" borderId="0" applyNumberFormat="0" applyBorder="0" applyAlignment="0" applyProtection="0"/>
    <xf numFmtId="0" fontId="1" fillId="0" borderId="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8" borderId="0" applyNumberFormat="0" applyBorder="0" applyAlignment="0" applyProtection="0"/>
    <xf numFmtId="44" fontId="1" fillId="0" borderId="0" applyFont="0" applyFill="0" applyBorder="0" applyAlignment="0" applyProtection="0"/>
    <xf numFmtId="0" fontId="1" fillId="23" borderId="0" applyNumberFormat="0" applyBorder="0" applyAlignment="0" applyProtection="0"/>
    <xf numFmtId="44" fontId="1" fillId="0" borderId="0" applyFont="0" applyFill="0" applyBorder="0" applyAlignment="0" applyProtection="0"/>
    <xf numFmtId="0" fontId="1" fillId="30" borderId="0" applyNumberFormat="0" applyBorder="0" applyAlignment="0" applyProtection="0"/>
    <xf numFmtId="0" fontId="1" fillId="30" borderId="0" applyNumberFormat="0" applyBorder="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9" fontId="1" fillId="0" borderId="0" applyFont="0" applyFill="0" applyBorder="0" applyAlignment="0" applyProtection="0"/>
    <xf numFmtId="44" fontId="1" fillId="0" borderId="0" applyFont="0" applyFill="0" applyBorder="0" applyAlignment="0" applyProtection="0"/>
    <xf numFmtId="0" fontId="1" fillId="27" borderId="0" applyNumberFormat="0" applyBorder="0" applyAlignment="0" applyProtection="0"/>
    <xf numFmtId="0" fontId="1" fillId="0" borderId="0"/>
    <xf numFmtId="0" fontId="1" fillId="10" borderId="0" applyNumberFormat="0" applyBorder="0" applyAlignment="0" applyProtection="0"/>
    <xf numFmtId="9" fontId="1" fillId="0" borderId="0" applyFont="0" applyFill="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8" borderId="12" applyNumberFormat="0" applyFont="0" applyAlignment="0" applyProtection="0"/>
    <xf numFmtId="0" fontId="1" fillId="18"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26" borderId="0" applyNumberFormat="0" applyBorder="0" applyAlignment="0" applyProtection="0"/>
    <xf numFmtId="0" fontId="1" fillId="11" borderId="0" applyNumberFormat="0" applyBorder="0" applyAlignment="0" applyProtection="0"/>
    <xf numFmtId="0" fontId="1" fillId="0" borderId="0"/>
    <xf numFmtId="0" fontId="1" fillId="22" borderId="0" applyNumberFormat="0" applyBorder="0" applyAlignment="0" applyProtection="0"/>
    <xf numFmtId="43" fontId="1" fillId="0" borderId="0" applyFont="0" applyFill="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0" borderId="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0" borderId="0"/>
    <xf numFmtId="44" fontId="1" fillId="0" borderId="0" applyFont="0" applyFill="0" applyBorder="0" applyAlignment="0" applyProtection="0"/>
    <xf numFmtId="0" fontId="1" fillId="10" borderId="0" applyNumberFormat="0" applyBorder="0" applyAlignment="0" applyProtection="0"/>
    <xf numFmtId="0" fontId="1" fillId="30" borderId="0" applyNumberFormat="0" applyBorder="0" applyAlignment="0" applyProtection="0"/>
    <xf numFmtId="43" fontId="1" fillId="0" borderId="0" applyFont="0" applyFill="0" applyBorder="0" applyAlignment="0" applyProtection="0"/>
    <xf numFmtId="0" fontId="1" fillId="0" borderId="0"/>
    <xf numFmtId="0" fontId="1" fillId="3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43" fontId="1" fillId="0" borderId="0" applyFont="0" applyFill="0" applyBorder="0" applyAlignment="0" applyProtection="0"/>
    <xf numFmtId="0" fontId="1" fillId="8" borderId="12" applyNumberFormat="0" applyFont="0" applyAlignment="0" applyProtection="0"/>
    <xf numFmtId="0" fontId="1" fillId="23"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9" fontId="1" fillId="0" borderId="0" applyFont="0" applyFill="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0" borderId="0"/>
    <xf numFmtId="0" fontId="1" fillId="27" borderId="0" applyNumberFormat="0" applyBorder="0" applyAlignment="0" applyProtection="0"/>
    <xf numFmtId="0" fontId="1" fillId="0" borderId="0"/>
    <xf numFmtId="0" fontId="1" fillId="1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0" borderId="0"/>
    <xf numFmtId="0" fontId="1" fillId="26"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0" borderId="0"/>
    <xf numFmtId="0" fontId="1" fillId="14" borderId="0" applyNumberFormat="0" applyBorder="0" applyAlignment="0" applyProtection="0"/>
    <xf numFmtId="0" fontId="1" fillId="30" borderId="0" applyNumberFormat="0" applyBorder="0" applyAlignment="0" applyProtection="0"/>
    <xf numFmtId="9" fontId="1" fillId="0" borderId="0" applyFont="0" applyFill="0" applyBorder="0" applyAlignment="0" applyProtection="0"/>
    <xf numFmtId="0" fontId="1" fillId="8" borderId="12" applyNumberFormat="0" applyFont="0" applyAlignment="0" applyProtection="0"/>
    <xf numFmtId="9" fontId="1" fillId="0" borderId="0" applyFont="0" applyFill="0" applyBorder="0" applyAlignment="0" applyProtection="0"/>
    <xf numFmtId="0" fontId="1" fillId="27"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19"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11" borderId="0" applyNumberFormat="0" applyBorder="0" applyAlignment="0" applyProtection="0"/>
    <xf numFmtId="9" fontId="1" fillId="0" borderId="0" applyFont="0" applyFill="0" applyBorder="0" applyAlignment="0" applyProtection="0"/>
    <xf numFmtId="0" fontId="1" fillId="8" borderId="12" applyNumberFormat="0" applyFont="0" applyAlignment="0" applyProtection="0"/>
    <xf numFmtId="43" fontId="1" fillId="0" borderId="0" applyFont="0" applyFill="0" applyBorder="0" applyAlignment="0" applyProtection="0"/>
    <xf numFmtId="0" fontId="1" fillId="30" borderId="0" applyNumberFormat="0" applyBorder="0" applyAlignment="0" applyProtection="0"/>
    <xf numFmtId="0" fontId="1" fillId="0" borderId="0"/>
    <xf numFmtId="0" fontId="1" fillId="19" borderId="0" applyNumberFormat="0" applyBorder="0" applyAlignment="0" applyProtection="0"/>
    <xf numFmtId="0" fontId="1" fillId="8" borderId="12" applyNumberFormat="0" applyFont="0" applyAlignment="0" applyProtection="0"/>
    <xf numFmtId="0" fontId="1" fillId="11"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0" borderId="0"/>
    <xf numFmtId="0" fontId="1" fillId="19" borderId="0" applyNumberFormat="0" applyBorder="0" applyAlignment="0" applyProtection="0"/>
    <xf numFmtId="0" fontId="1" fillId="8" borderId="12" applyNumberFormat="0" applyFont="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167" fontId="1" fillId="0" borderId="0" applyFont="0" applyFill="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0" borderId="0"/>
    <xf numFmtId="0" fontId="1" fillId="30" borderId="0" applyNumberFormat="0" applyBorder="0" applyAlignment="0" applyProtection="0"/>
    <xf numFmtId="0" fontId="1" fillId="10" borderId="0" applyNumberFormat="0" applyBorder="0" applyAlignment="0" applyProtection="0"/>
    <xf numFmtId="0" fontId="1" fillId="0" borderId="0"/>
    <xf numFmtId="0" fontId="1" fillId="31"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167" fontId="1" fillId="0" borderId="0" applyFont="0" applyFill="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0" borderId="0"/>
    <xf numFmtId="0" fontId="1" fillId="0" borderId="0"/>
    <xf numFmtId="0" fontId="1" fillId="11" borderId="0" applyNumberFormat="0" applyBorder="0" applyAlignment="0" applyProtection="0"/>
    <xf numFmtId="0" fontId="1" fillId="0" borderId="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0" borderId="0"/>
    <xf numFmtId="0" fontId="1" fillId="8" borderId="12" applyNumberFormat="0" applyFont="0" applyAlignment="0" applyProtection="0"/>
    <xf numFmtId="0" fontId="1" fillId="14"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0" borderId="0"/>
    <xf numFmtId="0" fontId="1" fillId="18" borderId="0" applyNumberFormat="0" applyBorder="0" applyAlignment="0" applyProtection="0"/>
    <xf numFmtId="0" fontId="1" fillId="0" borderId="0"/>
    <xf numFmtId="0" fontId="1" fillId="23"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167" fontId="1" fillId="0" borderId="0" applyFont="0" applyFill="0" applyBorder="0" applyAlignment="0" applyProtection="0"/>
    <xf numFmtId="0" fontId="1" fillId="11" borderId="0" applyNumberFormat="0" applyBorder="0" applyAlignment="0" applyProtection="0"/>
    <xf numFmtId="43" fontId="1" fillId="0" borderId="0" applyFont="0" applyFill="0" applyBorder="0" applyAlignment="0" applyProtection="0"/>
    <xf numFmtId="0" fontId="1" fillId="0" borderId="0"/>
    <xf numFmtId="0" fontId="1" fillId="18"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8" borderId="12" applyNumberFormat="0" applyFont="0" applyAlignment="0" applyProtection="0"/>
    <xf numFmtId="0" fontId="1" fillId="26"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0" borderId="0"/>
    <xf numFmtId="0" fontId="1" fillId="18"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0" borderId="0"/>
    <xf numFmtId="0" fontId="1" fillId="15"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167" fontId="1" fillId="0" borderId="0" applyFont="0" applyFill="0" applyBorder="0" applyAlignment="0" applyProtection="0"/>
    <xf numFmtId="0" fontId="1" fillId="19" borderId="0" applyNumberFormat="0" applyBorder="0" applyAlignment="0" applyProtection="0"/>
    <xf numFmtId="9" fontId="1" fillId="0" borderId="0" applyFont="0" applyFill="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0" borderId="0"/>
    <xf numFmtId="0" fontId="1" fillId="0" borderId="0"/>
    <xf numFmtId="0" fontId="1" fillId="22" borderId="0" applyNumberFormat="0" applyBorder="0" applyAlignment="0" applyProtection="0"/>
    <xf numFmtId="0" fontId="1" fillId="11" borderId="0" applyNumberFormat="0" applyBorder="0" applyAlignment="0" applyProtection="0"/>
    <xf numFmtId="0" fontId="1" fillId="8" borderId="12" applyNumberFormat="0" applyFont="0" applyAlignment="0" applyProtection="0"/>
    <xf numFmtId="43" fontId="1" fillId="0" borderId="0" applyFont="0" applyFill="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8" borderId="12" applyNumberFormat="0" applyFont="0" applyAlignment="0" applyProtection="0"/>
    <xf numFmtId="0" fontId="1" fillId="19" borderId="0" applyNumberFormat="0" applyBorder="0" applyAlignment="0" applyProtection="0"/>
    <xf numFmtId="0" fontId="1" fillId="14" borderId="0" applyNumberFormat="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22" borderId="0" applyNumberFormat="0" applyBorder="0" applyAlignment="0" applyProtection="0"/>
    <xf numFmtId="0" fontId="1" fillId="0" borderId="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0" borderId="0"/>
    <xf numFmtId="0" fontId="1" fillId="23"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167" fontId="1" fillId="0" borderId="0" applyFont="0" applyFill="0" applyBorder="0" applyAlignment="0" applyProtection="0"/>
    <xf numFmtId="0" fontId="1" fillId="0" borderId="0"/>
    <xf numFmtId="0" fontId="1" fillId="8" borderId="12" applyNumberFormat="0" applyFont="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0" borderId="0"/>
    <xf numFmtId="0" fontId="1" fillId="8" borderId="12" applyNumberFormat="0" applyFont="0" applyAlignment="0" applyProtection="0"/>
    <xf numFmtId="0" fontId="1" fillId="0" borderId="0"/>
    <xf numFmtId="0" fontId="1" fillId="8" borderId="12" applyNumberFormat="0" applyFont="0" applyAlignment="0" applyProtection="0"/>
    <xf numFmtId="0" fontId="1" fillId="8" borderId="12" applyNumberFormat="0" applyFont="0" applyAlignment="0" applyProtection="0"/>
    <xf numFmtId="0" fontId="1" fillId="14" borderId="0" applyNumberFormat="0" applyBorder="0" applyAlignment="0" applyProtection="0"/>
    <xf numFmtId="167" fontId="1" fillId="0" borderId="0" applyFont="0" applyFill="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0" borderId="0"/>
    <xf numFmtId="0" fontId="1" fillId="0" borderId="0"/>
    <xf numFmtId="0" fontId="1" fillId="18" borderId="0" applyNumberFormat="0" applyBorder="0" applyAlignment="0" applyProtection="0"/>
    <xf numFmtId="9" fontId="1" fillId="0" borderId="0" applyFont="0" applyFill="0" applyBorder="0" applyAlignment="0" applyProtection="0"/>
    <xf numFmtId="0" fontId="1" fillId="0" borderId="0"/>
    <xf numFmtId="0" fontId="1" fillId="0" borderId="0"/>
    <xf numFmtId="0" fontId="1" fillId="11" borderId="0" applyNumberFormat="0" applyBorder="0" applyAlignment="0" applyProtection="0"/>
    <xf numFmtId="0" fontId="1" fillId="0" borderId="0"/>
    <xf numFmtId="0" fontId="1" fillId="1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43" fontId="1" fillId="0" borderId="0" applyFont="0" applyFill="0" applyBorder="0" applyAlignment="0" applyProtection="0"/>
    <xf numFmtId="0" fontId="1" fillId="0" borderId="0"/>
    <xf numFmtId="0" fontId="1" fillId="11"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43" fontId="1" fillId="0" borderId="0" applyFont="0" applyFill="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8" borderId="12" applyNumberFormat="0" applyFont="0" applyAlignment="0" applyProtection="0"/>
    <xf numFmtId="0" fontId="1" fillId="11"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9" fontId="1" fillId="0" borderId="0" applyFont="0" applyFill="0" applyBorder="0" applyAlignment="0" applyProtection="0"/>
    <xf numFmtId="0" fontId="1" fillId="0" borderId="0"/>
    <xf numFmtId="0" fontId="1" fillId="18"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30"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0" borderId="0"/>
    <xf numFmtId="0" fontId="1" fillId="27" borderId="0" applyNumberFormat="0" applyBorder="0" applyAlignment="0" applyProtection="0"/>
    <xf numFmtId="43" fontId="1" fillId="0" borderId="0" applyFont="0" applyFill="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167" fontId="1" fillId="0" borderId="0" applyFont="0" applyFill="0" applyBorder="0" applyAlignment="0" applyProtection="0"/>
    <xf numFmtId="0" fontId="1" fillId="27" borderId="0" applyNumberFormat="0" applyBorder="0" applyAlignment="0" applyProtection="0"/>
    <xf numFmtId="9" fontId="1" fillId="0" borderId="0" applyFont="0" applyFill="0" applyBorder="0" applyAlignment="0" applyProtection="0"/>
    <xf numFmtId="0" fontId="1" fillId="8" borderId="12" applyNumberFormat="0" applyFont="0" applyAlignment="0" applyProtection="0"/>
    <xf numFmtId="0" fontId="1" fillId="19"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0" borderId="0"/>
    <xf numFmtId="0" fontId="1" fillId="14" borderId="0" applyNumberFormat="0" applyBorder="0" applyAlignment="0" applyProtection="0"/>
    <xf numFmtId="0" fontId="1" fillId="23" borderId="0" applyNumberFormat="0" applyBorder="0" applyAlignment="0" applyProtection="0"/>
    <xf numFmtId="9" fontId="1" fillId="0" borderId="0" applyFont="0" applyFill="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0" borderId="0"/>
    <xf numFmtId="0" fontId="1" fillId="27" borderId="0" applyNumberFormat="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8" borderId="12" applyNumberFormat="0" applyFont="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9" fontId="1" fillId="0" borderId="0" applyFont="0" applyFill="0" applyBorder="0" applyAlignment="0" applyProtection="0"/>
    <xf numFmtId="0" fontId="1" fillId="0" borderId="0"/>
    <xf numFmtId="0" fontId="1" fillId="27" borderId="0" applyNumberFormat="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 fillId="11" borderId="0" applyNumberFormat="0" applyBorder="0" applyAlignment="0" applyProtection="0"/>
    <xf numFmtId="44" fontId="1" fillId="0" borderId="0" applyFont="0" applyFill="0" applyBorder="0" applyAlignment="0" applyProtection="0"/>
    <xf numFmtId="0" fontId="1" fillId="8" borderId="12" applyNumberFormat="0" applyFont="0" applyAlignment="0" applyProtection="0"/>
    <xf numFmtId="43" fontId="1" fillId="0" borderId="0" applyFont="0" applyFill="0" applyBorder="0" applyAlignment="0" applyProtection="0"/>
    <xf numFmtId="0" fontId="1" fillId="27" borderId="0" applyNumberFormat="0" applyBorder="0" applyAlignment="0" applyProtection="0"/>
    <xf numFmtId="0" fontId="1" fillId="0" borderId="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9" fontId="1" fillId="0" borderId="0" applyFont="0" applyFill="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44" fontId="1" fillId="0" borderId="0" applyFont="0" applyFill="0" applyBorder="0" applyAlignment="0" applyProtection="0"/>
    <xf numFmtId="0" fontId="1" fillId="0" borderId="0"/>
    <xf numFmtId="0" fontId="1" fillId="15"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8" borderId="12" applyNumberFormat="0" applyFont="0" applyAlignment="0" applyProtection="0"/>
    <xf numFmtId="0" fontId="1" fillId="0" borderId="0"/>
    <xf numFmtId="0" fontId="1" fillId="19" borderId="0" applyNumberFormat="0" applyBorder="0" applyAlignment="0" applyProtection="0"/>
    <xf numFmtId="0" fontId="1" fillId="0" borderId="0"/>
    <xf numFmtId="0" fontId="1" fillId="19" borderId="0" applyNumberFormat="0" applyBorder="0" applyAlignment="0" applyProtection="0"/>
    <xf numFmtId="0" fontId="1" fillId="31" borderId="0" applyNumberFormat="0" applyBorder="0" applyAlignment="0" applyProtection="0"/>
    <xf numFmtId="43" fontId="1" fillId="0" borderId="0" applyFont="0" applyFill="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8"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26"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167"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0" borderId="0"/>
    <xf numFmtId="0" fontId="1" fillId="3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0" borderId="0"/>
    <xf numFmtId="0" fontId="1" fillId="26" borderId="0" applyNumberFormat="0" applyBorder="0" applyAlignment="0" applyProtection="0"/>
    <xf numFmtId="0" fontId="1" fillId="30" borderId="0" applyNumberFormat="0" applyBorder="0" applyAlignment="0" applyProtection="0"/>
    <xf numFmtId="0" fontId="1" fillId="0" borderId="0"/>
    <xf numFmtId="0" fontId="1" fillId="11" borderId="0" applyNumberFormat="0" applyBorder="0" applyAlignment="0" applyProtection="0"/>
    <xf numFmtId="0" fontId="1" fillId="0" borderId="0"/>
    <xf numFmtId="0" fontId="1" fillId="11" borderId="0" applyNumberFormat="0" applyBorder="0" applyAlignment="0" applyProtection="0"/>
    <xf numFmtId="0" fontId="1" fillId="10" borderId="0" applyNumberFormat="0" applyBorder="0" applyAlignment="0" applyProtection="0"/>
    <xf numFmtId="0" fontId="1" fillId="0" borderId="0"/>
    <xf numFmtId="0" fontId="1" fillId="19"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0" borderId="0"/>
    <xf numFmtId="0" fontId="1" fillId="27" borderId="0" applyNumberFormat="0" applyBorder="0" applyAlignment="0" applyProtection="0"/>
    <xf numFmtId="0" fontId="1" fillId="30" borderId="0" applyNumberFormat="0" applyBorder="0" applyAlignment="0" applyProtection="0"/>
    <xf numFmtId="0" fontId="1" fillId="8" borderId="12" applyNumberFormat="0" applyFont="0" applyAlignment="0" applyProtection="0"/>
    <xf numFmtId="167" fontId="1" fillId="0" borderId="0" applyFont="0" applyFill="0" applyBorder="0" applyAlignment="0" applyProtection="0"/>
    <xf numFmtId="0" fontId="1" fillId="27" borderId="0" applyNumberFormat="0" applyBorder="0" applyAlignment="0" applyProtection="0"/>
    <xf numFmtId="0" fontId="1" fillId="0" borderId="0"/>
    <xf numFmtId="0" fontId="1" fillId="0" borderId="0"/>
    <xf numFmtId="0" fontId="1" fillId="11"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0" borderId="0"/>
    <xf numFmtId="0" fontId="1" fillId="0" borderId="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0" borderId="0"/>
    <xf numFmtId="0" fontId="1" fillId="23" borderId="0" applyNumberFormat="0" applyBorder="0" applyAlignment="0" applyProtection="0"/>
    <xf numFmtId="0" fontId="1" fillId="0" borderId="0"/>
    <xf numFmtId="0" fontId="1" fillId="0" borderId="0"/>
    <xf numFmtId="0" fontId="1" fillId="22"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0" borderId="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0" borderId="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43" fontId="1" fillId="0" borderId="0" applyFont="0" applyFill="0" applyBorder="0" applyAlignment="0" applyProtection="0"/>
    <xf numFmtId="0" fontId="1" fillId="30" borderId="0" applyNumberFormat="0" applyBorder="0" applyAlignment="0" applyProtection="0"/>
    <xf numFmtId="0" fontId="1" fillId="11" borderId="0" applyNumberFormat="0" applyBorder="0" applyAlignment="0" applyProtection="0"/>
    <xf numFmtId="167" fontId="1" fillId="0" borderId="0" applyFont="0" applyFill="0" applyBorder="0" applyAlignment="0" applyProtection="0"/>
    <xf numFmtId="0" fontId="1" fillId="19" borderId="0" applyNumberFormat="0" applyBorder="0" applyAlignment="0" applyProtection="0"/>
    <xf numFmtId="43" fontId="1" fillId="0" borderId="0" applyFont="0" applyFill="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0" borderId="0"/>
    <xf numFmtId="0" fontId="1" fillId="15" borderId="0" applyNumberFormat="0" applyBorder="0" applyAlignment="0" applyProtection="0"/>
    <xf numFmtId="0" fontId="1" fillId="0" borderId="0"/>
    <xf numFmtId="9" fontId="1" fillId="0" borderId="0" applyFont="0" applyFill="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43" fontId="1" fillId="0" borderId="0" applyFont="0" applyFill="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0" borderId="0"/>
    <xf numFmtId="0" fontId="1" fillId="8" borderId="12" applyNumberFormat="0" applyFont="0" applyAlignment="0" applyProtection="0"/>
    <xf numFmtId="0" fontId="1" fillId="8" borderId="12" applyNumberFormat="0" applyFont="0" applyAlignment="0" applyProtection="0"/>
    <xf numFmtId="0" fontId="1" fillId="0" borderId="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0" borderId="0"/>
    <xf numFmtId="0" fontId="1" fillId="14"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44" fontId="1" fillId="0" borderId="0" applyFont="0" applyFill="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0" borderId="0"/>
    <xf numFmtId="0" fontId="1" fillId="23" borderId="0" applyNumberFormat="0" applyBorder="0" applyAlignment="0" applyProtection="0"/>
    <xf numFmtId="0" fontId="1" fillId="15" borderId="0" applyNumberFormat="0" applyBorder="0" applyAlignment="0" applyProtection="0"/>
    <xf numFmtId="44" fontId="1" fillId="0" borderId="0" applyFont="0" applyFill="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0" borderId="0"/>
    <xf numFmtId="0" fontId="1" fillId="31" borderId="0" applyNumberFormat="0" applyBorder="0" applyAlignment="0" applyProtection="0"/>
    <xf numFmtId="0" fontId="1" fillId="23" borderId="0" applyNumberFormat="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11" borderId="0" applyNumberFormat="0" applyBorder="0" applyAlignment="0" applyProtection="0"/>
    <xf numFmtId="0" fontId="1" fillId="8" borderId="12" applyNumberFormat="0" applyFont="0" applyAlignment="0" applyProtection="0"/>
    <xf numFmtId="0" fontId="1" fillId="0" borderId="0"/>
    <xf numFmtId="0" fontId="1" fillId="8" borderId="12" applyNumberFormat="0" applyFont="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0" borderId="0"/>
    <xf numFmtId="0" fontId="1" fillId="27"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8" borderId="12" applyNumberFormat="0" applyFont="0" applyAlignment="0" applyProtection="0"/>
    <xf numFmtId="0" fontId="1" fillId="14"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0" borderId="0"/>
    <xf numFmtId="0" fontId="1" fillId="11" borderId="0" applyNumberFormat="0" applyBorder="0" applyAlignment="0" applyProtection="0"/>
    <xf numFmtId="0" fontId="1" fillId="27" borderId="0" applyNumberFormat="0" applyBorder="0" applyAlignment="0" applyProtection="0"/>
    <xf numFmtId="43" fontId="1" fillId="0" borderId="0" applyFont="0" applyFill="0" applyBorder="0" applyAlignment="0" applyProtection="0"/>
    <xf numFmtId="0" fontId="1" fillId="18" borderId="0" applyNumberFormat="0" applyBorder="0" applyAlignment="0" applyProtection="0"/>
    <xf numFmtId="0" fontId="1" fillId="0" borderId="0"/>
    <xf numFmtId="0" fontId="1" fillId="22" borderId="0" applyNumberFormat="0" applyBorder="0" applyAlignment="0" applyProtection="0"/>
    <xf numFmtId="0" fontId="1" fillId="22" borderId="0" applyNumberFormat="0" applyBorder="0" applyAlignment="0" applyProtection="0"/>
    <xf numFmtId="9" fontId="1" fillId="0" borderId="0" applyFont="0" applyFill="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0" borderId="0"/>
    <xf numFmtId="0" fontId="1" fillId="3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9" fontId="1" fillId="0" borderId="0" applyFont="0" applyFill="0" applyBorder="0" applyAlignment="0" applyProtection="0"/>
    <xf numFmtId="0" fontId="1" fillId="18" borderId="0" applyNumberFormat="0" applyBorder="0" applyAlignment="0" applyProtection="0"/>
    <xf numFmtId="0" fontId="1" fillId="8" borderId="12" applyNumberFormat="0" applyFont="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0" borderId="0"/>
    <xf numFmtId="0" fontId="1" fillId="30" borderId="0" applyNumberFormat="0" applyBorder="0" applyAlignment="0" applyProtection="0"/>
    <xf numFmtId="0" fontId="1" fillId="14" borderId="0" applyNumberFormat="0" applyBorder="0" applyAlignment="0" applyProtection="0"/>
    <xf numFmtId="0" fontId="1" fillId="0" borderId="0"/>
    <xf numFmtId="167" fontId="1" fillId="0" borderId="0" applyFont="0" applyFill="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9" fontId="1" fillId="0" borderId="0" applyFont="0" applyFill="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0" borderId="0"/>
    <xf numFmtId="0" fontId="1" fillId="18"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0" borderId="0"/>
    <xf numFmtId="0" fontId="1" fillId="23" borderId="0" applyNumberFormat="0" applyBorder="0" applyAlignment="0" applyProtection="0"/>
    <xf numFmtId="9" fontId="1" fillId="0" borderId="0" applyFont="0" applyFill="0" applyBorder="0" applyAlignment="0" applyProtection="0"/>
    <xf numFmtId="0" fontId="1" fillId="18" borderId="0" applyNumberFormat="0" applyBorder="0" applyAlignment="0" applyProtection="0"/>
    <xf numFmtId="0" fontId="1" fillId="0" borderId="0"/>
    <xf numFmtId="0" fontId="1" fillId="30" borderId="0" applyNumberFormat="0" applyBorder="0" applyAlignment="0" applyProtection="0"/>
    <xf numFmtId="167" fontId="1" fillId="0" borderId="0" applyFont="0" applyFill="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43" fontId="1" fillId="0" borderId="0" applyFont="0" applyFill="0" applyBorder="0" applyAlignment="0" applyProtection="0"/>
    <xf numFmtId="0" fontId="1" fillId="30" borderId="0" applyNumberFormat="0" applyBorder="0" applyAlignment="0" applyProtection="0"/>
    <xf numFmtId="0" fontId="1" fillId="8" borderId="12" applyNumberFormat="0" applyFont="0" applyAlignment="0" applyProtection="0"/>
    <xf numFmtId="0" fontId="1" fillId="11" borderId="0" applyNumberFormat="0" applyBorder="0" applyAlignment="0" applyProtection="0"/>
    <xf numFmtId="0" fontId="1" fillId="31"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1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0" borderId="0"/>
    <xf numFmtId="0" fontId="1" fillId="31" borderId="0" applyNumberFormat="0" applyBorder="0" applyAlignment="0" applyProtection="0"/>
    <xf numFmtId="167" fontId="1" fillId="0" borderId="0" applyFont="0" applyFill="0" applyBorder="0" applyAlignment="0" applyProtection="0"/>
    <xf numFmtId="0" fontId="1" fillId="0" borderId="0"/>
    <xf numFmtId="0" fontId="1" fillId="1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0" borderId="0"/>
    <xf numFmtId="9" fontId="1" fillId="0" borderId="0" applyFont="0" applyFill="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8" borderId="12" applyNumberFormat="0" applyFont="0" applyAlignment="0" applyProtection="0"/>
    <xf numFmtId="43" fontId="1" fillId="0" borderId="0" applyFont="0" applyFill="0" applyBorder="0" applyAlignment="0" applyProtection="0"/>
    <xf numFmtId="0" fontId="1" fillId="22" borderId="0" applyNumberFormat="0" applyBorder="0" applyAlignment="0" applyProtection="0"/>
    <xf numFmtId="43" fontId="1" fillId="0" borderId="0" applyFont="0" applyFill="0" applyBorder="0" applyAlignment="0" applyProtection="0"/>
    <xf numFmtId="0" fontId="1" fillId="0" borderId="0"/>
    <xf numFmtId="0" fontId="1" fillId="26"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43" fontId="1" fillId="0" borderId="0" applyFont="0" applyFill="0" applyBorder="0" applyAlignment="0" applyProtection="0"/>
    <xf numFmtId="0" fontId="1" fillId="23" borderId="0" applyNumberFormat="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8" borderId="12" applyNumberFormat="0" applyFont="0" applyAlignment="0" applyProtection="0"/>
    <xf numFmtId="167" fontId="1" fillId="0" borderId="0" applyFont="0" applyFill="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167" fontId="1" fillId="0" borderId="0" applyFont="0" applyFill="0" applyBorder="0" applyAlignment="0" applyProtection="0"/>
    <xf numFmtId="0" fontId="1" fillId="30"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9" fontId="1" fillId="0" borderId="0" applyFont="0" applyFill="0" applyBorder="0" applyAlignment="0" applyProtection="0"/>
    <xf numFmtId="0" fontId="1" fillId="0" borderId="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0" borderId="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10" borderId="0" applyNumberFormat="0" applyBorder="0" applyAlignment="0" applyProtection="0"/>
    <xf numFmtId="0" fontId="1" fillId="0" borderId="0"/>
    <xf numFmtId="9" fontId="1" fillId="0" borderId="0" applyFont="0" applyFill="0" applyBorder="0" applyAlignment="0" applyProtection="0"/>
    <xf numFmtId="0" fontId="1" fillId="18" borderId="0" applyNumberFormat="0" applyBorder="0" applyAlignment="0" applyProtection="0"/>
    <xf numFmtId="0" fontId="1" fillId="22" borderId="0" applyNumberFormat="0" applyBorder="0" applyAlignment="0" applyProtection="0"/>
    <xf numFmtId="9" fontId="1" fillId="0" borderId="0" applyFont="0" applyFill="0" applyBorder="0" applyAlignment="0" applyProtection="0"/>
    <xf numFmtId="0" fontId="1" fillId="22" borderId="0" applyNumberFormat="0" applyBorder="0" applyAlignment="0" applyProtection="0"/>
    <xf numFmtId="0" fontId="1" fillId="8" borderId="12" applyNumberFormat="0" applyFont="0" applyAlignment="0" applyProtection="0"/>
    <xf numFmtId="0" fontId="1" fillId="15" borderId="0" applyNumberFormat="0" applyBorder="0" applyAlignment="0" applyProtection="0"/>
    <xf numFmtId="0" fontId="1" fillId="0" borderId="0"/>
    <xf numFmtId="0" fontId="1" fillId="19" borderId="0" applyNumberFormat="0" applyBorder="0" applyAlignment="0" applyProtection="0"/>
    <xf numFmtId="43" fontId="1" fillId="0" borderId="0" applyFont="0" applyFill="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0" borderId="0"/>
    <xf numFmtId="0" fontId="1" fillId="11"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167" fontId="1" fillId="0" borderId="0" applyFont="0" applyFill="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0" borderId="0"/>
    <xf numFmtId="0" fontId="1" fillId="18" borderId="0" applyNumberFormat="0" applyBorder="0" applyAlignment="0" applyProtection="0"/>
    <xf numFmtId="0" fontId="1" fillId="23" borderId="0" applyNumberFormat="0" applyBorder="0" applyAlignment="0" applyProtection="0"/>
    <xf numFmtId="0" fontId="1" fillId="0" borderId="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0" borderId="0"/>
    <xf numFmtId="0" fontId="1" fillId="26"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8" borderId="12" applyNumberFormat="0" applyFont="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0" borderId="0"/>
    <xf numFmtId="0" fontId="1" fillId="31" borderId="0" applyNumberFormat="0" applyBorder="0" applyAlignment="0" applyProtection="0"/>
    <xf numFmtId="0" fontId="1" fillId="8" borderId="12" applyNumberFormat="0" applyFont="0" applyAlignment="0" applyProtection="0"/>
    <xf numFmtId="44" fontId="1" fillId="0" borderId="0" applyFont="0" applyFill="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43" fontId="1" fillId="0" borderId="0" applyFont="0" applyFill="0" applyBorder="0" applyAlignment="0" applyProtection="0"/>
    <xf numFmtId="0" fontId="1" fillId="14" borderId="0" applyNumberFormat="0" applyBorder="0" applyAlignment="0" applyProtection="0"/>
    <xf numFmtId="0" fontId="1" fillId="0" borderId="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0" borderId="0"/>
    <xf numFmtId="0" fontId="1" fillId="10" borderId="0" applyNumberFormat="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0" borderId="0"/>
    <xf numFmtId="0" fontId="1" fillId="14"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0" borderId="0"/>
    <xf numFmtId="0" fontId="1" fillId="14"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8" borderId="12" applyNumberFormat="0" applyFont="0" applyAlignment="0" applyProtection="0"/>
    <xf numFmtId="0" fontId="1" fillId="26" borderId="0" applyNumberFormat="0" applyBorder="0" applyAlignment="0" applyProtection="0"/>
    <xf numFmtId="0" fontId="1" fillId="26" borderId="0" applyNumberFormat="0" applyBorder="0" applyAlignment="0" applyProtection="0"/>
    <xf numFmtId="0" fontId="1" fillId="0" borderId="0"/>
    <xf numFmtId="0" fontId="1" fillId="18" borderId="0" applyNumberFormat="0" applyBorder="0" applyAlignment="0" applyProtection="0"/>
    <xf numFmtId="0" fontId="1" fillId="0" borderId="0"/>
    <xf numFmtId="0" fontId="1" fillId="3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0" borderId="0"/>
    <xf numFmtId="0" fontId="1" fillId="0" borderId="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9" fontId="1" fillId="0" borderId="0" applyFont="0" applyFill="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15"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43" fontId="1" fillId="0" borderId="0" applyFont="0" applyFill="0" applyBorder="0" applyAlignment="0" applyProtection="0"/>
    <xf numFmtId="0" fontId="1" fillId="27" borderId="0" applyNumberFormat="0" applyBorder="0" applyAlignment="0" applyProtection="0"/>
    <xf numFmtId="0" fontId="1" fillId="22" borderId="0" applyNumberFormat="0" applyBorder="0" applyAlignment="0" applyProtection="0"/>
    <xf numFmtId="9" fontId="1" fillId="0" borderId="0" applyFont="0" applyFill="0" applyBorder="0" applyAlignment="0" applyProtection="0"/>
    <xf numFmtId="0" fontId="1" fillId="23" borderId="0" applyNumberFormat="0" applyBorder="0" applyAlignment="0" applyProtection="0"/>
    <xf numFmtId="43" fontId="1" fillId="0" borderId="0" applyFont="0" applyFill="0" applyBorder="0" applyAlignment="0" applyProtection="0"/>
    <xf numFmtId="0" fontId="1" fillId="0" borderId="0"/>
    <xf numFmtId="0" fontId="1" fillId="30"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0" borderId="0"/>
    <xf numFmtId="0" fontId="1" fillId="8" borderId="12" applyNumberFormat="0" applyFont="0" applyAlignment="0" applyProtection="0"/>
    <xf numFmtId="0" fontId="1" fillId="14" borderId="0" applyNumberFormat="0" applyBorder="0" applyAlignment="0" applyProtection="0"/>
    <xf numFmtId="167" fontId="1" fillId="0" borderId="0" applyFont="0" applyFill="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8" borderId="12" applyNumberFormat="0" applyFont="0" applyAlignment="0" applyProtection="0"/>
    <xf numFmtId="0" fontId="1" fillId="30"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167"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23"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0" borderId="0"/>
    <xf numFmtId="0" fontId="1" fillId="8" borderId="12" applyNumberFormat="0" applyFont="0" applyAlignment="0" applyProtection="0"/>
    <xf numFmtId="9" fontId="1" fillId="0" borderId="0" applyFont="0" applyFill="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0" borderId="0"/>
    <xf numFmtId="0" fontId="1" fillId="10"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18" borderId="0" applyNumberFormat="0" applyBorder="0" applyAlignment="0" applyProtection="0"/>
    <xf numFmtId="0" fontId="1" fillId="0" borderId="0"/>
    <xf numFmtId="0" fontId="1" fillId="22" borderId="0" applyNumberFormat="0" applyBorder="0" applyAlignment="0" applyProtection="0"/>
    <xf numFmtId="0" fontId="1" fillId="27" borderId="0" applyNumberFormat="0" applyBorder="0" applyAlignment="0" applyProtection="0"/>
    <xf numFmtId="44" fontId="1" fillId="0" borderId="0" applyFont="0" applyFill="0" applyBorder="0" applyAlignment="0" applyProtection="0"/>
    <xf numFmtId="167" fontId="1" fillId="0" borderId="0" applyFont="0" applyFill="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167" fontId="1" fillId="0" borderId="0" applyFont="0" applyFill="0" applyBorder="0" applyAlignment="0" applyProtection="0"/>
    <xf numFmtId="0" fontId="1" fillId="30"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44" fontId="1" fillId="0" borderId="0" applyFont="0" applyFill="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0" borderId="0"/>
    <xf numFmtId="0" fontId="1" fillId="1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9" fontId="1" fillId="0" borderId="0" applyFont="0" applyFill="0" applyBorder="0" applyAlignment="0" applyProtection="0"/>
    <xf numFmtId="0" fontId="1" fillId="14" borderId="0" applyNumberFormat="0" applyBorder="0" applyAlignment="0" applyProtection="0"/>
    <xf numFmtId="44" fontId="1" fillId="0" borderId="0" applyFont="0" applyFill="0" applyBorder="0" applyAlignment="0" applyProtection="0"/>
    <xf numFmtId="0" fontId="1" fillId="0" borderId="0"/>
    <xf numFmtId="0" fontId="1" fillId="22"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0" borderId="0"/>
    <xf numFmtId="0" fontId="1" fillId="8" borderId="12" applyNumberFormat="0" applyFont="0" applyAlignment="0" applyProtection="0"/>
    <xf numFmtId="0" fontId="1" fillId="10"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0" borderId="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43" fontId="1" fillId="0" borderId="0" applyFont="0" applyFill="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0" borderId="0"/>
    <xf numFmtId="0" fontId="1" fillId="8" borderId="12" applyNumberFormat="0" applyFont="0" applyAlignment="0" applyProtection="0"/>
    <xf numFmtId="0" fontId="1" fillId="22" borderId="0" applyNumberFormat="0" applyBorder="0" applyAlignment="0" applyProtection="0"/>
    <xf numFmtId="0" fontId="1" fillId="0" borderId="0"/>
    <xf numFmtId="0" fontId="1" fillId="1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9" fontId="1" fillId="0" borderId="0" applyFont="0" applyFill="0" applyBorder="0" applyAlignment="0" applyProtection="0"/>
    <xf numFmtId="0" fontId="1" fillId="14" borderId="0" applyNumberFormat="0" applyBorder="0" applyAlignment="0" applyProtection="0"/>
    <xf numFmtId="0" fontId="1" fillId="0" borderId="0"/>
    <xf numFmtId="0" fontId="1" fillId="27"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8" borderId="12" applyNumberFormat="0" applyFont="0" applyAlignment="0" applyProtection="0"/>
    <xf numFmtId="0" fontId="1" fillId="15"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8" borderId="12" applyNumberFormat="0" applyFont="0" applyAlignment="0" applyProtection="0"/>
    <xf numFmtId="0" fontId="1" fillId="15" borderId="0" applyNumberFormat="0" applyBorder="0" applyAlignment="0" applyProtection="0"/>
    <xf numFmtId="0" fontId="1" fillId="0" borderId="0"/>
    <xf numFmtId="0" fontId="1" fillId="0" borderId="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8" borderId="12" applyNumberFormat="0" applyFont="0" applyAlignment="0" applyProtection="0"/>
    <xf numFmtId="0" fontId="1" fillId="0" borderId="0"/>
    <xf numFmtId="167" fontId="1" fillId="0" borderId="0" applyFont="0" applyFill="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0" borderId="0"/>
    <xf numFmtId="0" fontId="1" fillId="14"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5" borderId="0" applyNumberFormat="0" applyBorder="0" applyAlignment="0" applyProtection="0"/>
    <xf numFmtId="0" fontId="1" fillId="8" borderId="12" applyNumberFormat="0" applyFont="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9" fontId="1" fillId="0" borderId="0" applyFont="0" applyFill="0" applyBorder="0" applyAlignment="0" applyProtection="0"/>
    <xf numFmtId="0" fontId="1" fillId="18" borderId="0" applyNumberFormat="0" applyBorder="0" applyAlignment="0" applyProtection="0"/>
    <xf numFmtId="43" fontId="1" fillId="0" borderId="0" applyFont="0" applyFill="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0" borderId="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43" fontId="1" fillId="0" borderId="0" applyFont="0" applyFill="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0" borderId="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31" borderId="0" applyNumberFormat="0" applyBorder="0" applyAlignment="0" applyProtection="0"/>
    <xf numFmtId="9" fontId="1" fillId="0" borderId="0" applyFont="0" applyFill="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4" borderId="0" applyNumberFormat="0" applyBorder="0" applyAlignment="0" applyProtection="0"/>
    <xf numFmtId="0" fontId="1" fillId="0" borderId="0"/>
    <xf numFmtId="43" fontId="1" fillId="0" borderId="0" applyFont="0" applyFill="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27"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19" borderId="0" applyNumberFormat="0" applyBorder="0" applyAlignment="0" applyProtection="0"/>
    <xf numFmtId="0" fontId="1" fillId="18" borderId="0" applyNumberFormat="0" applyBorder="0" applyAlignment="0" applyProtection="0"/>
    <xf numFmtId="167" fontId="1" fillId="0" borderId="0" applyFont="0" applyFill="0" applyBorder="0" applyAlignment="0" applyProtection="0"/>
    <xf numFmtId="0" fontId="1" fillId="15" borderId="0" applyNumberFormat="0" applyBorder="0" applyAlignment="0" applyProtection="0"/>
    <xf numFmtId="0" fontId="1" fillId="31"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8" borderId="12" applyNumberFormat="0" applyFont="0" applyAlignment="0" applyProtection="0"/>
    <xf numFmtId="43" fontId="1" fillId="0" borderId="0" applyFont="0" applyFill="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8" borderId="12" applyNumberFormat="0" applyFont="0" applyAlignment="0" applyProtection="0"/>
    <xf numFmtId="0" fontId="1" fillId="0" borderId="0"/>
    <xf numFmtId="0" fontId="1" fillId="22" borderId="0" applyNumberFormat="0" applyBorder="0" applyAlignment="0" applyProtection="0"/>
    <xf numFmtId="44" fontId="1" fillId="0" borderId="0" applyFont="0" applyFill="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44" fontId="1" fillId="0" borderId="0" applyFont="0" applyFill="0" applyBorder="0" applyAlignment="0" applyProtection="0"/>
    <xf numFmtId="0" fontId="1" fillId="27" borderId="0" applyNumberFormat="0" applyBorder="0" applyAlignment="0" applyProtection="0"/>
    <xf numFmtId="0" fontId="1" fillId="0" borderId="0"/>
    <xf numFmtId="0" fontId="1" fillId="19" borderId="0" applyNumberFormat="0" applyBorder="0" applyAlignment="0" applyProtection="0"/>
    <xf numFmtId="0" fontId="1" fillId="8" borderId="12" applyNumberFormat="0" applyFont="0" applyAlignment="0" applyProtection="0"/>
    <xf numFmtId="0" fontId="1" fillId="30" borderId="0" applyNumberFormat="0" applyBorder="0" applyAlignment="0" applyProtection="0"/>
    <xf numFmtId="0" fontId="1" fillId="27"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44" fontId="1" fillId="0" borderId="0" applyFont="0" applyFill="0" applyBorder="0" applyAlignment="0" applyProtection="0"/>
    <xf numFmtId="0" fontId="1" fillId="8" borderId="12" applyNumberFormat="0" applyFont="0" applyAlignment="0" applyProtection="0"/>
    <xf numFmtId="0" fontId="1" fillId="19"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0" borderId="0"/>
    <xf numFmtId="0" fontId="1" fillId="27" borderId="0" applyNumberFormat="0" applyBorder="0" applyAlignment="0" applyProtection="0"/>
    <xf numFmtId="0" fontId="1" fillId="11" borderId="0" applyNumberFormat="0" applyBorder="0" applyAlignment="0" applyProtection="0"/>
    <xf numFmtId="167" fontId="1" fillId="0" borderId="0" applyFont="0" applyFill="0" applyBorder="0" applyAlignment="0" applyProtection="0"/>
    <xf numFmtId="0" fontId="1" fillId="0" borderId="0"/>
    <xf numFmtId="0" fontId="1" fillId="27" borderId="0" applyNumberFormat="0" applyBorder="0" applyAlignment="0" applyProtection="0"/>
    <xf numFmtId="167" fontId="1" fillId="0" borderId="0" applyFont="0" applyFill="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0" borderId="0"/>
    <xf numFmtId="0" fontId="1" fillId="0" borderId="0"/>
    <xf numFmtId="0" fontId="1" fillId="22" borderId="0" applyNumberFormat="0" applyBorder="0" applyAlignment="0" applyProtection="0"/>
    <xf numFmtId="0" fontId="1" fillId="19" borderId="0" applyNumberFormat="0" applyBorder="0" applyAlignment="0" applyProtection="0"/>
    <xf numFmtId="9" fontId="1" fillId="0" borderId="0" applyFont="0" applyFill="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44" fontId="1" fillId="0" borderId="0" applyFont="0" applyFill="0" applyBorder="0" applyAlignment="0" applyProtection="0"/>
    <xf numFmtId="0" fontId="1" fillId="30" borderId="0" applyNumberFormat="0" applyBorder="0" applyAlignment="0" applyProtection="0"/>
    <xf numFmtId="0" fontId="1" fillId="0" borderId="0"/>
    <xf numFmtId="9" fontId="1" fillId="0" borderId="0" applyFont="0" applyFill="0" applyBorder="0" applyAlignment="0" applyProtection="0"/>
    <xf numFmtId="0" fontId="1" fillId="31" borderId="0" applyNumberFormat="0" applyBorder="0" applyAlignment="0" applyProtection="0"/>
    <xf numFmtId="9" fontId="1" fillId="0" borderId="0" applyFont="0" applyFill="0" applyBorder="0" applyAlignment="0" applyProtection="0"/>
    <xf numFmtId="0" fontId="1" fillId="0" borderId="0"/>
    <xf numFmtId="0" fontId="1" fillId="23" borderId="0" applyNumberFormat="0" applyBorder="0" applyAlignment="0" applyProtection="0"/>
    <xf numFmtId="0" fontId="1" fillId="0" borderId="0"/>
    <xf numFmtId="0" fontId="1" fillId="1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43" fontId="1" fillId="0" borderId="0" applyFont="0" applyFill="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0" borderId="0"/>
    <xf numFmtId="0" fontId="1" fillId="3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0" borderId="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0" borderId="0"/>
    <xf numFmtId="0" fontId="1" fillId="14"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9" fontId="1" fillId="0" borderId="0" applyFont="0" applyFill="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0" borderId="0"/>
    <xf numFmtId="0" fontId="1" fillId="1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0" borderId="0"/>
    <xf numFmtId="0" fontId="1" fillId="15"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0" borderId="0"/>
    <xf numFmtId="0" fontId="1" fillId="15" borderId="0" applyNumberFormat="0" applyBorder="0" applyAlignment="0" applyProtection="0"/>
    <xf numFmtId="0" fontId="1" fillId="8" borderId="12" applyNumberFormat="0" applyFont="0" applyAlignment="0" applyProtection="0"/>
    <xf numFmtId="0" fontId="1" fillId="0" borderId="0"/>
    <xf numFmtId="0" fontId="1" fillId="31"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43" fontId="1" fillId="0" borderId="0" applyFont="0" applyFill="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9" fontId="1" fillId="0" borderId="0" applyFont="0" applyFill="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0" borderId="0"/>
    <xf numFmtId="0" fontId="1" fillId="8" borderId="12" applyNumberFormat="0" applyFont="0" applyAlignment="0" applyProtection="0"/>
    <xf numFmtId="0" fontId="1" fillId="23" borderId="0" applyNumberFormat="0" applyBorder="0" applyAlignment="0" applyProtection="0"/>
    <xf numFmtId="0" fontId="1" fillId="0" borderId="0"/>
    <xf numFmtId="0" fontId="1" fillId="27"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167" fontId="1" fillId="0" borderId="0" applyFont="0" applyFill="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67" fontId="1" fillId="0" borderId="0" applyFont="0" applyFill="0" applyBorder="0" applyAlignment="0" applyProtection="0"/>
    <xf numFmtId="0" fontId="1" fillId="22" borderId="0" applyNumberFormat="0" applyBorder="0" applyAlignment="0" applyProtection="0"/>
    <xf numFmtId="0" fontId="1" fillId="0" borderId="0"/>
    <xf numFmtId="0" fontId="1" fillId="23" borderId="0" applyNumberFormat="0" applyBorder="0" applyAlignment="0" applyProtection="0"/>
    <xf numFmtId="0" fontId="1" fillId="27" borderId="0" applyNumberFormat="0" applyBorder="0" applyAlignment="0" applyProtection="0"/>
    <xf numFmtId="0" fontId="1" fillId="8" borderId="12" applyNumberFormat="0" applyFont="0" applyAlignment="0" applyProtection="0"/>
    <xf numFmtId="44" fontId="1" fillId="0" borderId="0" applyFont="0" applyFill="0" applyBorder="0" applyAlignment="0" applyProtection="0"/>
    <xf numFmtId="0" fontId="1" fillId="0" borderId="0"/>
    <xf numFmtId="0" fontId="1" fillId="0" borderId="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8" borderId="12" applyNumberFormat="0" applyFont="0" applyAlignment="0" applyProtection="0"/>
    <xf numFmtId="0" fontId="1" fillId="26" borderId="0" applyNumberFormat="0" applyBorder="0" applyAlignment="0" applyProtection="0"/>
    <xf numFmtId="0" fontId="1" fillId="10" borderId="0" applyNumberFormat="0" applyBorder="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43" fontId="1" fillId="0" borderId="0" applyFont="0" applyFill="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5"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19"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0" borderId="0"/>
    <xf numFmtId="0" fontId="1" fillId="22" borderId="0" applyNumberFormat="0" applyBorder="0" applyAlignment="0" applyProtection="0"/>
    <xf numFmtId="0" fontId="1" fillId="8" borderId="12" applyNumberFormat="0" applyFont="0" applyAlignment="0" applyProtection="0"/>
    <xf numFmtId="0" fontId="1" fillId="14"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0" borderId="0"/>
    <xf numFmtId="167" fontId="1" fillId="0" borderId="0" applyFont="0" applyFill="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0" borderId="0"/>
    <xf numFmtId="0" fontId="1" fillId="27" borderId="0" applyNumberFormat="0" applyBorder="0" applyAlignment="0" applyProtection="0"/>
    <xf numFmtId="0" fontId="1" fillId="0" borderId="0"/>
    <xf numFmtId="9" fontId="1" fillId="0" borderId="0" applyFont="0" applyFill="0" applyBorder="0" applyAlignment="0" applyProtection="0"/>
    <xf numFmtId="0" fontId="1" fillId="19" borderId="0" applyNumberFormat="0" applyBorder="0" applyAlignment="0" applyProtection="0"/>
    <xf numFmtId="0" fontId="1" fillId="27" borderId="0" applyNumberFormat="0" applyBorder="0" applyAlignment="0" applyProtection="0"/>
    <xf numFmtId="44" fontId="1" fillId="0" borderId="0" applyFont="0" applyFill="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0" borderId="0"/>
    <xf numFmtId="0" fontId="1" fillId="1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44" fontId="1" fillId="0" borderId="0" applyFont="0" applyFill="0" applyBorder="0" applyAlignment="0" applyProtection="0"/>
    <xf numFmtId="0" fontId="1" fillId="15" borderId="0" applyNumberFormat="0" applyBorder="0" applyAlignment="0" applyProtection="0"/>
    <xf numFmtId="43" fontId="1" fillId="0" borderId="0" applyFont="0" applyFill="0" applyBorder="0" applyAlignment="0" applyProtection="0"/>
    <xf numFmtId="0" fontId="1" fillId="19" borderId="0" applyNumberFormat="0" applyBorder="0" applyAlignment="0" applyProtection="0"/>
    <xf numFmtId="0" fontId="1" fillId="0" borderId="0"/>
    <xf numFmtId="0" fontId="1" fillId="0" borderId="0"/>
    <xf numFmtId="0" fontId="1" fillId="27" borderId="0" applyNumberFormat="0" applyBorder="0" applyAlignment="0" applyProtection="0"/>
    <xf numFmtId="0" fontId="1" fillId="0" borderId="0"/>
    <xf numFmtId="0" fontId="1" fillId="27"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0" borderId="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0" borderId="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9" fontId="1" fillId="0" borderId="0" applyFont="0" applyFill="0" applyBorder="0" applyAlignment="0" applyProtection="0"/>
    <xf numFmtId="0" fontId="1" fillId="19" borderId="0" applyNumberFormat="0" applyBorder="0" applyAlignment="0" applyProtection="0"/>
    <xf numFmtId="44" fontId="1" fillId="0" borderId="0" applyFont="0" applyFill="0" applyBorder="0" applyAlignment="0" applyProtection="0"/>
    <xf numFmtId="0" fontId="1" fillId="31" borderId="0" applyNumberFormat="0" applyBorder="0" applyAlignment="0" applyProtection="0"/>
    <xf numFmtId="44" fontId="1" fillId="0" borderId="0" applyFont="0" applyFill="0" applyBorder="0" applyAlignment="0" applyProtection="0"/>
    <xf numFmtId="0" fontId="1" fillId="23" borderId="0" applyNumberFormat="0" applyBorder="0" applyAlignment="0" applyProtection="0"/>
    <xf numFmtId="0" fontId="1" fillId="26" borderId="0" applyNumberFormat="0" applyBorder="0" applyAlignment="0" applyProtection="0"/>
    <xf numFmtId="43" fontId="1" fillId="0" borderId="0" applyFont="0" applyFill="0" applyBorder="0" applyAlignment="0" applyProtection="0"/>
    <xf numFmtId="0" fontId="1" fillId="27" borderId="0" applyNumberFormat="0" applyBorder="0" applyAlignment="0" applyProtection="0"/>
    <xf numFmtId="167" fontId="1" fillId="0" borderId="0" applyFont="0" applyFill="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43" fontId="1" fillId="0" borderId="0" applyFont="0" applyFill="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19" borderId="0" applyNumberFormat="0" applyBorder="0" applyAlignment="0" applyProtection="0"/>
    <xf numFmtId="0" fontId="1" fillId="30" borderId="0" applyNumberFormat="0" applyBorder="0" applyAlignment="0" applyProtection="0"/>
    <xf numFmtId="0" fontId="1" fillId="0" borderId="0"/>
    <xf numFmtId="0" fontId="1" fillId="0" borderId="0"/>
    <xf numFmtId="0" fontId="1" fillId="30" borderId="0" applyNumberFormat="0" applyBorder="0" applyAlignment="0" applyProtection="0"/>
    <xf numFmtId="0" fontId="1" fillId="23" borderId="0" applyNumberFormat="0" applyBorder="0" applyAlignment="0" applyProtection="0"/>
    <xf numFmtId="9" fontId="1" fillId="0" borderId="0" applyFont="0" applyFill="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26" borderId="0" applyNumberFormat="0" applyBorder="0" applyAlignment="0" applyProtection="0"/>
    <xf numFmtId="0" fontId="1" fillId="0" borderId="0"/>
    <xf numFmtId="0" fontId="1" fillId="19"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0" borderId="0"/>
    <xf numFmtId="0" fontId="1" fillId="18"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43" fontId="1" fillId="0" borderId="0" applyFont="0" applyFill="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0" borderId="0"/>
    <xf numFmtId="0" fontId="1" fillId="0" borderId="0"/>
    <xf numFmtId="0" fontId="1" fillId="0" borderId="0"/>
    <xf numFmtId="167" fontId="1" fillId="0" borderId="0" applyFont="0" applyFill="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0" borderId="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43" fontId="1" fillId="0" borderId="0" applyFont="0" applyFill="0" applyBorder="0" applyAlignment="0" applyProtection="0"/>
    <xf numFmtId="0" fontId="1" fillId="30" borderId="0" applyNumberFormat="0" applyBorder="0" applyAlignment="0" applyProtection="0"/>
    <xf numFmtId="0" fontId="1" fillId="0" borderId="0"/>
    <xf numFmtId="0" fontId="1" fillId="15" borderId="0" applyNumberFormat="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14" borderId="0" applyNumberFormat="0" applyBorder="0" applyAlignment="0" applyProtection="0"/>
    <xf numFmtId="0" fontId="1" fillId="0" borderId="0"/>
    <xf numFmtId="0" fontId="1" fillId="26" borderId="0" applyNumberFormat="0" applyBorder="0" applyAlignment="0" applyProtection="0"/>
    <xf numFmtId="9" fontId="1" fillId="0" borderId="0" applyFont="0" applyFill="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9" fontId="1" fillId="0" borderId="0" applyFont="0" applyFill="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31" borderId="0" applyNumberFormat="0" applyBorder="0" applyAlignment="0" applyProtection="0"/>
    <xf numFmtId="0" fontId="1" fillId="0" borderId="0"/>
    <xf numFmtId="0" fontId="1" fillId="23"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9" fontId="1" fillId="0" borderId="0" applyFont="0" applyFill="0" applyBorder="0" applyAlignment="0" applyProtection="0"/>
    <xf numFmtId="0" fontId="1" fillId="0" borderId="0"/>
    <xf numFmtId="0" fontId="1" fillId="23" borderId="0" applyNumberFormat="0" applyBorder="0" applyAlignment="0" applyProtection="0"/>
    <xf numFmtId="0" fontId="1" fillId="10" borderId="0" applyNumberFormat="0" applyBorder="0" applyAlignment="0" applyProtection="0"/>
    <xf numFmtId="44" fontId="1" fillId="0" borderId="0" applyFont="0" applyFill="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0" fontId="1" fillId="8" borderId="12" applyNumberFormat="0" applyFont="0" applyAlignment="0" applyProtection="0"/>
    <xf numFmtId="0" fontId="1" fillId="23"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9" fontId="1" fillId="0" borderId="0" applyFont="0" applyFill="0" applyBorder="0" applyAlignment="0" applyProtection="0"/>
    <xf numFmtId="0" fontId="1" fillId="8" borderId="12" applyNumberFormat="0" applyFont="0" applyAlignment="0" applyProtection="0"/>
    <xf numFmtId="0" fontId="1" fillId="31"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1" borderId="0" applyNumberFormat="0" applyBorder="0" applyAlignment="0" applyProtection="0"/>
    <xf numFmtId="0" fontId="1" fillId="8" borderId="12" applyNumberFormat="0" applyFont="0" applyAlignment="0" applyProtection="0"/>
    <xf numFmtId="43" fontId="1" fillId="0" borderId="0" applyFont="0" applyFill="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26"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0" borderId="0"/>
    <xf numFmtId="0" fontId="1" fillId="31" borderId="0" applyNumberFormat="0" applyBorder="0" applyAlignment="0" applyProtection="0"/>
    <xf numFmtId="0" fontId="1" fillId="0" borderId="0"/>
    <xf numFmtId="0" fontId="1" fillId="14" borderId="0" applyNumberFormat="0" applyBorder="0" applyAlignment="0" applyProtection="0"/>
    <xf numFmtId="9" fontId="1" fillId="0" borderId="0" applyFont="0" applyFill="0" applyBorder="0" applyAlignment="0" applyProtection="0"/>
    <xf numFmtId="0" fontId="1" fillId="22" borderId="0" applyNumberFormat="0" applyBorder="0" applyAlignment="0" applyProtection="0"/>
    <xf numFmtId="0" fontId="1" fillId="0" borderId="0"/>
    <xf numFmtId="0" fontId="1" fillId="30"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8" borderId="12" applyNumberFormat="0" applyFont="0" applyAlignment="0" applyProtection="0"/>
    <xf numFmtId="0" fontId="1" fillId="30"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0" borderId="0"/>
    <xf numFmtId="0" fontId="1" fillId="8" borderId="12" applyNumberFormat="0" applyFont="0" applyAlignment="0" applyProtection="0"/>
    <xf numFmtId="0" fontId="1" fillId="11"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0" borderId="0"/>
    <xf numFmtId="9" fontId="1" fillId="0" borderId="0" applyFont="0" applyFill="0" applyBorder="0" applyAlignment="0" applyProtection="0"/>
    <xf numFmtId="0" fontId="1" fillId="8" borderId="12" applyNumberFormat="0" applyFont="0" applyAlignment="0" applyProtection="0"/>
    <xf numFmtId="0" fontId="1" fillId="14" borderId="0" applyNumberFormat="0" applyBorder="0" applyAlignment="0" applyProtection="0"/>
    <xf numFmtId="0" fontId="1" fillId="0" borderId="0"/>
    <xf numFmtId="9" fontId="1" fillId="0" borderId="0" applyFont="0" applyFill="0" applyBorder="0" applyAlignment="0" applyProtection="0"/>
    <xf numFmtId="0" fontId="1" fillId="18" borderId="0" applyNumberFormat="0" applyBorder="0" applyAlignment="0" applyProtection="0"/>
    <xf numFmtId="0" fontId="1" fillId="10" borderId="0" applyNumberFormat="0" applyBorder="0" applyAlignment="0" applyProtection="0"/>
    <xf numFmtId="43" fontId="1" fillId="0" borderId="0" applyFont="0" applyFill="0" applyBorder="0" applyAlignment="0" applyProtection="0"/>
    <xf numFmtId="0" fontId="1" fillId="8" borderId="12" applyNumberFormat="0" applyFont="0" applyAlignment="0" applyProtection="0"/>
    <xf numFmtId="0" fontId="1" fillId="1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0" borderId="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43" fontId="1" fillId="0" borderId="0" applyFont="0" applyFill="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44" fontId="1" fillId="0" borderId="0" applyFont="0" applyFill="0" applyBorder="0" applyAlignment="0" applyProtection="0"/>
    <xf numFmtId="0" fontId="1" fillId="14" borderId="0" applyNumberFormat="0" applyBorder="0" applyAlignment="0" applyProtection="0"/>
    <xf numFmtId="9" fontId="1" fillId="0" borderId="0" applyFont="0" applyFill="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11" borderId="0" applyNumberFormat="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8" borderId="12" applyNumberFormat="0" applyFont="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0" borderId="0"/>
    <xf numFmtId="0" fontId="1" fillId="15" borderId="0" applyNumberFormat="0" applyBorder="0" applyAlignment="0" applyProtection="0"/>
    <xf numFmtId="0" fontId="1" fillId="0" borderId="0"/>
    <xf numFmtId="0" fontId="1" fillId="26" borderId="0" applyNumberFormat="0" applyBorder="0" applyAlignment="0" applyProtection="0"/>
    <xf numFmtId="0" fontId="1" fillId="8" borderId="12" applyNumberFormat="0" applyFont="0" applyAlignment="0" applyProtection="0"/>
    <xf numFmtId="0" fontId="1" fillId="30" borderId="0" applyNumberFormat="0" applyBorder="0" applyAlignment="0" applyProtection="0"/>
    <xf numFmtId="0" fontId="1" fillId="30" borderId="0" applyNumberFormat="0" applyBorder="0" applyAlignment="0" applyProtection="0"/>
    <xf numFmtId="167" fontId="1" fillId="0" borderId="0" applyFont="0" applyFill="0" applyBorder="0" applyAlignment="0" applyProtection="0"/>
    <xf numFmtId="0" fontId="1" fillId="15" borderId="0" applyNumberFormat="0" applyBorder="0" applyAlignment="0" applyProtection="0"/>
    <xf numFmtId="0" fontId="1" fillId="0" borderId="0"/>
    <xf numFmtId="0" fontId="1" fillId="10" borderId="0" applyNumberFormat="0" applyBorder="0" applyAlignment="0" applyProtection="0"/>
    <xf numFmtId="0" fontId="1" fillId="0" borderId="0"/>
    <xf numFmtId="0" fontId="1" fillId="30"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9"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3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0" borderId="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18"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0" borderId="0"/>
    <xf numFmtId="167" fontId="1" fillId="0" borderId="0" applyFont="0" applyFill="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0" borderId="0"/>
    <xf numFmtId="0" fontId="1" fillId="27" borderId="0" applyNumberFormat="0" applyBorder="0" applyAlignment="0" applyProtection="0"/>
    <xf numFmtId="0" fontId="1" fillId="8" borderId="12" applyNumberFormat="0" applyFont="0" applyAlignment="0" applyProtection="0"/>
    <xf numFmtId="0" fontId="1" fillId="14" borderId="0" applyNumberFormat="0" applyBorder="0" applyAlignment="0" applyProtection="0"/>
    <xf numFmtId="0" fontId="1" fillId="27" borderId="0" applyNumberFormat="0" applyBorder="0" applyAlignment="0" applyProtection="0"/>
    <xf numFmtId="43" fontId="1" fillId="0" borderId="0" applyFont="0" applyFill="0" applyBorder="0" applyAlignment="0" applyProtection="0"/>
    <xf numFmtId="0" fontId="1" fillId="19" borderId="0" applyNumberFormat="0" applyBorder="0" applyAlignment="0" applyProtection="0"/>
    <xf numFmtId="9" fontId="1" fillId="0" borderId="0" applyFont="0" applyFill="0" applyBorder="0" applyAlignment="0" applyProtection="0"/>
    <xf numFmtId="0" fontId="1" fillId="31" borderId="0" applyNumberFormat="0" applyBorder="0" applyAlignment="0" applyProtection="0"/>
    <xf numFmtId="167" fontId="1" fillId="0" borderId="0" applyFont="0" applyFill="0" applyBorder="0" applyAlignment="0" applyProtection="0"/>
    <xf numFmtId="0" fontId="1" fillId="30" borderId="0" applyNumberFormat="0" applyBorder="0" applyAlignment="0" applyProtection="0"/>
    <xf numFmtId="0" fontId="1" fillId="0" borderId="0"/>
    <xf numFmtId="0" fontId="1" fillId="23" borderId="0" applyNumberFormat="0" applyBorder="0" applyAlignment="0" applyProtection="0"/>
    <xf numFmtId="167"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8" borderId="12" applyNumberFormat="0" applyFont="0" applyAlignment="0" applyProtection="0"/>
    <xf numFmtId="0" fontId="1" fillId="18" borderId="0" applyNumberFormat="0" applyBorder="0" applyAlignment="0" applyProtection="0"/>
    <xf numFmtId="0" fontId="1" fillId="18" borderId="0" applyNumberFormat="0" applyBorder="0" applyAlignment="0" applyProtection="0"/>
    <xf numFmtId="0" fontId="1" fillId="8" borderId="12" applyNumberFormat="0" applyFont="0" applyAlignment="0" applyProtection="0"/>
    <xf numFmtId="0" fontId="1" fillId="0" borderId="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43" fontId="1" fillId="0" borderId="0" applyFont="0" applyFill="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43" fontId="1" fillId="0" borderId="0" applyFont="0" applyFill="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9" fontId="1" fillId="0" borderId="0" applyFont="0" applyFill="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44" fontId="1" fillId="0" borderId="0" applyFont="0" applyFill="0" applyBorder="0" applyAlignment="0" applyProtection="0"/>
    <xf numFmtId="0" fontId="1" fillId="0" borderId="0"/>
    <xf numFmtId="0" fontId="1" fillId="0" borderId="0"/>
    <xf numFmtId="0" fontId="1" fillId="26" borderId="0" applyNumberFormat="0" applyBorder="0" applyAlignment="0" applyProtection="0"/>
    <xf numFmtId="0" fontId="1" fillId="0" borderId="0"/>
    <xf numFmtId="0" fontId="1" fillId="22"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0" borderId="0"/>
    <xf numFmtId="0" fontId="1" fillId="18"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44" fontId="1" fillId="0" borderId="0" applyFont="0" applyFill="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44" fontId="1" fillId="0" borderId="0" applyFont="0" applyFill="0" applyBorder="0" applyAlignment="0" applyProtection="0"/>
    <xf numFmtId="0" fontId="1" fillId="0" borderId="0"/>
    <xf numFmtId="0" fontId="1" fillId="23" borderId="0" applyNumberFormat="0" applyBorder="0" applyAlignment="0" applyProtection="0"/>
    <xf numFmtId="0" fontId="1" fillId="8" borderId="12" applyNumberFormat="0" applyFont="0" applyAlignment="0" applyProtection="0"/>
    <xf numFmtId="0" fontId="1" fillId="15"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0" borderId="0"/>
    <xf numFmtId="0" fontId="1" fillId="18"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0" borderId="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8" borderId="12"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18"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18" borderId="0" applyNumberFormat="0" applyBorder="0" applyAlignment="0" applyProtection="0"/>
    <xf numFmtId="0" fontId="1" fillId="8" borderId="12" applyNumberFormat="0" applyFont="0" applyAlignment="0" applyProtection="0"/>
    <xf numFmtId="0" fontId="1" fillId="26" borderId="0" applyNumberFormat="0" applyBorder="0" applyAlignment="0" applyProtection="0"/>
    <xf numFmtId="43" fontId="1" fillId="0" borderId="0" applyFont="0" applyFill="0" applyBorder="0" applyAlignment="0" applyProtection="0"/>
    <xf numFmtId="0" fontId="1" fillId="27" borderId="0" applyNumberFormat="0" applyBorder="0" applyAlignment="0" applyProtection="0"/>
    <xf numFmtId="0" fontId="1" fillId="0" borderId="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167" fontId="1" fillId="0" borderId="0" applyFont="0" applyFill="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0" borderId="0"/>
    <xf numFmtId="0" fontId="1" fillId="0" borderId="0"/>
    <xf numFmtId="0" fontId="1" fillId="31"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9" fontId="1" fillId="0" borderId="0" applyFont="0" applyFill="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8" borderId="12" applyNumberFormat="0" applyFont="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43" fontId="1" fillId="0" borderId="0" applyFont="0" applyFill="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0" borderId="0"/>
    <xf numFmtId="0" fontId="1" fillId="0" borderId="0"/>
    <xf numFmtId="0" fontId="1" fillId="0" borderId="0"/>
    <xf numFmtId="0" fontId="1" fillId="15"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43" fontId="1" fillId="0" borderId="0" applyFont="0" applyFill="0" applyBorder="0" applyAlignment="0" applyProtection="0"/>
    <xf numFmtId="0" fontId="1" fillId="23" borderId="0" applyNumberFormat="0" applyBorder="0" applyAlignment="0" applyProtection="0"/>
    <xf numFmtId="0" fontId="1" fillId="0" borderId="0"/>
    <xf numFmtId="0" fontId="1" fillId="26"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44" fontId="1" fillId="0" borderId="0" applyFont="0" applyFill="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0" borderId="0"/>
    <xf numFmtId="0" fontId="1" fillId="22"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8" borderId="12" applyNumberFormat="0" applyFont="0" applyAlignment="0" applyProtection="0"/>
    <xf numFmtId="0" fontId="1" fillId="26" borderId="0" applyNumberFormat="0" applyBorder="0" applyAlignment="0" applyProtection="0"/>
    <xf numFmtId="44" fontId="1" fillId="0" borderId="0" applyFont="0" applyFill="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0" borderId="0"/>
    <xf numFmtId="0" fontId="1" fillId="0" borderId="0"/>
    <xf numFmtId="0" fontId="1" fillId="15" borderId="0" applyNumberFormat="0" applyBorder="0" applyAlignment="0" applyProtection="0"/>
    <xf numFmtId="0" fontId="1" fillId="30" borderId="0" applyNumberFormat="0" applyBorder="0" applyAlignment="0" applyProtection="0"/>
    <xf numFmtId="0" fontId="1" fillId="0" borderId="0"/>
    <xf numFmtId="0" fontId="1" fillId="15" borderId="0" applyNumberFormat="0" applyBorder="0" applyAlignment="0" applyProtection="0"/>
    <xf numFmtId="9" fontId="1" fillId="0" borderId="0" applyFont="0" applyFill="0" applyBorder="0" applyAlignment="0" applyProtection="0"/>
    <xf numFmtId="0" fontId="1" fillId="26" borderId="0" applyNumberFormat="0" applyBorder="0" applyAlignment="0" applyProtection="0"/>
    <xf numFmtId="0" fontId="1" fillId="18" borderId="0" applyNumberFormat="0" applyBorder="0" applyAlignment="0" applyProtection="0"/>
    <xf numFmtId="167" fontId="1" fillId="0" borderId="0" applyFont="0" applyFill="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9" fontId="1" fillId="0" borderId="0" applyFont="0" applyFill="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9" fontId="1" fillId="0" borderId="0" applyFont="0" applyFill="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44" fontId="1" fillId="0" borderId="0" applyFont="0" applyFill="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0" borderId="0"/>
    <xf numFmtId="0" fontId="1" fillId="22"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9" fontId="1" fillId="0" borderId="0" applyFont="0" applyFill="0" applyBorder="0" applyAlignment="0" applyProtection="0"/>
    <xf numFmtId="0" fontId="1" fillId="26" borderId="0" applyNumberFormat="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19"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0" borderId="0"/>
    <xf numFmtId="0" fontId="1" fillId="31" borderId="0" applyNumberFormat="0" applyBorder="0" applyAlignment="0" applyProtection="0"/>
    <xf numFmtId="0" fontId="1" fillId="22" borderId="0" applyNumberFormat="0" applyBorder="0" applyAlignment="0" applyProtection="0"/>
    <xf numFmtId="0" fontId="1" fillId="8" borderId="12" applyNumberFormat="0" applyFont="0" applyAlignment="0" applyProtection="0"/>
    <xf numFmtId="0" fontId="1" fillId="0" borderId="0"/>
    <xf numFmtId="0" fontId="1" fillId="11" borderId="0" applyNumberFormat="0" applyBorder="0" applyAlignment="0" applyProtection="0"/>
    <xf numFmtId="0" fontId="1" fillId="0" borderId="0"/>
    <xf numFmtId="0" fontId="1" fillId="10" borderId="0" applyNumberFormat="0" applyBorder="0" applyAlignment="0" applyProtection="0"/>
    <xf numFmtId="0" fontId="1" fillId="22" borderId="0" applyNumberFormat="0" applyBorder="0" applyAlignment="0" applyProtection="0"/>
    <xf numFmtId="44" fontId="1" fillId="0" borderId="0" applyFont="0" applyFill="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0" borderId="0"/>
    <xf numFmtId="0" fontId="1" fillId="10" borderId="0" applyNumberFormat="0" applyBorder="0" applyAlignment="0" applyProtection="0"/>
    <xf numFmtId="167" fontId="1" fillId="0" borderId="0" applyFont="0" applyFill="0" applyBorder="0" applyAlignment="0" applyProtection="0"/>
    <xf numFmtId="0" fontId="1" fillId="11" borderId="0" applyNumberFormat="0" applyBorder="0" applyAlignment="0" applyProtection="0"/>
    <xf numFmtId="0" fontId="1" fillId="18" borderId="0" applyNumberFormat="0" applyBorder="0" applyAlignment="0" applyProtection="0"/>
    <xf numFmtId="43" fontId="1" fillId="0" borderId="0" applyFont="0" applyFill="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8" borderId="12" applyNumberFormat="0" applyFont="0" applyAlignment="0" applyProtection="0"/>
    <xf numFmtId="0" fontId="1" fillId="18" borderId="0" applyNumberFormat="0" applyBorder="0" applyAlignment="0" applyProtection="0"/>
    <xf numFmtId="0" fontId="1" fillId="11" borderId="0" applyNumberFormat="0" applyBorder="0" applyAlignment="0" applyProtection="0"/>
    <xf numFmtId="0" fontId="1" fillId="0" borderId="0"/>
    <xf numFmtId="0" fontId="1" fillId="30" borderId="0" applyNumberFormat="0" applyBorder="0" applyAlignment="0" applyProtection="0"/>
    <xf numFmtId="0" fontId="1" fillId="30" borderId="0" applyNumberFormat="0" applyBorder="0" applyAlignment="0" applyProtection="0"/>
    <xf numFmtId="9" fontId="1" fillId="0" borderId="0" applyFont="0" applyFill="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0" borderId="0"/>
    <xf numFmtId="0" fontId="1" fillId="0" borderId="0"/>
    <xf numFmtId="0" fontId="1" fillId="8" borderId="12" applyNumberFormat="0" applyFont="0" applyAlignment="0" applyProtection="0"/>
    <xf numFmtId="0" fontId="1" fillId="0" borderId="0"/>
    <xf numFmtId="43" fontId="1" fillId="0" borderId="0" applyFont="0" applyFill="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0" borderId="0"/>
    <xf numFmtId="9" fontId="1" fillId="0" borderId="0" applyFont="0" applyFill="0" applyBorder="0" applyAlignment="0" applyProtection="0"/>
    <xf numFmtId="0" fontId="1" fillId="8" borderId="12" applyNumberFormat="0" applyFont="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0" borderId="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0" borderId="0"/>
    <xf numFmtId="0" fontId="1" fillId="10" borderId="0" applyNumberFormat="0" applyBorder="0" applyAlignment="0" applyProtection="0"/>
    <xf numFmtId="0" fontId="1" fillId="0" borderId="0"/>
    <xf numFmtId="0" fontId="1" fillId="0" borderId="0"/>
    <xf numFmtId="0" fontId="1" fillId="23"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0" borderId="0"/>
    <xf numFmtId="0" fontId="1" fillId="10"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0" borderId="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9" fontId="1" fillId="0" borderId="0" applyFont="0" applyFill="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0" borderId="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15" borderId="0" applyNumberFormat="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8" borderId="12" applyNumberFormat="0" applyFont="0" applyAlignment="0" applyProtection="0"/>
    <xf numFmtId="0" fontId="1" fillId="3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7"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11" borderId="0" applyNumberFormat="0" applyBorder="0" applyAlignment="0" applyProtection="0"/>
    <xf numFmtId="0" fontId="1" fillId="31" borderId="0" applyNumberFormat="0" applyBorder="0" applyAlignment="0" applyProtection="0"/>
    <xf numFmtId="0" fontId="1" fillId="0" borderId="0"/>
    <xf numFmtId="0" fontId="1" fillId="30"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167" fontId="1" fillId="0" borderId="0" applyFont="0" applyFill="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8" borderId="12" applyNumberFormat="0" applyFont="0" applyAlignment="0" applyProtection="0"/>
    <xf numFmtId="0" fontId="1" fillId="31" borderId="0" applyNumberFormat="0" applyBorder="0" applyAlignment="0" applyProtection="0"/>
    <xf numFmtId="0" fontId="1" fillId="22" borderId="0" applyNumberFormat="0" applyBorder="0" applyAlignment="0" applyProtection="0"/>
    <xf numFmtId="0" fontId="1" fillId="0" borderId="0"/>
    <xf numFmtId="0" fontId="1" fillId="14" borderId="0" applyNumberFormat="0" applyBorder="0" applyAlignment="0" applyProtection="0"/>
    <xf numFmtId="0" fontId="1" fillId="0" borderId="0"/>
    <xf numFmtId="167" fontId="1" fillId="0" borderId="0" applyFont="0" applyFill="0" applyBorder="0" applyAlignment="0" applyProtection="0"/>
    <xf numFmtId="0" fontId="1" fillId="0" borderId="0"/>
    <xf numFmtId="0" fontId="1" fillId="15" borderId="0" applyNumberFormat="0" applyBorder="0" applyAlignment="0" applyProtection="0"/>
    <xf numFmtId="9" fontId="1" fillId="0" borderId="0" applyFont="0" applyFill="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0" borderId="0"/>
    <xf numFmtId="0" fontId="1" fillId="23"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0" borderId="0"/>
    <xf numFmtId="0" fontId="1" fillId="14" borderId="0" applyNumberFormat="0" applyBorder="0" applyAlignment="0" applyProtection="0"/>
    <xf numFmtId="0" fontId="1" fillId="22" borderId="0" applyNumberFormat="0" applyBorder="0" applyAlignment="0" applyProtection="0"/>
    <xf numFmtId="0" fontId="1" fillId="0" borderId="0"/>
    <xf numFmtId="0" fontId="1" fillId="15" borderId="0" applyNumberFormat="0" applyBorder="0" applyAlignment="0" applyProtection="0"/>
    <xf numFmtId="9" fontId="1" fillId="0" borderId="0" applyFont="0" applyFill="0" applyBorder="0" applyAlignment="0" applyProtection="0"/>
    <xf numFmtId="0" fontId="1" fillId="0" borderId="0"/>
    <xf numFmtId="0" fontId="1" fillId="26" borderId="0" applyNumberFormat="0" applyBorder="0" applyAlignment="0" applyProtection="0"/>
    <xf numFmtId="0" fontId="1" fillId="27" borderId="0" applyNumberFormat="0" applyBorder="0" applyAlignment="0" applyProtection="0"/>
    <xf numFmtId="0" fontId="1" fillId="0" borderId="0"/>
    <xf numFmtId="0" fontId="1" fillId="0" borderId="0"/>
    <xf numFmtId="0" fontId="1" fillId="18" borderId="0" applyNumberFormat="0" applyBorder="0" applyAlignment="0" applyProtection="0"/>
    <xf numFmtId="44" fontId="1" fillId="0" borderId="0" applyFont="0" applyFill="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0" borderId="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0" borderId="0"/>
    <xf numFmtId="0" fontId="1" fillId="14" borderId="0" applyNumberFormat="0" applyBorder="0" applyAlignment="0" applyProtection="0"/>
    <xf numFmtId="0" fontId="1" fillId="26" borderId="0" applyNumberFormat="0" applyBorder="0" applyAlignment="0" applyProtection="0"/>
    <xf numFmtId="9" fontId="1" fillId="0" borderId="0" applyFont="0" applyFill="0" applyBorder="0" applyAlignment="0" applyProtection="0"/>
    <xf numFmtId="0" fontId="1" fillId="0" borderId="0"/>
    <xf numFmtId="0" fontId="1" fillId="27" borderId="0" applyNumberFormat="0" applyBorder="0" applyAlignment="0" applyProtection="0"/>
    <xf numFmtId="0" fontId="1" fillId="8" borderId="12" applyNumberFormat="0" applyFont="0" applyAlignment="0" applyProtection="0"/>
    <xf numFmtId="0" fontId="1" fillId="14" borderId="0" applyNumberFormat="0" applyBorder="0" applyAlignment="0" applyProtection="0"/>
    <xf numFmtId="0" fontId="1" fillId="22" borderId="0" applyNumberFormat="0" applyBorder="0" applyAlignment="0" applyProtection="0"/>
    <xf numFmtId="0" fontId="1" fillId="0" borderId="0"/>
    <xf numFmtId="0" fontId="1" fillId="26"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9" fontId="1" fillId="0" borderId="0" applyFont="0" applyFill="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0" borderId="0"/>
    <xf numFmtId="0" fontId="1" fillId="31" borderId="0" applyNumberFormat="0" applyBorder="0" applyAlignment="0" applyProtection="0"/>
    <xf numFmtId="9" fontId="1" fillId="0" borderId="0" applyFont="0" applyFill="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43" fontId="1" fillId="0" borderId="0" applyFont="0" applyFill="0" applyBorder="0" applyAlignment="0" applyProtection="0"/>
    <xf numFmtId="0" fontId="1" fillId="15" borderId="0" applyNumberFormat="0" applyBorder="0" applyAlignment="0" applyProtection="0"/>
    <xf numFmtId="0" fontId="1" fillId="8" borderId="12"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0" borderId="0"/>
    <xf numFmtId="0" fontId="1" fillId="15" borderId="0" applyNumberFormat="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18" borderId="0" applyNumberFormat="0" applyBorder="0" applyAlignment="0" applyProtection="0"/>
    <xf numFmtId="0" fontId="1" fillId="0" borderId="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0" borderId="0"/>
    <xf numFmtId="0" fontId="1" fillId="0" borderId="0"/>
    <xf numFmtId="0" fontId="1" fillId="15"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43" fontId="1" fillId="0" borderId="0" applyFont="0" applyFill="0" applyBorder="0" applyAlignment="0" applyProtection="0"/>
    <xf numFmtId="167" fontId="1" fillId="0" borderId="0" applyFont="0" applyFill="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0" borderId="0"/>
    <xf numFmtId="0" fontId="1" fillId="30" borderId="0" applyNumberFormat="0" applyBorder="0" applyAlignment="0" applyProtection="0"/>
    <xf numFmtId="0" fontId="1" fillId="22" borderId="0" applyNumberFormat="0" applyBorder="0" applyAlignment="0" applyProtection="0"/>
    <xf numFmtId="0" fontId="1" fillId="0" borderId="0"/>
    <xf numFmtId="0" fontId="1" fillId="0" borderId="0"/>
    <xf numFmtId="0" fontId="1" fillId="23" borderId="0" applyNumberFormat="0" applyBorder="0" applyAlignment="0" applyProtection="0"/>
    <xf numFmtId="0" fontId="1" fillId="31" borderId="0" applyNumberFormat="0" applyBorder="0" applyAlignment="0" applyProtection="0"/>
    <xf numFmtId="9" fontId="1" fillId="0" borderId="0" applyFont="0" applyFill="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0" borderId="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9" fontId="1" fillId="0" borderId="0" applyFont="0" applyFill="0" applyBorder="0" applyAlignment="0" applyProtection="0"/>
    <xf numFmtId="0" fontId="1" fillId="0" borderId="0"/>
    <xf numFmtId="0" fontId="1" fillId="18" borderId="0" applyNumberFormat="0" applyBorder="0" applyAlignment="0" applyProtection="0"/>
    <xf numFmtId="0" fontId="1" fillId="15" borderId="0" applyNumberFormat="0" applyBorder="0" applyAlignment="0" applyProtection="0"/>
    <xf numFmtId="44" fontId="1" fillId="0" borderId="0" applyFont="0" applyFill="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0" borderId="0"/>
    <xf numFmtId="0" fontId="1" fillId="22"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44" fontId="1" fillId="0" borderId="0" applyFont="0" applyFill="0" applyBorder="0" applyAlignment="0" applyProtection="0"/>
    <xf numFmtId="0" fontId="1" fillId="18" borderId="0" applyNumberFormat="0" applyBorder="0" applyAlignment="0" applyProtection="0"/>
    <xf numFmtId="0" fontId="1" fillId="8" borderId="12" applyNumberFormat="0" applyFont="0" applyAlignment="0" applyProtection="0"/>
    <xf numFmtId="0" fontId="1" fillId="26" borderId="0" applyNumberFormat="0" applyBorder="0" applyAlignment="0" applyProtection="0"/>
    <xf numFmtId="0" fontId="1" fillId="27" borderId="0" applyNumberFormat="0" applyBorder="0" applyAlignment="0" applyProtection="0"/>
    <xf numFmtId="9" fontId="1" fillId="0" borderId="0" applyFont="0" applyFill="0" applyBorder="0" applyAlignment="0" applyProtection="0"/>
    <xf numFmtId="0" fontId="1" fillId="27" borderId="0" applyNumberFormat="0" applyBorder="0" applyAlignment="0" applyProtection="0"/>
    <xf numFmtId="0" fontId="1" fillId="0" borderId="0"/>
    <xf numFmtId="0" fontId="1" fillId="14" borderId="0" applyNumberFormat="0" applyBorder="0" applyAlignment="0" applyProtection="0"/>
    <xf numFmtId="0" fontId="1" fillId="8" borderId="12" applyNumberFormat="0" applyFont="0" applyAlignment="0" applyProtection="0"/>
    <xf numFmtId="0" fontId="1" fillId="15" borderId="0" applyNumberFormat="0" applyBorder="0" applyAlignment="0" applyProtection="0"/>
    <xf numFmtId="9" fontId="1" fillId="0" borderId="0" applyFont="0" applyFill="0" applyBorder="0" applyAlignment="0" applyProtection="0"/>
    <xf numFmtId="0" fontId="1" fillId="0" borderId="0"/>
    <xf numFmtId="0" fontId="1" fillId="30"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8" borderId="12" applyNumberFormat="0" applyFont="0" applyAlignment="0" applyProtection="0"/>
    <xf numFmtId="0" fontId="1" fillId="27" borderId="0" applyNumberFormat="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0" borderId="0"/>
    <xf numFmtId="0" fontId="1" fillId="11" borderId="0" applyNumberFormat="0" applyBorder="0" applyAlignment="0" applyProtection="0"/>
    <xf numFmtId="0" fontId="1" fillId="0" borderId="0"/>
    <xf numFmtId="9" fontId="1" fillId="0" borderId="0" applyFont="0" applyFill="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8" borderId="12" applyNumberFormat="0" applyFont="0" applyAlignment="0" applyProtection="0"/>
    <xf numFmtId="0" fontId="1" fillId="31" borderId="0" applyNumberFormat="0" applyBorder="0" applyAlignment="0" applyProtection="0"/>
    <xf numFmtId="0" fontId="1" fillId="14"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0" borderId="0"/>
    <xf numFmtId="167" fontId="1" fillId="0" borderId="0" applyFont="0" applyFill="0" applyBorder="0" applyAlignment="0" applyProtection="0"/>
    <xf numFmtId="0" fontId="1" fillId="0" borderId="0"/>
    <xf numFmtId="0" fontId="1" fillId="19"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0" borderId="0"/>
    <xf numFmtId="0" fontId="1" fillId="0" borderId="0"/>
    <xf numFmtId="0" fontId="1" fillId="8" borderId="12" applyNumberFormat="0" applyFont="0" applyAlignment="0" applyProtection="0"/>
    <xf numFmtId="0" fontId="1" fillId="22"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167" fontId="1" fillId="0" borderId="0" applyFont="0" applyFill="0" applyBorder="0" applyAlignment="0" applyProtection="0"/>
    <xf numFmtId="0" fontId="1" fillId="14" borderId="0" applyNumberFormat="0" applyBorder="0" applyAlignment="0" applyProtection="0"/>
    <xf numFmtId="9" fontId="1" fillId="0" borderId="0" applyFont="0" applyFill="0" applyBorder="0" applyAlignment="0" applyProtection="0"/>
    <xf numFmtId="0" fontId="1" fillId="0" borderId="0"/>
    <xf numFmtId="0" fontId="1" fillId="8" borderId="12" applyNumberFormat="0" applyFont="0" applyAlignment="0" applyProtection="0"/>
    <xf numFmtId="0" fontId="1" fillId="18" borderId="0" applyNumberFormat="0" applyBorder="0" applyAlignment="0" applyProtection="0"/>
    <xf numFmtId="167" fontId="1" fillId="0" borderId="0" applyFont="0" applyFill="0" applyBorder="0" applyAlignment="0" applyProtection="0"/>
    <xf numFmtId="0" fontId="1" fillId="0" borderId="0"/>
    <xf numFmtId="0" fontId="1" fillId="30"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0" borderId="0"/>
    <xf numFmtId="0" fontId="1" fillId="3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0" borderId="0"/>
    <xf numFmtId="0" fontId="1" fillId="26" borderId="0" applyNumberFormat="0" applyBorder="0" applyAlignment="0" applyProtection="0"/>
    <xf numFmtId="0" fontId="1" fillId="18" borderId="0" applyNumberFormat="0" applyBorder="0" applyAlignment="0" applyProtection="0"/>
    <xf numFmtId="0" fontId="1" fillId="0" borderId="0"/>
    <xf numFmtId="0" fontId="1" fillId="26"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44" fontId="1" fillId="0" borderId="0" applyFont="0" applyFill="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0" borderId="0"/>
    <xf numFmtId="9" fontId="1" fillId="0" borderId="0" applyFont="0" applyFill="0" applyBorder="0" applyAlignment="0" applyProtection="0"/>
    <xf numFmtId="0" fontId="1" fillId="0" borderId="0"/>
    <xf numFmtId="0" fontId="1" fillId="15" borderId="0" applyNumberFormat="0" applyBorder="0" applyAlignment="0" applyProtection="0"/>
    <xf numFmtId="43" fontId="1" fillId="0" borderId="0" applyFont="0" applyFill="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0" borderId="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8" borderId="12" applyNumberFormat="0" applyFont="0" applyAlignment="0" applyProtection="0"/>
    <xf numFmtId="0" fontId="1" fillId="0" borderId="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0" borderId="0"/>
    <xf numFmtId="0" fontId="1" fillId="22" borderId="0" applyNumberFormat="0" applyBorder="0" applyAlignment="0" applyProtection="0"/>
    <xf numFmtId="0" fontId="1" fillId="8" borderId="12" applyNumberFormat="0" applyFont="0" applyAlignment="0" applyProtection="0"/>
    <xf numFmtId="0" fontId="1" fillId="23" borderId="0" applyNumberFormat="0" applyBorder="0" applyAlignment="0" applyProtection="0"/>
    <xf numFmtId="0" fontId="1" fillId="15" borderId="0" applyNumberFormat="0" applyBorder="0" applyAlignment="0" applyProtection="0"/>
    <xf numFmtId="0" fontId="1" fillId="0" borderId="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0" borderId="0"/>
    <xf numFmtId="0" fontId="1" fillId="27" borderId="0" applyNumberFormat="0" applyBorder="0" applyAlignment="0" applyProtection="0"/>
    <xf numFmtId="44" fontId="1" fillId="0" borderId="0" applyFont="0" applyFill="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0" borderId="0"/>
    <xf numFmtId="0" fontId="1" fillId="0" borderId="0"/>
    <xf numFmtId="0" fontId="1" fillId="19" borderId="0" applyNumberFormat="0" applyBorder="0" applyAlignment="0" applyProtection="0"/>
    <xf numFmtId="0" fontId="1" fillId="14" borderId="0" applyNumberFormat="0" applyBorder="0" applyAlignment="0" applyProtection="0"/>
    <xf numFmtId="44" fontId="1" fillId="0" borderId="0" applyFont="0" applyFill="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43" fontId="1" fillId="0" borderId="0" applyFont="0" applyFill="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0" borderId="0"/>
    <xf numFmtId="0" fontId="1" fillId="31" borderId="0" applyNumberFormat="0" applyBorder="0" applyAlignment="0" applyProtection="0"/>
    <xf numFmtId="0" fontId="1" fillId="0" borderId="0"/>
    <xf numFmtId="0" fontId="1" fillId="1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9" fontId="1" fillId="0" borderId="0" applyFont="0" applyFill="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9" fontId="1" fillId="0" borderId="0" applyFont="0" applyFill="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0" borderId="0"/>
    <xf numFmtId="0" fontId="1" fillId="0" borderId="0"/>
    <xf numFmtId="0" fontId="1" fillId="3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8" borderId="12" applyNumberFormat="0" applyFont="0" applyAlignment="0" applyProtection="0"/>
    <xf numFmtId="0" fontId="1" fillId="0" borderId="0"/>
    <xf numFmtId="0" fontId="1" fillId="10" borderId="0" applyNumberFormat="0" applyBorder="0" applyAlignment="0" applyProtection="0"/>
    <xf numFmtId="43" fontId="1" fillId="0" borderId="0" applyFont="0" applyFill="0" applyBorder="0" applyAlignment="0" applyProtection="0"/>
    <xf numFmtId="0" fontId="1" fillId="11" borderId="0" applyNumberFormat="0" applyBorder="0" applyAlignment="0" applyProtection="0"/>
    <xf numFmtId="0" fontId="1" fillId="0" borderId="0"/>
    <xf numFmtId="0" fontId="1" fillId="26" borderId="0" applyNumberFormat="0" applyBorder="0" applyAlignment="0" applyProtection="0"/>
    <xf numFmtId="0" fontId="1" fillId="10" borderId="0" applyNumberFormat="0" applyBorder="0" applyAlignment="0" applyProtection="0"/>
    <xf numFmtId="0" fontId="1" fillId="0" borderId="0"/>
    <xf numFmtId="44" fontId="1" fillId="0" borderId="0" applyFont="0" applyFill="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167" fontId="1" fillId="0" borderId="0" applyFont="0" applyFill="0" applyBorder="0" applyAlignment="0" applyProtection="0"/>
    <xf numFmtId="0" fontId="1" fillId="8" borderId="12" applyNumberFormat="0" applyFont="0" applyAlignment="0" applyProtection="0"/>
    <xf numFmtId="0" fontId="1" fillId="26"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167" fontId="1" fillId="0" borderId="0" applyFont="0" applyFill="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0" borderId="0"/>
    <xf numFmtId="0" fontId="1" fillId="10"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8" borderId="12" applyNumberFormat="0" applyFont="0" applyAlignment="0" applyProtection="0"/>
    <xf numFmtId="0" fontId="1" fillId="30" borderId="0" applyNumberFormat="0" applyBorder="0" applyAlignment="0" applyProtection="0"/>
    <xf numFmtId="0" fontId="1" fillId="0" borderId="0"/>
    <xf numFmtId="0" fontId="1" fillId="0" borderId="0"/>
    <xf numFmtId="0" fontId="1" fillId="0" borderId="0"/>
    <xf numFmtId="0" fontId="1" fillId="0" borderId="0"/>
    <xf numFmtId="0" fontId="1" fillId="23"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167" fontId="1" fillId="0" borderId="0" applyFont="0" applyFill="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9" fontId="1" fillId="0" borderId="0" applyFont="0" applyFill="0" applyBorder="0" applyAlignment="0" applyProtection="0"/>
    <xf numFmtId="0" fontId="1" fillId="19" borderId="0" applyNumberFormat="0" applyBorder="0" applyAlignment="0" applyProtection="0"/>
    <xf numFmtId="43" fontId="1" fillId="0" borderId="0" applyFont="0" applyFill="0" applyBorder="0" applyAlignment="0" applyProtection="0"/>
    <xf numFmtId="0" fontId="1" fillId="22" borderId="0" applyNumberFormat="0" applyBorder="0" applyAlignment="0" applyProtection="0"/>
    <xf numFmtId="44" fontId="1" fillId="0" borderId="0" applyFont="0" applyFill="0" applyBorder="0" applyAlignment="0" applyProtection="0"/>
    <xf numFmtId="0" fontId="1" fillId="0" borderId="0"/>
    <xf numFmtId="0" fontId="1" fillId="18"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0" borderId="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0" borderId="0"/>
    <xf numFmtId="0" fontId="1" fillId="26"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0" borderId="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0" borderId="0"/>
    <xf numFmtId="0" fontId="1" fillId="27" borderId="0" applyNumberFormat="0" applyBorder="0" applyAlignment="0" applyProtection="0"/>
    <xf numFmtId="0" fontId="1" fillId="30" borderId="0" applyNumberFormat="0" applyBorder="0" applyAlignment="0" applyProtection="0"/>
    <xf numFmtId="0" fontId="1" fillId="0" borderId="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18" borderId="0" applyNumberFormat="0" applyBorder="0" applyAlignment="0" applyProtection="0"/>
    <xf numFmtId="0" fontId="1" fillId="8" borderId="12" applyNumberFormat="0" applyFont="0" applyAlignment="0" applyProtection="0"/>
    <xf numFmtId="0" fontId="1" fillId="22" borderId="0" applyNumberFormat="0" applyBorder="0" applyAlignment="0" applyProtection="0"/>
    <xf numFmtId="0" fontId="1" fillId="8" borderId="12" applyNumberFormat="0" applyFont="0" applyAlignment="0" applyProtection="0"/>
    <xf numFmtId="0" fontId="1" fillId="0" borderId="0"/>
    <xf numFmtId="0" fontId="1" fillId="14" borderId="0" applyNumberFormat="0" applyBorder="0" applyAlignment="0" applyProtection="0"/>
    <xf numFmtId="0" fontId="1" fillId="8" borderId="12" applyNumberFormat="0" applyFont="0" applyAlignment="0" applyProtection="0"/>
    <xf numFmtId="0" fontId="1" fillId="23" borderId="0" applyNumberFormat="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0" borderId="0"/>
    <xf numFmtId="0" fontId="1" fillId="30" borderId="0" applyNumberFormat="0" applyBorder="0" applyAlignment="0" applyProtection="0"/>
    <xf numFmtId="0" fontId="1" fillId="31" borderId="0" applyNumberFormat="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43" fontId="1" fillId="0" borderId="0" applyFont="0" applyFill="0" applyBorder="0" applyAlignment="0" applyProtection="0"/>
    <xf numFmtId="0" fontId="1" fillId="0" borderId="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0" borderId="0"/>
    <xf numFmtId="0" fontId="1" fillId="14"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67" fontId="1" fillId="0" borderId="0" applyFont="0" applyFill="0" applyBorder="0" applyAlignment="0" applyProtection="0"/>
    <xf numFmtId="0" fontId="1" fillId="10" borderId="0" applyNumberFormat="0" applyBorder="0" applyAlignment="0" applyProtection="0"/>
    <xf numFmtId="0" fontId="1" fillId="0" borderId="0"/>
    <xf numFmtId="0" fontId="1" fillId="0" borderId="0"/>
    <xf numFmtId="0" fontId="1" fillId="8" borderId="12" applyNumberFormat="0" applyFont="0" applyAlignment="0" applyProtection="0"/>
    <xf numFmtId="0" fontId="1" fillId="30" borderId="0" applyNumberFormat="0" applyBorder="0" applyAlignment="0" applyProtection="0"/>
    <xf numFmtId="0" fontId="1" fillId="0" borderId="0"/>
    <xf numFmtId="0" fontId="1" fillId="27"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0" borderId="0"/>
    <xf numFmtId="167" fontId="1" fillId="0" borderId="0" applyFont="0" applyFill="0" applyBorder="0" applyAlignment="0" applyProtection="0"/>
    <xf numFmtId="0" fontId="1" fillId="0" borderId="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8" borderId="12" applyNumberFormat="0" applyFont="0" applyAlignment="0" applyProtection="0"/>
    <xf numFmtId="0" fontId="1" fillId="0" borderId="0"/>
    <xf numFmtId="0" fontId="1" fillId="0" borderId="0"/>
    <xf numFmtId="0" fontId="1" fillId="26" borderId="0" applyNumberFormat="0" applyBorder="0" applyAlignment="0" applyProtection="0"/>
    <xf numFmtId="0" fontId="1" fillId="10" borderId="0" applyNumberFormat="0" applyBorder="0" applyAlignment="0" applyProtection="0"/>
    <xf numFmtId="0" fontId="1" fillId="0" borderId="0"/>
    <xf numFmtId="0" fontId="1" fillId="15"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1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0" borderId="0"/>
    <xf numFmtId="9" fontId="1" fillId="0" borderId="0" applyFont="0" applyFill="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0" borderId="0"/>
    <xf numFmtId="0" fontId="1" fillId="26" borderId="0" applyNumberFormat="0" applyBorder="0" applyAlignment="0" applyProtection="0"/>
    <xf numFmtId="0" fontId="1" fillId="11" borderId="0" applyNumberFormat="0" applyBorder="0" applyAlignment="0" applyProtection="0"/>
    <xf numFmtId="9" fontId="1" fillId="0" borderId="0" applyFont="0" applyFill="0" applyBorder="0" applyAlignment="0" applyProtection="0"/>
    <xf numFmtId="0" fontId="1" fillId="26" borderId="0" applyNumberFormat="0" applyBorder="0" applyAlignment="0" applyProtection="0"/>
    <xf numFmtId="9" fontId="1" fillId="0" borderId="0" applyFont="0" applyFill="0" applyBorder="0" applyAlignment="0" applyProtection="0"/>
    <xf numFmtId="0" fontId="1" fillId="0" borderId="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23" borderId="0" applyNumberFormat="0" applyBorder="0" applyAlignment="0" applyProtection="0"/>
    <xf numFmtId="0" fontId="1" fillId="0" borderId="0"/>
    <xf numFmtId="0" fontId="1" fillId="0" borderId="0"/>
    <xf numFmtId="0" fontId="1" fillId="0" borderId="0"/>
    <xf numFmtId="0" fontId="1" fillId="19"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8" borderId="12" applyNumberFormat="0" applyFont="0" applyAlignment="0" applyProtection="0"/>
    <xf numFmtId="0" fontId="1" fillId="3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0" borderId="0"/>
    <xf numFmtId="0" fontId="1" fillId="31" borderId="0" applyNumberFormat="0" applyBorder="0" applyAlignment="0" applyProtection="0"/>
    <xf numFmtId="0" fontId="1" fillId="22" borderId="0" applyNumberFormat="0" applyBorder="0" applyAlignment="0" applyProtection="0"/>
    <xf numFmtId="0" fontId="1" fillId="0" borderId="0"/>
    <xf numFmtId="9" fontId="1" fillId="0" borderId="0" applyFont="0" applyFill="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0" borderId="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0" borderId="0"/>
    <xf numFmtId="0" fontId="1" fillId="15" borderId="0" applyNumberFormat="0" applyBorder="0" applyAlignment="0" applyProtection="0"/>
    <xf numFmtId="0" fontId="1" fillId="31"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0" borderId="0"/>
    <xf numFmtId="0" fontId="1" fillId="22" borderId="0" applyNumberFormat="0" applyBorder="0" applyAlignment="0" applyProtection="0"/>
    <xf numFmtId="0" fontId="1" fillId="27" borderId="0" applyNumberFormat="0" applyBorder="0" applyAlignment="0" applyProtection="0"/>
    <xf numFmtId="0" fontId="1" fillId="0" borderId="0"/>
    <xf numFmtId="0" fontId="1" fillId="11" borderId="0" applyNumberFormat="0" applyBorder="0" applyAlignment="0" applyProtection="0"/>
    <xf numFmtId="0" fontId="1" fillId="8" borderId="12" applyNumberFormat="0" applyFont="0" applyAlignment="0" applyProtection="0"/>
    <xf numFmtId="0" fontId="1" fillId="18"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8" borderId="12" applyNumberFormat="0" applyFont="0" applyAlignment="0" applyProtection="0"/>
    <xf numFmtId="9" fontId="1" fillId="0" borderId="0" applyFont="0" applyFill="0" applyBorder="0" applyAlignment="0" applyProtection="0"/>
    <xf numFmtId="0" fontId="1" fillId="22" borderId="0" applyNumberFormat="0" applyBorder="0" applyAlignment="0" applyProtection="0"/>
    <xf numFmtId="44" fontId="1" fillId="0" borderId="0" applyFont="0" applyFill="0" applyBorder="0" applyAlignment="0" applyProtection="0"/>
    <xf numFmtId="0" fontId="1" fillId="0" borderId="0"/>
    <xf numFmtId="0" fontId="1" fillId="31"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31" borderId="0" applyNumberFormat="0" applyBorder="0" applyAlignment="0" applyProtection="0"/>
    <xf numFmtId="0" fontId="1" fillId="30" borderId="0" applyNumberFormat="0" applyBorder="0" applyAlignment="0" applyProtection="0"/>
    <xf numFmtId="0" fontId="1" fillId="0" borderId="0"/>
    <xf numFmtId="44" fontId="1" fillId="0" borderId="0" applyFont="0" applyFill="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43" fontId="1" fillId="0" borderId="0" applyFont="0" applyFill="0" applyBorder="0" applyAlignment="0" applyProtection="0"/>
    <xf numFmtId="0" fontId="1" fillId="0" borderId="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0" borderId="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12"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cellStyleXfs>
  <cellXfs count="779">
    <xf numFmtId="0" fontId="0" fillId="0" borderId="0" xfId="0"/>
    <xf numFmtId="0" fontId="31" fillId="0" borderId="0" xfId="0" applyFont="1"/>
    <xf numFmtId="43" fontId="0" fillId="0" borderId="0" xfId="0" applyNumberFormat="1"/>
    <xf numFmtId="0" fontId="51" fillId="0" borderId="0" xfId="29" applyFont="1"/>
    <xf numFmtId="0" fontId="31" fillId="0" borderId="0" xfId="29"/>
    <xf numFmtId="0" fontId="52" fillId="0" borderId="14" xfId="29" applyFont="1" applyBorder="1" applyAlignment="1">
      <alignment horizontal="center" wrapText="1"/>
    </xf>
    <xf numFmtId="0" fontId="52" fillId="0" borderId="15" xfId="29" applyFont="1" applyBorder="1" applyAlignment="1">
      <alignment horizontal="center" wrapText="1"/>
    </xf>
    <xf numFmtId="0" fontId="52" fillId="0" borderId="16" xfId="29" applyFont="1" applyBorder="1" applyAlignment="1">
      <alignment horizontal="center" wrapText="1"/>
    </xf>
    <xf numFmtId="0" fontId="52" fillId="0" borderId="17" xfId="29" applyFont="1" applyBorder="1" applyAlignment="1">
      <alignment horizontal="center" wrapText="1"/>
    </xf>
    <xf numFmtId="0" fontId="51" fillId="0" borderId="0" xfId="29" applyFont="1" applyBorder="1"/>
    <xf numFmtId="0" fontId="54" fillId="0" borderId="0" xfId="0" applyFont="1"/>
    <xf numFmtId="0" fontId="55" fillId="0" borderId="0" xfId="0" applyFont="1"/>
    <xf numFmtId="0" fontId="31" fillId="0" borderId="0" xfId="0" quotePrefix="1" applyFont="1"/>
    <xf numFmtId="43" fontId="0" fillId="0" borderId="19" xfId="0" applyNumberFormat="1" applyBorder="1"/>
    <xf numFmtId="43" fontId="0" fillId="0" borderId="4" xfId="0" applyNumberFormat="1" applyBorder="1"/>
    <xf numFmtId="43" fontId="0" fillId="0" borderId="20" xfId="0" applyNumberFormat="1" applyBorder="1"/>
    <xf numFmtId="0" fontId="31" fillId="0" borderId="0" xfId="0" applyFont="1" applyFill="1" applyBorder="1"/>
    <xf numFmtId="0" fontId="0" fillId="0" borderId="2" xfId="0" applyBorder="1"/>
    <xf numFmtId="43" fontId="0" fillId="0" borderId="30" xfId="0" applyNumberFormat="1" applyBorder="1"/>
    <xf numFmtId="43" fontId="0" fillId="0" borderId="31" xfId="0" applyNumberFormat="1" applyBorder="1"/>
    <xf numFmtId="43" fontId="0" fillId="0" borderId="32" xfId="0" applyNumberFormat="1" applyBorder="1"/>
    <xf numFmtId="0" fontId="57" fillId="0" borderId="28" xfId="0" applyFont="1" applyBorder="1" applyAlignment="1">
      <alignment horizontal="center"/>
    </xf>
    <xf numFmtId="0" fontId="57" fillId="0" borderId="21" xfId="0" applyFont="1" applyBorder="1" applyAlignment="1">
      <alignment horizontal="center"/>
    </xf>
    <xf numFmtId="0" fontId="57" fillId="0" borderId="22" xfId="0" applyFont="1" applyBorder="1" applyAlignment="1">
      <alignment horizontal="center"/>
    </xf>
    <xf numFmtId="0" fontId="57" fillId="0" borderId="23" xfId="0" applyFont="1" applyBorder="1" applyAlignment="1">
      <alignment horizontal="center"/>
    </xf>
    <xf numFmtId="0" fontId="55" fillId="0" borderId="0" xfId="0" applyFont="1" applyAlignment="1">
      <alignment horizontal="right"/>
    </xf>
    <xf numFmtId="0" fontId="57" fillId="0" borderId="24" xfId="0" applyFont="1" applyBorder="1" applyAlignment="1">
      <alignment horizontal="center"/>
    </xf>
    <xf numFmtId="0" fontId="58" fillId="0" borderId="0" xfId="0" applyFont="1" applyAlignment="1"/>
    <xf numFmtId="0" fontId="55" fillId="0" borderId="0" xfId="0" applyFont="1" applyBorder="1" applyAlignment="1">
      <alignment horizontal="right"/>
    </xf>
    <xf numFmtId="0" fontId="0" fillId="0" borderId="0" xfId="0" applyBorder="1"/>
    <xf numFmtId="0" fontId="0" fillId="0" borderId="0" xfId="0" applyFill="1"/>
    <xf numFmtId="0" fontId="29" fillId="0" borderId="18" xfId="0" applyFont="1" applyBorder="1"/>
    <xf numFmtId="0" fontId="59" fillId="0" borderId="18" xfId="0" applyFont="1" applyBorder="1"/>
    <xf numFmtId="0" fontId="59" fillId="0" borderId="0" xfId="0" applyFont="1"/>
    <xf numFmtId="0" fontId="31" fillId="0" borderId="0" xfId="0" applyFont="1" applyFill="1"/>
    <xf numFmtId="0" fontId="59" fillId="0" borderId="18" xfId="0" applyFont="1" applyFill="1" applyBorder="1"/>
    <xf numFmtId="0" fontId="29" fillId="0" borderId="0" xfId="0" applyFont="1"/>
    <xf numFmtId="0" fontId="31" fillId="0" borderId="0" xfId="0" applyFont="1" applyBorder="1"/>
    <xf numFmtId="0" fontId="31" fillId="0" borderId="29" xfId="0" quotePrefix="1" applyFont="1" applyBorder="1" applyAlignment="1">
      <alignment horizontal="center"/>
    </xf>
    <xf numFmtId="0" fontId="29" fillId="0" borderId="0" xfId="0" applyFont="1" applyAlignment="1">
      <alignment horizontal="center"/>
    </xf>
    <xf numFmtId="0" fontId="29" fillId="0" borderId="0" xfId="29" applyFont="1"/>
    <xf numFmtId="0" fontId="29" fillId="0" borderId="0" xfId="29" applyFont="1" applyFill="1"/>
    <xf numFmtId="0" fontId="31" fillId="0" borderId="0" xfId="29" applyFont="1" applyFill="1"/>
    <xf numFmtId="0" fontId="55" fillId="0" borderId="0" xfId="0" applyFont="1" applyBorder="1"/>
    <xf numFmtId="0" fontId="55" fillId="0" borderId="0" xfId="0" applyFont="1" applyFill="1"/>
    <xf numFmtId="0" fontId="31" fillId="0" borderId="0" xfId="29" applyFont="1" applyFill="1" applyAlignment="1">
      <alignment horizontal="left" indent="1"/>
    </xf>
    <xf numFmtId="0" fontId="31" fillId="0" borderId="0" xfId="0" applyFont="1" applyFill="1" applyBorder="1" applyAlignment="1">
      <alignment horizontal="center"/>
    </xf>
    <xf numFmtId="0" fontId="31" fillId="0" borderId="0" xfId="0" applyNumberFormat="1" applyFont="1" applyFill="1" applyBorder="1" applyAlignment="1">
      <alignment horizontal="center"/>
    </xf>
    <xf numFmtId="0" fontId="60" fillId="0" borderId="0" xfId="0" applyFont="1" applyFill="1" applyBorder="1" applyAlignment="1"/>
    <xf numFmtId="0" fontId="31" fillId="0" borderId="0" xfId="0" applyFont="1" applyFill="1" applyBorder="1" applyAlignment="1"/>
    <xf numFmtId="0" fontId="31" fillId="0" borderId="0" xfId="32" applyFont="1" applyFill="1" applyBorder="1" applyAlignment="1"/>
    <xf numFmtId="0" fontId="60" fillId="0" borderId="0" xfId="0" applyNumberFormat="1" applyFont="1" applyFill="1" applyBorder="1" applyAlignment="1"/>
    <xf numFmtId="0" fontId="31" fillId="0" borderId="0" xfId="31" applyFont="1" applyFill="1" applyBorder="1" applyAlignment="1"/>
    <xf numFmtId="0" fontId="57" fillId="0" borderId="34" xfId="0" applyFont="1" applyBorder="1" applyAlignment="1">
      <alignment horizontal="center"/>
    </xf>
    <xf numFmtId="43" fontId="0" fillId="0" borderId="35" xfId="0" applyNumberFormat="1" applyBorder="1"/>
    <xf numFmtId="43" fontId="0" fillId="0" borderId="36" xfId="0" applyNumberFormat="1" applyBorder="1"/>
    <xf numFmtId="0" fontId="29" fillId="0" borderId="37" xfId="0" applyFont="1" applyBorder="1" applyAlignment="1">
      <alignment horizontal="center"/>
    </xf>
    <xf numFmtId="0" fontId="57" fillId="0" borderId="38" xfId="0" applyFont="1" applyFill="1" applyBorder="1" applyAlignment="1">
      <alignment horizontal="center"/>
    </xf>
    <xf numFmtId="43" fontId="0" fillId="0" borderId="39" xfId="0" applyNumberFormat="1" applyBorder="1"/>
    <xf numFmtId="43" fontId="0" fillId="0" borderId="40" xfId="0" applyNumberFormat="1" applyBorder="1"/>
    <xf numFmtId="0" fontId="0" fillId="0" borderId="41" xfId="0" applyBorder="1"/>
    <xf numFmtId="0" fontId="0" fillId="0" borderId="42" xfId="0" applyBorder="1"/>
    <xf numFmtId="0" fontId="57" fillId="0" borderId="31" xfId="0" applyFont="1" applyBorder="1" applyAlignment="1">
      <alignment horizontal="center" wrapText="1"/>
    </xf>
    <xf numFmtId="0" fontId="29" fillId="0" borderId="1" xfId="0" applyFont="1" applyBorder="1"/>
    <xf numFmtId="0" fontId="57" fillId="0" borderId="44" xfId="0" applyFont="1" applyBorder="1" applyAlignment="1">
      <alignment horizontal="center"/>
    </xf>
    <xf numFmtId="0" fontId="31" fillId="0" borderId="45" xfId="0" applyFont="1" applyBorder="1" applyAlignment="1">
      <alignment horizontal="center"/>
    </xf>
    <xf numFmtId="0" fontId="0" fillId="0" borderId="19" xfId="0" applyBorder="1"/>
    <xf numFmtId="0" fontId="0" fillId="0" borderId="21" xfId="0" applyBorder="1"/>
    <xf numFmtId="0" fontId="57" fillId="0" borderId="25" xfId="0" applyFont="1" applyBorder="1" applyAlignment="1">
      <alignment horizontal="center"/>
    </xf>
    <xf numFmtId="0" fontId="29" fillId="0" borderId="0" xfId="0" applyFont="1" applyBorder="1"/>
    <xf numFmtId="0" fontId="0" fillId="0" borderId="0" xfId="0" applyFont="1" applyFill="1" applyBorder="1"/>
    <xf numFmtId="0" fontId="31" fillId="0" borderId="2" xfId="0" applyFont="1" applyBorder="1"/>
    <xf numFmtId="43" fontId="31" fillId="0" borderId="0" xfId="29" applyNumberFormat="1"/>
    <xf numFmtId="43" fontId="51" fillId="0" borderId="0" xfId="1" applyNumberFormat="1" applyFont="1" applyFill="1"/>
    <xf numFmtId="43" fontId="31" fillId="0" borderId="0" xfId="29" applyNumberFormat="1" applyFill="1"/>
    <xf numFmtId="0" fontId="31" fillId="0" borderId="18" xfId="0" applyFont="1" applyBorder="1"/>
    <xf numFmtId="0" fontId="57" fillId="0" borderId="30" xfId="0" applyFont="1" applyBorder="1" applyAlignment="1">
      <alignment horizontal="center" vertical="center"/>
    </xf>
    <xf numFmtId="0" fontId="57" fillId="0" borderId="31" xfId="0" applyFont="1" applyBorder="1" applyAlignment="1">
      <alignment horizontal="center" vertical="center" wrapText="1"/>
    </xf>
    <xf numFmtId="0" fontId="57" fillId="0" borderId="31" xfId="0" applyFont="1" applyBorder="1" applyAlignment="1">
      <alignment horizontal="center" vertical="center"/>
    </xf>
    <xf numFmtId="0" fontId="62" fillId="0" borderId="0" xfId="0" applyFont="1"/>
    <xf numFmtId="43" fontId="54" fillId="0" borderId="0" xfId="0" applyNumberFormat="1" applyFont="1"/>
    <xf numFmtId="0" fontId="0" fillId="0" borderId="46" xfId="0" applyBorder="1"/>
    <xf numFmtId="43" fontId="0" fillId="0" borderId="0" xfId="0" applyNumberFormat="1" applyBorder="1"/>
    <xf numFmtId="0" fontId="57" fillId="0" borderId="47" xfId="0" applyFont="1" applyBorder="1" applyAlignment="1">
      <alignment horizontal="center" wrapText="1"/>
    </xf>
    <xf numFmtId="0" fontId="0" fillId="0" borderId="48" xfId="0" applyBorder="1"/>
    <xf numFmtId="0" fontId="0" fillId="0" borderId="49" xfId="0" applyBorder="1"/>
    <xf numFmtId="43" fontId="0" fillId="0" borderId="49" xfId="0" applyNumberFormat="1" applyBorder="1"/>
    <xf numFmtId="0" fontId="54" fillId="0" borderId="52" xfId="0" applyFont="1" applyBorder="1"/>
    <xf numFmtId="0" fontId="0" fillId="0" borderId="52" xfId="0" applyBorder="1"/>
    <xf numFmtId="44" fontId="58" fillId="0" borderId="53" xfId="0" applyNumberFormat="1" applyFont="1" applyBorder="1"/>
    <xf numFmtId="0" fontId="61" fillId="0" borderId="54" xfId="0" applyFont="1" applyBorder="1"/>
    <xf numFmtId="43" fontId="34" fillId="0" borderId="55" xfId="0" applyNumberFormat="1" applyFont="1" applyBorder="1"/>
    <xf numFmtId="43" fontId="54" fillId="0" borderId="55" xfId="0" applyNumberFormat="1" applyFont="1" applyBorder="1"/>
    <xf numFmtId="0" fontId="61" fillId="0" borderId="56" xfId="0" applyFont="1" applyBorder="1"/>
    <xf numFmtId="0" fontId="0" fillId="0" borderId="57" xfId="0" applyBorder="1"/>
    <xf numFmtId="43" fontId="54" fillId="0" borderId="58" xfId="0" applyNumberFormat="1" applyFont="1" applyBorder="1"/>
    <xf numFmtId="0" fontId="58" fillId="0" borderId="51" xfId="0" applyFont="1" applyBorder="1"/>
    <xf numFmtId="0" fontId="58" fillId="0" borderId="0" xfId="0" applyFont="1"/>
    <xf numFmtId="0" fontId="0" fillId="0" borderId="59" xfId="0" applyBorder="1"/>
    <xf numFmtId="0" fontId="0" fillId="0" borderId="18" xfId="0" applyBorder="1"/>
    <xf numFmtId="43" fontId="0" fillId="0" borderId="18" xfId="0" applyNumberFormat="1" applyBorder="1"/>
    <xf numFmtId="0" fontId="0" fillId="0" borderId="61" xfId="0" applyBorder="1"/>
    <xf numFmtId="0" fontId="0" fillId="0" borderId="62" xfId="0" applyBorder="1"/>
    <xf numFmtId="41" fontId="0" fillId="0" borderId="62" xfId="0" applyNumberFormat="1" applyBorder="1"/>
    <xf numFmtId="43" fontId="0" fillId="0" borderId="62" xfId="0" applyNumberFormat="1" applyBorder="1"/>
    <xf numFmtId="43" fontId="0" fillId="0" borderId="63" xfId="0" applyNumberFormat="1" applyBorder="1"/>
    <xf numFmtId="43" fontId="0" fillId="0" borderId="64" xfId="0" applyNumberFormat="1" applyBorder="1"/>
    <xf numFmtId="43" fontId="0" fillId="0" borderId="65" xfId="0" applyNumberFormat="1" applyBorder="1"/>
    <xf numFmtId="0" fontId="31" fillId="0" borderId="49" xfId="0" applyFont="1" applyBorder="1"/>
    <xf numFmtId="0" fontId="31" fillId="0" borderId="61" xfId="29" applyFill="1" applyBorder="1"/>
    <xf numFmtId="0" fontId="51" fillId="0" borderId="62" xfId="29" applyFont="1" applyFill="1" applyBorder="1"/>
    <xf numFmtId="41" fontId="31" fillId="0" borderId="62" xfId="29" applyNumberFormat="1" applyFill="1" applyBorder="1"/>
    <xf numFmtId="0" fontId="31" fillId="0" borderId="62" xfId="29" applyFill="1" applyBorder="1"/>
    <xf numFmtId="166" fontId="31" fillId="0" borderId="62" xfId="29" applyNumberFormat="1" applyFill="1" applyBorder="1"/>
    <xf numFmtId="43" fontId="31" fillId="0" borderId="66" xfId="29" applyNumberFormat="1" applyFill="1" applyBorder="1"/>
    <xf numFmtId="43" fontId="31" fillId="0" borderId="62" xfId="29" applyNumberFormat="1" applyFill="1" applyBorder="1"/>
    <xf numFmtId="43" fontId="51" fillId="0" borderId="62" xfId="1" applyNumberFormat="1" applyFont="1" applyFill="1" applyBorder="1"/>
    <xf numFmtId="43" fontId="31" fillId="0" borderId="65" xfId="29" applyNumberFormat="1" applyFill="1" applyBorder="1"/>
    <xf numFmtId="0" fontId="31" fillId="0" borderId="67" xfId="29" applyBorder="1"/>
    <xf numFmtId="0" fontId="31" fillId="0" borderId="68" xfId="0" applyFont="1" applyBorder="1"/>
    <xf numFmtId="0" fontId="51" fillId="0" borderId="68" xfId="29" applyFont="1" applyBorder="1"/>
    <xf numFmtId="0" fontId="31" fillId="0" borderId="68" xfId="29" applyBorder="1"/>
    <xf numFmtId="0" fontId="31" fillId="0" borderId="48" xfId="29" applyBorder="1"/>
    <xf numFmtId="0" fontId="51" fillId="0" borderId="49" xfId="29" applyFont="1" applyBorder="1"/>
    <xf numFmtId="0" fontId="31" fillId="0" borderId="49" xfId="29" applyBorder="1"/>
    <xf numFmtId="43" fontId="31" fillId="0" borderId="0" xfId="29" applyNumberFormat="1" applyFill="1" applyBorder="1"/>
    <xf numFmtId="0" fontId="31" fillId="0" borderId="0" xfId="29" applyBorder="1"/>
    <xf numFmtId="0" fontId="63" fillId="0" borderId="0" xfId="0" applyFont="1"/>
    <xf numFmtId="0" fontId="64" fillId="0" borderId="0" xfId="0" applyFont="1"/>
    <xf numFmtId="0" fontId="31" fillId="0" borderId="0" xfId="29" applyFont="1" applyAlignment="1">
      <alignment horizontal="left" indent="1"/>
    </xf>
    <xf numFmtId="0" fontId="30" fillId="33" borderId="0" xfId="0" applyFont="1" applyFill="1" applyBorder="1" applyAlignment="1">
      <alignment horizontal="center" wrapText="1"/>
    </xf>
    <xf numFmtId="41" fontId="31" fillId="0" borderId="0" xfId="0" applyNumberFormat="1" applyFont="1"/>
    <xf numFmtId="41" fontId="31" fillId="0" borderId="45" xfId="0" applyNumberFormat="1" applyFont="1" applyBorder="1"/>
    <xf numFmtId="0" fontId="29" fillId="0" borderId="45" xfId="0" applyFont="1" applyBorder="1" applyAlignment="1">
      <alignment horizontal="left" indent="2"/>
    </xf>
    <xf numFmtId="0" fontId="29" fillId="0" borderId="0" xfId="29" applyFont="1" applyFill="1" applyAlignment="1">
      <alignment horizontal="left" indent="2"/>
    </xf>
    <xf numFmtId="0" fontId="29" fillId="0" borderId="0" xfId="0" applyFont="1" applyAlignment="1">
      <alignment horizontal="left"/>
    </xf>
    <xf numFmtId="41" fontId="31" fillId="0" borderId="18" xfId="0" applyNumberFormat="1" applyFont="1" applyBorder="1"/>
    <xf numFmtId="41" fontId="31" fillId="0" borderId="70" xfId="0" applyNumberFormat="1" applyFont="1" applyBorder="1"/>
    <xf numFmtId="0" fontId="0" fillId="0" borderId="0" xfId="0" applyFill="1" applyBorder="1"/>
    <xf numFmtId="0" fontId="29" fillId="0" borderId="0" xfId="0" applyFont="1" applyFill="1" applyBorder="1"/>
    <xf numFmtId="0" fontId="31" fillId="0" borderId="19" xfId="0" applyFont="1" applyBorder="1"/>
    <xf numFmtId="0" fontId="26" fillId="0" borderId="0" xfId="155"/>
    <xf numFmtId="0" fontId="26" fillId="0" borderId="0" xfId="155" applyAlignment="1">
      <alignment wrapText="1"/>
    </xf>
    <xf numFmtId="0" fontId="26" fillId="0" borderId="0" xfId="155"/>
    <xf numFmtId="0" fontId="26" fillId="0" borderId="0" xfId="155" applyAlignment="1">
      <alignment wrapText="1"/>
    </xf>
    <xf numFmtId="0" fontId="26" fillId="0" borderId="0" xfId="155" applyFill="1"/>
    <xf numFmtId="168" fontId="26" fillId="0" borderId="0" xfId="155" applyNumberFormat="1"/>
    <xf numFmtId="168" fontId="26" fillId="34" borderId="0" xfId="158" applyNumberFormat="1" applyFont="1" applyFill="1"/>
    <xf numFmtId="168" fontId="26" fillId="0" borderId="35" xfId="158" applyNumberFormat="1" applyFont="1" applyBorder="1"/>
    <xf numFmtId="168" fontId="26" fillId="0" borderId="71" xfId="158" applyNumberFormat="1" applyFont="1" applyBorder="1"/>
    <xf numFmtId="168" fontId="26" fillId="0" borderId="0" xfId="158" applyNumberFormat="1" applyFont="1" applyBorder="1"/>
    <xf numFmtId="168" fontId="49" fillId="0" borderId="48" xfId="158" applyNumberFormat="1" applyFont="1" applyFill="1" applyBorder="1"/>
    <xf numFmtId="168" fontId="49" fillId="0" borderId="50" xfId="158" applyNumberFormat="1" applyFont="1" applyFill="1" applyBorder="1"/>
    <xf numFmtId="168" fontId="49" fillId="0" borderId="49" xfId="158" applyNumberFormat="1" applyFont="1" applyFill="1" applyBorder="1"/>
    <xf numFmtId="0" fontId="49" fillId="0" borderId="0" xfId="155" applyFont="1" applyBorder="1" applyAlignment="1">
      <alignment horizontal="center"/>
    </xf>
    <xf numFmtId="0" fontId="68" fillId="0" borderId="0" xfId="155" applyFont="1" applyBorder="1" applyAlignment="1">
      <alignment horizontal="center"/>
    </xf>
    <xf numFmtId="0" fontId="49" fillId="0" borderId="0" xfId="155" applyFont="1" applyFill="1" applyBorder="1" applyAlignment="1">
      <alignment horizontal="center"/>
    </xf>
    <xf numFmtId="0" fontId="49" fillId="0" borderId="75" xfId="155" applyFont="1" applyFill="1" applyBorder="1" applyAlignment="1">
      <alignment horizontal="center"/>
    </xf>
    <xf numFmtId="0" fontId="49" fillId="0" borderId="74" xfId="155" applyFont="1" applyFill="1" applyBorder="1" applyAlignment="1">
      <alignment horizontal="center"/>
    </xf>
    <xf numFmtId="0" fontId="49" fillId="0" borderId="72" xfId="155" applyFont="1" applyFill="1" applyBorder="1" applyAlignment="1">
      <alignment horizontal="center"/>
    </xf>
    <xf numFmtId="0" fontId="49" fillId="0" borderId="71" xfId="155" applyFont="1" applyBorder="1" applyAlignment="1">
      <alignment horizontal="center"/>
    </xf>
    <xf numFmtId="0" fontId="49" fillId="0" borderId="35" xfId="155" applyFont="1" applyBorder="1" applyAlignment="1">
      <alignment horizontal="center"/>
    </xf>
    <xf numFmtId="0" fontId="68" fillId="0" borderId="71" xfId="155" applyFont="1" applyBorder="1" applyAlignment="1">
      <alignment horizontal="center"/>
    </xf>
    <xf numFmtId="0" fontId="68" fillId="0" borderId="35" xfId="155" applyFont="1" applyBorder="1" applyAlignment="1">
      <alignment horizontal="center"/>
    </xf>
    <xf numFmtId="0" fontId="26" fillId="0" borderId="0" xfId="155" applyAlignment="1">
      <alignment horizontal="right"/>
    </xf>
    <xf numFmtId="0" fontId="68" fillId="34" borderId="0" xfId="155" applyFont="1" applyFill="1" applyBorder="1" applyAlignment="1">
      <alignment horizontal="center"/>
    </xf>
    <xf numFmtId="0" fontId="49" fillId="34" borderId="0" xfId="155" applyFont="1" applyFill="1" applyAlignment="1">
      <alignment horizontal="center"/>
    </xf>
    <xf numFmtId="0" fontId="68" fillId="34" borderId="0" xfId="155" applyFont="1" applyFill="1" applyAlignment="1">
      <alignment horizontal="center"/>
    </xf>
    <xf numFmtId="0" fontId="26" fillId="34" borderId="0" xfId="155" applyFill="1" applyProtection="1">
      <protection locked="0"/>
    </xf>
    <xf numFmtId="168" fontId="49" fillId="34" borderId="73" xfId="155" applyNumberFormat="1" applyFont="1" applyFill="1" applyBorder="1"/>
    <xf numFmtId="0" fontId="68" fillId="35" borderId="0" xfId="155" applyFont="1" applyFill="1" applyBorder="1" applyAlignment="1">
      <alignment horizontal="center"/>
    </xf>
    <xf numFmtId="0" fontId="49" fillId="35" borderId="0" xfId="155" applyFont="1" applyFill="1" applyBorder="1" applyAlignment="1">
      <alignment horizontal="center"/>
    </xf>
    <xf numFmtId="0" fontId="49" fillId="35" borderId="0" xfId="155" applyFont="1" applyFill="1"/>
    <xf numFmtId="168" fontId="49" fillId="35" borderId="0" xfId="155" applyNumberFormat="1" applyFont="1" applyFill="1"/>
    <xf numFmtId="0" fontId="49" fillId="35" borderId="0" xfId="155" applyFont="1" applyFill="1" applyAlignment="1">
      <alignment horizontal="center"/>
    </xf>
    <xf numFmtId="0" fontId="68" fillId="35" borderId="0" xfId="155" applyFont="1" applyFill="1" applyAlignment="1">
      <alignment horizontal="center"/>
    </xf>
    <xf numFmtId="0" fontId="26" fillId="35" borderId="0" xfId="155" applyFill="1"/>
    <xf numFmtId="168" fontId="26" fillId="35" borderId="0" xfId="155" applyNumberFormat="1" applyFill="1"/>
    <xf numFmtId="168" fontId="26" fillId="35" borderId="0" xfId="158" applyNumberFormat="1" applyFont="1" applyFill="1"/>
    <xf numFmtId="168" fontId="49" fillId="35" borderId="73" xfId="155" applyNumberFormat="1" applyFont="1" applyFill="1" applyBorder="1"/>
    <xf numFmtId="168" fontId="55" fillId="34" borderId="0" xfId="158" applyNumberFormat="1" applyFont="1" applyFill="1"/>
    <xf numFmtId="168" fontId="26" fillId="0" borderId="71" xfId="158" applyNumberFormat="1" applyFont="1" applyFill="1" applyBorder="1"/>
    <xf numFmtId="168" fontId="49" fillId="0" borderId="0" xfId="158" applyNumberFormat="1" applyFont="1" applyFill="1" applyBorder="1"/>
    <xf numFmtId="0" fontId="67" fillId="34" borderId="0" xfId="155" applyFont="1" applyFill="1" applyBorder="1" applyAlignment="1">
      <alignment horizontal="center"/>
    </xf>
    <xf numFmtId="0" fontId="69" fillId="34" borderId="0" xfId="155" applyFont="1" applyFill="1" applyBorder="1" applyAlignment="1">
      <alignment horizontal="center"/>
    </xf>
    <xf numFmtId="168" fontId="47" fillId="34" borderId="0" xfId="155" applyNumberFormat="1" applyFont="1" applyFill="1"/>
    <xf numFmtId="168" fontId="67" fillId="34" borderId="73" xfId="155" applyNumberFormat="1" applyFont="1" applyFill="1" applyBorder="1"/>
    <xf numFmtId="10" fontId="0" fillId="36" borderId="42" xfId="0" applyNumberFormat="1" applyFill="1" applyBorder="1"/>
    <xf numFmtId="0" fontId="0" fillId="0" borderId="19" xfId="0" quotePrefix="1" applyBorder="1"/>
    <xf numFmtId="0" fontId="0" fillId="37" borderId="42" xfId="0" applyFill="1" applyBorder="1"/>
    <xf numFmtId="0" fontId="57" fillId="37" borderId="31" xfId="0" applyFont="1" applyFill="1" applyBorder="1" applyAlignment="1">
      <alignment horizontal="center" wrapText="1"/>
    </xf>
    <xf numFmtId="0" fontId="0" fillId="0" borderId="0" xfId="0" applyAlignment="1">
      <alignment horizontal="left"/>
    </xf>
    <xf numFmtId="0" fontId="51" fillId="0" borderId="0" xfId="29" applyFont="1" applyAlignment="1">
      <alignment horizontal="center"/>
    </xf>
    <xf numFmtId="168" fontId="26" fillId="0" borderId="35" xfId="158" applyNumberFormat="1" applyFont="1" applyFill="1" applyBorder="1"/>
    <xf numFmtId="168" fontId="26" fillId="0" borderId="0" xfId="158" applyNumberFormat="1" applyFont="1" applyFill="1" applyBorder="1"/>
    <xf numFmtId="0" fontId="25" fillId="0" borderId="0" xfId="159"/>
    <xf numFmtId="0" fontId="25" fillId="0" borderId="0" xfId="159" applyFill="1"/>
    <xf numFmtId="0" fontId="25" fillId="0" borderId="0" xfId="159" applyFill="1" applyAlignment="1" applyProtection="1">
      <alignment wrapText="1"/>
      <protection locked="0"/>
    </xf>
    <xf numFmtId="0" fontId="31" fillId="0" borderId="0" xfId="159" applyFont="1"/>
    <xf numFmtId="0" fontId="29" fillId="0" borderId="0" xfId="159" applyFont="1" applyAlignment="1">
      <alignment horizontal="center"/>
    </xf>
    <xf numFmtId="0" fontId="72" fillId="0" borderId="0" xfId="159" applyFont="1"/>
    <xf numFmtId="0" fontId="29" fillId="0" borderId="44" xfId="159" applyFont="1" applyBorder="1" applyAlignment="1">
      <alignment horizontal="center"/>
    </xf>
    <xf numFmtId="0" fontId="25" fillId="0" borderId="0" xfId="159" applyFill="1" applyAlignment="1"/>
    <xf numFmtId="0" fontId="29" fillId="0" borderId="0" xfId="159" applyFont="1" applyAlignment="1">
      <alignment horizontal="left" indent="1"/>
    </xf>
    <xf numFmtId="169" fontId="29" fillId="0" borderId="70" xfId="159" applyNumberFormat="1" applyFont="1" applyBorder="1"/>
    <xf numFmtId="0" fontId="70" fillId="0" borderId="0" xfId="159" applyFont="1" applyFill="1" applyBorder="1" applyAlignment="1">
      <alignment horizontal="left"/>
    </xf>
    <xf numFmtId="168" fontId="70" fillId="0" borderId="0" xfId="159" applyNumberFormat="1" applyFont="1" applyFill="1" applyBorder="1" applyAlignment="1"/>
    <xf numFmtId="0" fontId="73" fillId="0" borderId="0" xfId="159" applyFont="1" applyAlignment="1">
      <alignment horizontal="center" wrapText="1"/>
    </xf>
    <xf numFmtId="0" fontId="73" fillId="0" borderId="0" xfId="159" applyFont="1" applyAlignment="1">
      <alignment horizontal="center"/>
    </xf>
    <xf numFmtId="0" fontId="71" fillId="0" borderId="0" xfId="159" applyFont="1" applyAlignment="1">
      <alignment horizontal="center" vertical="top"/>
    </xf>
    <xf numFmtId="0" fontId="31" fillId="0" borderId="0" xfId="159" applyFont="1" applyAlignment="1">
      <alignment horizontal="center"/>
    </xf>
    <xf numFmtId="0" fontId="31" fillId="0" borderId="44" xfId="159" applyFont="1" applyBorder="1" applyAlignment="1">
      <alignment horizontal="center"/>
    </xf>
    <xf numFmtId="169" fontId="31" fillId="0" borderId="70" xfId="159" applyNumberFormat="1" applyFont="1" applyBorder="1"/>
    <xf numFmtId="0" fontId="24" fillId="34" borderId="0" xfId="155" applyFont="1" applyFill="1" applyProtection="1">
      <protection locked="0"/>
    </xf>
    <xf numFmtId="0" fontId="23" fillId="35" borderId="0" xfId="155" applyFont="1" applyFill="1"/>
    <xf numFmtId="43" fontId="54" fillId="0" borderId="0" xfId="0" applyNumberFormat="1" applyFont="1" applyBorder="1"/>
    <xf numFmtId="43" fontId="54" fillId="0" borderId="57" xfId="0" applyNumberFormat="1" applyFont="1" applyBorder="1"/>
    <xf numFmtId="0" fontId="31" fillId="0" borderId="54" xfId="29" applyBorder="1"/>
    <xf numFmtId="0" fontId="31" fillId="0" borderId="0" xfId="32" applyFont="1" applyFill="1" applyBorder="1"/>
    <xf numFmtId="0" fontId="31" fillId="0" borderId="0" xfId="32" applyFont="1" applyFill="1" applyBorder="1" applyAlignment="1">
      <alignment horizontal="center"/>
    </xf>
    <xf numFmtId="0" fontId="31" fillId="0" borderId="0" xfId="0" applyFont="1" applyFill="1" applyBorder="1" applyAlignment="1">
      <alignment horizontal="left"/>
    </xf>
    <xf numFmtId="0" fontId="31" fillId="0" borderId="0" xfId="31" applyFont="1" applyFill="1" applyBorder="1"/>
    <xf numFmtId="0" fontId="31" fillId="0" borderId="0" xfId="31" applyFont="1" applyFill="1" applyBorder="1" applyAlignment="1">
      <alignment horizontal="center"/>
    </xf>
    <xf numFmtId="0" fontId="31" fillId="0" borderId="0" xfId="41" applyFont="1" applyFill="1" applyBorder="1"/>
    <xf numFmtId="0" fontId="23" fillId="34" borderId="0" xfId="155" applyFont="1" applyFill="1" applyProtection="1">
      <protection locked="0"/>
    </xf>
    <xf numFmtId="0" fontId="31" fillId="0" borderId="75" xfId="0" applyFont="1" applyBorder="1"/>
    <xf numFmtId="0" fontId="51" fillId="0" borderId="75" xfId="29" applyFont="1" applyBorder="1"/>
    <xf numFmtId="0" fontId="31" fillId="0" borderId="75" xfId="29" applyBorder="1"/>
    <xf numFmtId="0" fontId="31" fillId="0" borderId="76" xfId="29" applyBorder="1"/>
    <xf numFmtId="0" fontId="51" fillId="0" borderId="76" xfId="29" applyFont="1" applyBorder="1"/>
    <xf numFmtId="43" fontId="74" fillId="0" borderId="76" xfId="0" applyNumberFormat="1" applyFont="1" applyBorder="1"/>
    <xf numFmtId="0" fontId="31" fillId="0" borderId="67" xfId="29" applyBorder="1" applyAlignment="1">
      <alignment horizontal="center"/>
    </xf>
    <xf numFmtId="0" fontId="31" fillId="0" borderId="48" xfId="29" applyBorder="1" applyAlignment="1">
      <alignment horizontal="center"/>
    </xf>
    <xf numFmtId="0" fontId="31" fillId="0" borderId="67" xfId="29" quotePrefix="1" applyBorder="1" applyAlignment="1">
      <alignment horizontal="center"/>
    </xf>
    <xf numFmtId="43" fontId="31" fillId="0" borderId="49" xfId="29" applyNumberFormat="1" applyBorder="1"/>
    <xf numFmtId="43" fontId="31" fillId="0" borderId="50" xfId="29" applyNumberFormat="1" applyBorder="1"/>
    <xf numFmtId="43" fontId="31" fillId="0" borderId="68" xfId="29" applyNumberFormat="1" applyBorder="1"/>
    <xf numFmtId="43" fontId="31" fillId="0" borderId="69" xfId="29" applyNumberFormat="1" applyBorder="1"/>
    <xf numFmtId="44" fontId="58" fillId="0" borderId="52" xfId="0" applyNumberFormat="1" applyFont="1" applyBorder="1"/>
    <xf numFmtId="43" fontId="34" fillId="0" borderId="0" xfId="0" applyNumberFormat="1" applyFont="1" applyBorder="1"/>
    <xf numFmtId="43" fontId="31" fillId="0" borderId="76" xfId="29" applyNumberFormat="1" applyBorder="1"/>
    <xf numFmtId="0" fontId="26" fillId="0" borderId="0" xfId="155" applyBorder="1"/>
    <xf numFmtId="0" fontId="49" fillId="0" borderId="0" xfId="155" applyFont="1" applyBorder="1"/>
    <xf numFmtId="0" fontId="65" fillId="0" borderId="0" xfId="155" applyFont="1" applyBorder="1" applyAlignment="1">
      <alignment wrapText="1"/>
    </xf>
    <xf numFmtId="0" fontId="66" fillId="0" borderId="0" xfId="155" applyFont="1" applyBorder="1" applyAlignment="1">
      <alignment horizontal="center"/>
    </xf>
    <xf numFmtId="0" fontId="26" fillId="0" borderId="0" xfId="155" applyFill="1" applyBorder="1" applyAlignment="1"/>
    <xf numFmtId="168" fontId="26" fillId="0" borderId="0" xfId="155" applyNumberFormat="1" applyBorder="1"/>
    <xf numFmtId="168" fontId="49" fillId="0" borderId="0" xfId="155" applyNumberFormat="1" applyFont="1" applyBorder="1"/>
    <xf numFmtId="0" fontId="23" fillId="0" borderId="0" xfId="155" applyFont="1"/>
    <xf numFmtId="43" fontId="29" fillId="0" borderId="20" xfId="0" applyNumberFormat="1" applyFont="1" applyBorder="1"/>
    <xf numFmtId="43" fontId="29" fillId="0" borderId="19" xfId="0" applyNumberFormat="1" applyFont="1" applyBorder="1"/>
    <xf numFmtId="43" fontId="29" fillId="0" borderId="4" xfId="0" applyNumberFormat="1" applyFont="1" applyBorder="1"/>
    <xf numFmtId="43" fontId="29" fillId="0" borderId="35" xfId="0" applyNumberFormat="1" applyFont="1" applyBorder="1"/>
    <xf numFmtId="43" fontId="29" fillId="0" borderId="39" xfId="0" applyNumberFormat="1" applyFont="1" applyBorder="1"/>
    <xf numFmtId="0" fontId="51" fillId="0" borderId="0" xfId="29" applyFont="1" applyAlignment="1">
      <alignment horizontal="left"/>
    </xf>
    <xf numFmtId="0" fontId="51" fillId="0" borderId="0" xfId="29" applyFont="1" applyBorder="1" applyAlignment="1">
      <alignment horizontal="left"/>
    </xf>
    <xf numFmtId="0" fontId="31" fillId="0" borderId="0" xfId="29" applyAlignment="1">
      <alignment horizontal="left"/>
    </xf>
    <xf numFmtId="0" fontId="57" fillId="0" borderId="26" xfId="0" applyFont="1" applyBorder="1" applyAlignment="1">
      <alignment horizontal="center"/>
    </xf>
    <xf numFmtId="0" fontId="57" fillId="0" borderId="27" xfId="0" applyFont="1" applyBorder="1" applyAlignment="1">
      <alignment horizontal="center"/>
    </xf>
    <xf numFmtId="0" fontId="0" fillId="0" borderId="4" xfId="0" applyBorder="1"/>
    <xf numFmtId="0" fontId="31" fillId="0" borderId="30" xfId="0" quotePrefix="1" applyFont="1" applyBorder="1" applyAlignment="1">
      <alignment horizontal="center"/>
    </xf>
    <xf numFmtId="0" fontId="31" fillId="0" borderId="31" xfId="0" quotePrefix="1" applyFont="1" applyBorder="1" applyAlignment="1">
      <alignment horizontal="center"/>
    </xf>
    <xf numFmtId="43" fontId="31" fillId="0" borderId="4" xfId="0" applyNumberFormat="1" applyFont="1" applyBorder="1"/>
    <xf numFmtId="43" fontId="31" fillId="0" borderId="20" xfId="0" applyNumberFormat="1" applyFont="1" applyBorder="1"/>
    <xf numFmtId="43" fontId="31" fillId="0" borderId="31" xfId="0" quotePrefix="1" applyNumberFormat="1" applyFont="1" applyBorder="1" applyAlignment="1">
      <alignment horizontal="center"/>
    </xf>
    <xf numFmtId="43" fontId="31" fillId="0" borderId="32" xfId="0" quotePrefix="1" applyNumberFormat="1" applyFont="1" applyBorder="1" applyAlignment="1">
      <alignment horizontal="center"/>
    </xf>
    <xf numFmtId="0" fontId="51" fillId="38" borderId="0" xfId="29" applyFont="1" applyFill="1"/>
    <xf numFmtId="43" fontId="0" fillId="0" borderId="19" xfId="0" applyNumberFormat="1" applyFill="1" applyBorder="1"/>
    <xf numFmtId="43" fontId="0" fillId="0" borderId="4" xfId="0" applyNumberFormat="1" applyFill="1" applyBorder="1"/>
    <xf numFmtId="43" fontId="0" fillId="0" borderId="20" xfId="0" applyNumberFormat="1" applyFill="1" applyBorder="1"/>
    <xf numFmtId="43" fontId="0" fillId="0" borderId="35" xfId="0" applyNumberFormat="1" applyFill="1" applyBorder="1"/>
    <xf numFmtId="0" fontId="0" fillId="0" borderId="19" xfId="0" applyFill="1" applyBorder="1" applyAlignment="1">
      <alignment horizontal="center"/>
    </xf>
    <xf numFmtId="0" fontId="31" fillId="0" borderId="19" xfId="0" applyFont="1" applyFill="1" applyBorder="1" applyAlignment="1">
      <alignment horizontal="center"/>
    </xf>
    <xf numFmtId="43" fontId="31" fillId="0" borderId="4" xfId="0" applyNumberFormat="1" applyFont="1" applyFill="1" applyBorder="1"/>
    <xf numFmtId="0" fontId="0" fillId="0" borderId="4" xfId="0" applyFill="1" applyBorder="1" applyAlignment="1">
      <alignment horizontal="center"/>
    </xf>
    <xf numFmtId="0" fontId="31" fillId="0" borderId="4" xfId="0" applyFont="1" applyFill="1" applyBorder="1" applyAlignment="1">
      <alignment horizontal="center"/>
    </xf>
    <xf numFmtId="0" fontId="0" fillId="0" borderId="19" xfId="0" applyBorder="1" applyAlignment="1">
      <alignment horizontal="center"/>
    </xf>
    <xf numFmtId="0" fontId="0" fillId="0" borderId="4" xfId="0" applyBorder="1" applyAlignment="1">
      <alignment horizontal="center"/>
    </xf>
    <xf numFmtId="0" fontId="31" fillId="0" borderId="19" xfId="0" applyFont="1" applyBorder="1" applyAlignment="1">
      <alignment horizontal="center"/>
    </xf>
    <xf numFmtId="0" fontId="31" fillId="0" borderId="4" xfId="0" applyFont="1" applyBorder="1" applyAlignment="1">
      <alignment horizontal="center"/>
    </xf>
    <xf numFmtId="43" fontId="0" fillId="0" borderId="4" xfId="0" applyNumberFormat="1" applyFill="1" applyBorder="1" applyAlignment="1">
      <alignment horizontal="center"/>
    </xf>
    <xf numFmtId="0" fontId="31" fillId="0" borderId="19" xfId="0" quotePrefix="1" applyFont="1" applyBorder="1"/>
    <xf numFmtId="0" fontId="30" fillId="33" borderId="72" xfId="0" applyFont="1" applyFill="1" applyBorder="1" applyAlignment="1">
      <alignment horizontal="center" wrapText="1"/>
    </xf>
    <xf numFmtId="0" fontId="30" fillId="33" borderId="74" xfId="0" applyFont="1" applyFill="1" applyBorder="1" applyAlignment="1">
      <alignment horizontal="center" wrapText="1"/>
    </xf>
    <xf numFmtId="41" fontId="31" fillId="0" borderId="35" xfId="0" applyNumberFormat="1" applyFont="1" applyFill="1" applyBorder="1"/>
    <xf numFmtId="41" fontId="31" fillId="0" borderId="71" xfId="0" applyNumberFormat="1" applyFont="1" applyFill="1" applyBorder="1"/>
    <xf numFmtId="41" fontId="31" fillId="0" borderId="36" xfId="0" applyNumberFormat="1" applyFont="1" applyBorder="1"/>
    <xf numFmtId="41" fontId="31" fillId="0" borderId="77" xfId="0" applyNumberFormat="1" applyFont="1" applyBorder="1"/>
    <xf numFmtId="41" fontId="31" fillId="0" borderId="35" xfId="0" applyNumberFormat="1" applyFont="1" applyBorder="1"/>
    <xf numFmtId="41" fontId="31" fillId="0" borderId="71" xfId="0" applyNumberFormat="1" applyFont="1" applyBorder="1"/>
    <xf numFmtId="41" fontId="31" fillId="0" borderId="59" xfId="0" applyNumberFormat="1" applyFont="1" applyBorder="1"/>
    <xf numFmtId="41" fontId="31" fillId="0" borderId="60" xfId="0" applyNumberFormat="1" applyFont="1" applyBorder="1"/>
    <xf numFmtId="41" fontId="31" fillId="0" borderId="78" xfId="0" applyNumberFormat="1" applyFont="1" applyBorder="1"/>
    <xf numFmtId="41" fontId="31" fillId="0" borderId="79" xfId="0" applyNumberFormat="1" applyFont="1" applyBorder="1"/>
    <xf numFmtId="0" fontId="29" fillId="0" borderId="61" xfId="0" applyFont="1" applyBorder="1"/>
    <xf numFmtId="41" fontId="31" fillId="0" borderId="35" xfId="29" applyNumberFormat="1" applyFont="1" applyFill="1" applyBorder="1"/>
    <xf numFmtId="0" fontId="30" fillId="33" borderId="75" xfId="0" applyFont="1" applyFill="1" applyBorder="1" applyAlignment="1">
      <alignment horizontal="center" wrapText="1"/>
    </xf>
    <xf numFmtId="41" fontId="31" fillId="0" borderId="0" xfId="0" applyNumberFormat="1" applyFont="1" applyFill="1" applyBorder="1"/>
    <xf numFmtId="41" fontId="31" fillId="0" borderId="0" xfId="0" applyNumberFormat="1" applyFont="1" applyBorder="1"/>
    <xf numFmtId="0" fontId="30" fillId="33" borderId="24" xfId="0" applyFont="1" applyFill="1" applyBorder="1" applyAlignment="1">
      <alignment horizontal="center" wrapText="1"/>
    </xf>
    <xf numFmtId="0" fontId="30" fillId="33" borderId="80" xfId="0" applyFont="1" applyFill="1" applyBorder="1" applyAlignment="1">
      <alignment horizontal="center" wrapText="1"/>
    </xf>
    <xf numFmtId="41" fontId="31" fillId="0" borderId="81" xfId="0" applyNumberFormat="1" applyFont="1" applyBorder="1"/>
    <xf numFmtId="41" fontId="31" fillId="0" borderId="29" xfId="0" applyNumberFormat="1" applyFont="1" applyBorder="1"/>
    <xf numFmtId="41" fontId="31" fillId="0" borderId="82" xfId="0" applyNumberFormat="1" applyFont="1" applyBorder="1"/>
    <xf numFmtId="41" fontId="31" fillId="0" borderId="2" xfId="0" applyNumberFormat="1" applyFont="1" applyBorder="1"/>
    <xf numFmtId="41" fontId="31" fillId="0" borderId="83" xfId="0" applyNumberFormat="1" applyFont="1" applyBorder="1"/>
    <xf numFmtId="41" fontId="31" fillId="0" borderId="84" xfId="0" applyNumberFormat="1" applyFont="1" applyBorder="1"/>
    <xf numFmtId="41" fontId="31" fillId="0" borderId="85" xfId="0" applyNumberFormat="1" applyFont="1" applyBorder="1"/>
    <xf numFmtId="41" fontId="31" fillId="0" borderId="86" xfId="0" applyNumberFormat="1" applyFont="1" applyBorder="1"/>
    <xf numFmtId="41" fontId="31" fillId="0" borderId="71" xfId="29" applyNumberFormat="1" applyFont="1" applyFill="1" applyBorder="1"/>
    <xf numFmtId="17" fontId="0" fillId="0" borderId="4" xfId="0" applyNumberFormat="1" applyFill="1" applyBorder="1" applyAlignment="1">
      <alignment horizontal="center"/>
    </xf>
    <xf numFmtId="0" fontId="22" fillId="34" borderId="0" xfId="155" applyFont="1" applyFill="1" applyProtection="1">
      <protection locked="0"/>
    </xf>
    <xf numFmtId="1" fontId="31" fillId="0" borderId="0" xfId="0" quotePrefix="1" applyNumberFormat="1" applyFont="1"/>
    <xf numFmtId="43" fontId="0" fillId="0" borderId="60" xfId="0" applyNumberFormat="1" applyBorder="1"/>
    <xf numFmtId="43" fontId="0" fillId="0" borderId="50" xfId="0" applyNumberFormat="1" applyBorder="1"/>
    <xf numFmtId="0" fontId="51" fillId="0" borderId="0" xfId="29" applyFont="1" applyBorder="1" applyAlignment="1">
      <alignment horizontal="center"/>
    </xf>
    <xf numFmtId="43" fontId="31" fillId="0" borderId="68" xfId="1" applyBorder="1"/>
    <xf numFmtId="43" fontId="31" fillId="0" borderId="49" xfId="1" applyBorder="1"/>
    <xf numFmtId="0" fontId="75" fillId="0" borderId="68" xfId="0" applyFont="1" applyBorder="1"/>
    <xf numFmtId="0" fontId="75" fillId="0" borderId="68" xfId="29" applyFont="1" applyBorder="1"/>
    <xf numFmtId="0" fontId="75" fillId="0" borderId="49" xfId="0" applyFont="1" applyBorder="1"/>
    <xf numFmtId="0" fontId="75" fillId="0" borderId="49" xfId="29" applyFont="1" applyBorder="1"/>
    <xf numFmtId="0" fontId="31" fillId="0" borderId="45" xfId="0" applyFont="1" applyBorder="1"/>
    <xf numFmtId="0" fontId="51" fillId="0" borderId="45" xfId="29" applyFont="1" applyBorder="1"/>
    <xf numFmtId="0" fontId="31" fillId="0" borderId="45" xfId="29" applyBorder="1"/>
    <xf numFmtId="0" fontId="31" fillId="0" borderId="72" xfId="29" applyBorder="1" applyAlignment="1">
      <alignment horizontal="center"/>
    </xf>
    <xf numFmtId="0" fontId="31" fillId="0" borderId="36" xfId="29" applyBorder="1" applyAlignment="1">
      <alignment horizontal="center"/>
    </xf>
    <xf numFmtId="43" fontId="31" fillId="0" borderId="75" xfId="29" applyNumberFormat="1" applyBorder="1"/>
    <xf numFmtId="43" fontId="31" fillId="0" borderId="45" xfId="29" applyNumberFormat="1" applyBorder="1"/>
    <xf numFmtId="41" fontId="31" fillId="0" borderId="2" xfId="0" applyNumberFormat="1" applyFont="1" applyFill="1" applyBorder="1"/>
    <xf numFmtId="10" fontId="0" fillId="37" borderId="43" xfId="0" applyNumberFormat="1" applyFill="1" applyBorder="1"/>
    <xf numFmtId="49" fontId="29" fillId="0" borderId="49" xfId="0" applyNumberFormat="1" applyFont="1" applyBorder="1"/>
    <xf numFmtId="49" fontId="29" fillId="0" borderId="49" xfId="0" applyNumberFormat="1" applyFont="1" applyBorder="1" applyAlignment="1">
      <alignment horizontal="center"/>
    </xf>
    <xf numFmtId="4" fontId="29" fillId="0" borderId="49" xfId="1" applyNumberFormat="1" applyFont="1" applyBorder="1" applyAlignment="1">
      <alignment horizontal="center"/>
    </xf>
    <xf numFmtId="171" fontId="29" fillId="0" borderId="49" xfId="0" applyNumberFormat="1" applyFont="1" applyBorder="1" applyAlignment="1">
      <alignment horizontal="center"/>
    </xf>
    <xf numFmtId="12" fontId="29" fillId="0" borderId="49" xfId="0" applyNumberFormat="1" applyFont="1" applyBorder="1" applyAlignment="1">
      <alignment horizontal="center" wrapText="1"/>
    </xf>
    <xf numFmtId="172" fontId="29" fillId="0" borderId="49" xfId="1" applyNumberFormat="1" applyFont="1" applyBorder="1" applyAlignment="1">
      <alignment horizontal="center"/>
    </xf>
    <xf numFmtId="0" fontId="0" fillId="0" borderId="49" xfId="0" quotePrefix="1" applyNumberFormat="1" applyBorder="1"/>
    <xf numFmtId="0" fontId="0" fillId="0" borderId="49" xfId="0" applyNumberFormat="1" applyFill="1" applyBorder="1" applyAlignment="1" applyProtection="1"/>
    <xf numFmtId="4" fontId="0" fillId="0" borderId="49" xfId="0" applyNumberFormat="1" applyBorder="1"/>
    <xf numFmtId="10" fontId="0" fillId="0" borderId="49" xfId="0" quotePrefix="1" applyNumberFormat="1" applyBorder="1"/>
    <xf numFmtId="0" fontId="0" fillId="0" borderId="49" xfId="0" applyBorder="1" applyAlignment="1">
      <alignment horizontal="center"/>
    </xf>
    <xf numFmtId="172" fontId="31" fillId="0" borderId="49" xfId="1" applyNumberFormat="1" applyFont="1" applyBorder="1"/>
    <xf numFmtId="0" fontId="31" fillId="0" borderId="68" xfId="0" applyNumberFormat="1" applyFont="1" applyBorder="1" applyAlignment="1">
      <alignment horizontal="left"/>
    </xf>
    <xf numFmtId="0" fontId="31" fillId="0" borderId="68" xfId="0" applyNumberFormat="1" applyFont="1" applyBorder="1"/>
    <xf numFmtId="4" fontId="31" fillId="0" borderId="68" xfId="0" applyNumberFormat="1" applyFont="1" applyBorder="1" applyAlignment="1">
      <alignment horizontal="right"/>
    </xf>
    <xf numFmtId="171" fontId="31" fillId="0" borderId="68" xfId="0" applyNumberFormat="1" applyFont="1" applyBorder="1" applyAlignment="1">
      <alignment horizontal="center"/>
    </xf>
    <xf numFmtId="0" fontId="31" fillId="0" borderId="68" xfId="0" applyFont="1" applyBorder="1" applyAlignment="1">
      <alignment horizontal="center"/>
    </xf>
    <xf numFmtId="172" fontId="29" fillId="0" borderId="68" xfId="1" applyNumberFormat="1" applyFont="1" applyBorder="1"/>
    <xf numFmtId="43" fontId="57" fillId="37" borderId="23" xfId="0" applyNumberFormat="1" applyFont="1" applyFill="1" applyBorder="1" applyAlignment="1">
      <alignment horizontal="center" wrapText="1"/>
    </xf>
    <xf numFmtId="0" fontId="51" fillId="0" borderId="0" xfId="29" applyFont="1" applyAlignment="1">
      <alignment horizontal="left"/>
    </xf>
    <xf numFmtId="0" fontId="51" fillId="38" borderId="0" xfId="29" applyFont="1" applyFill="1"/>
    <xf numFmtId="41" fontId="31" fillId="0" borderId="68" xfId="29" applyNumberFormat="1" applyBorder="1"/>
    <xf numFmtId="0" fontId="51" fillId="0" borderId="0" xfId="29" applyFont="1" applyFill="1" applyBorder="1" applyAlignment="1">
      <alignment horizontal="center"/>
    </xf>
    <xf numFmtId="43" fontId="31" fillId="0" borderId="49" xfId="29" applyNumberFormat="1" applyBorder="1"/>
    <xf numFmtId="43" fontId="31" fillId="0" borderId="68" xfId="29" applyNumberFormat="1" applyBorder="1"/>
    <xf numFmtId="0" fontId="51" fillId="0" borderId="0" xfId="29" applyFont="1" applyAlignment="1">
      <alignment horizontal="left"/>
    </xf>
    <xf numFmtId="43" fontId="51" fillId="0" borderId="0" xfId="1" applyNumberFormat="1" applyFont="1" applyFill="1"/>
    <xf numFmtId="0" fontId="51" fillId="0" borderId="0" xfId="29" applyFont="1" applyBorder="1" applyAlignment="1">
      <alignment horizontal="left"/>
    </xf>
    <xf numFmtId="0" fontId="51" fillId="0" borderId="0" xfId="29" applyFont="1" applyAlignment="1">
      <alignment horizontal="left"/>
    </xf>
    <xf numFmtId="43" fontId="74" fillId="0" borderId="76" xfId="29" applyNumberFormat="1" applyFont="1" applyBorder="1"/>
    <xf numFmtId="0" fontId="74" fillId="0" borderId="76" xfId="29" applyFont="1" applyBorder="1"/>
    <xf numFmtId="0" fontId="76" fillId="0" borderId="76" xfId="29" applyFont="1" applyBorder="1"/>
    <xf numFmtId="41" fontId="31" fillId="0" borderId="49" xfId="29" applyNumberFormat="1" applyBorder="1"/>
    <xf numFmtId="41" fontId="74" fillId="0" borderId="76" xfId="29" applyNumberFormat="1" applyFont="1" applyBorder="1"/>
    <xf numFmtId="0" fontId="51" fillId="0" borderId="0" xfId="29" applyFont="1" applyAlignment="1">
      <alignment horizontal="left"/>
    </xf>
    <xf numFmtId="0" fontId="0" fillId="0" borderId="0" xfId="0"/>
    <xf numFmtId="0" fontId="31" fillId="0" borderId="0" xfId="0" applyFont="1"/>
    <xf numFmtId="0" fontId="29" fillId="0" borderId="0" xfId="0" applyFont="1"/>
    <xf numFmtId="0" fontId="51" fillId="0" borderId="0" xfId="29" applyFont="1" applyAlignment="1">
      <alignment horizontal="left"/>
    </xf>
    <xf numFmtId="0" fontId="51" fillId="0" borderId="0" xfId="29" applyFont="1" applyAlignment="1">
      <alignment horizontal="left"/>
    </xf>
    <xf numFmtId="44" fontId="26" fillId="0" borderId="0" xfId="155" applyNumberFormat="1"/>
    <xf numFmtId="0" fontId="47" fillId="0" borderId="76" xfId="155" applyFont="1" applyBorder="1" applyAlignment="1">
      <alignment horizontal="right"/>
    </xf>
    <xf numFmtId="168" fontId="47" fillId="0" borderId="76" xfId="155" applyNumberFormat="1" applyFont="1" applyBorder="1"/>
    <xf numFmtId="0" fontId="68" fillId="0" borderId="0" xfId="155" applyFont="1" applyFill="1" applyBorder="1" applyAlignment="1">
      <alignment horizontal="center"/>
    </xf>
    <xf numFmtId="0" fontId="49" fillId="0" borderId="0" xfId="155" applyFont="1" applyFill="1"/>
    <xf numFmtId="168" fontId="49" fillId="0" borderId="0" xfId="155" applyNumberFormat="1" applyFont="1" applyFill="1"/>
    <xf numFmtId="0" fontId="49" fillId="0" borderId="0" xfId="155" applyFont="1" applyFill="1" applyAlignment="1">
      <alignment horizontal="center"/>
    </xf>
    <xf numFmtId="0" fontId="68" fillId="0" borderId="0" xfId="155" applyFont="1" applyFill="1" applyAlignment="1">
      <alignment horizontal="center"/>
    </xf>
    <xf numFmtId="168" fontId="26" fillId="0" borderId="0" xfId="155" applyNumberFormat="1" applyFill="1"/>
    <xf numFmtId="0" fontId="23" fillId="0" borderId="0" xfId="155" applyFont="1" applyFill="1"/>
    <xf numFmtId="168" fontId="49" fillId="0" borderId="73" xfId="155" applyNumberFormat="1" applyFont="1" applyFill="1" applyBorder="1"/>
    <xf numFmtId="43" fontId="0" fillId="0" borderId="20" xfId="0" applyNumberFormat="1" applyBorder="1"/>
    <xf numFmtId="43" fontId="31" fillId="0" borderId="20" xfId="0" applyNumberFormat="1" applyFont="1" applyBorder="1"/>
    <xf numFmtId="43" fontId="0" fillId="0" borderId="4" xfId="0" applyNumberFormat="1" applyFill="1" applyBorder="1"/>
    <xf numFmtId="43" fontId="31" fillId="0" borderId="4" xfId="0" applyNumberFormat="1" applyFont="1" applyFill="1" applyBorder="1"/>
    <xf numFmtId="0" fontId="0" fillId="0" borderId="0" xfId="0"/>
    <xf numFmtId="43" fontId="0" fillId="0" borderId="20" xfId="0" applyNumberFormat="1" applyBorder="1"/>
    <xf numFmtId="43" fontId="0" fillId="0" borderId="39" xfId="0" applyNumberFormat="1" applyBorder="1"/>
    <xf numFmtId="43" fontId="0" fillId="0" borderId="20" xfId="0" applyNumberFormat="1" applyBorder="1"/>
    <xf numFmtId="43" fontId="0" fillId="0" borderId="20" xfId="0" applyNumberFormat="1" applyBorder="1"/>
    <xf numFmtId="43" fontId="0" fillId="0" borderId="39" xfId="0" applyNumberFormat="1" applyBorder="1"/>
    <xf numFmtId="0" fontId="0" fillId="0" borderId="19" xfId="0" applyBorder="1"/>
    <xf numFmtId="0" fontId="31" fillId="0" borderId="19" xfId="0" applyFont="1" applyBorder="1"/>
    <xf numFmtId="0" fontId="31" fillId="0" borderId="0" xfId="0" applyFont="1" applyFill="1" applyBorder="1"/>
    <xf numFmtId="0" fontId="0" fillId="0" borderId="2" xfId="0" applyBorder="1"/>
    <xf numFmtId="0" fontId="31" fillId="0" borderId="0" xfId="0" applyFont="1" applyBorder="1"/>
    <xf numFmtId="43" fontId="0" fillId="0" borderId="4" xfId="0" applyNumberFormat="1" applyBorder="1"/>
    <xf numFmtId="0" fontId="0" fillId="0" borderId="0" xfId="0"/>
    <xf numFmtId="0" fontId="31" fillId="0" borderId="0" xfId="0" applyFont="1" applyFill="1" applyBorder="1"/>
    <xf numFmtId="0" fontId="0" fillId="0" borderId="2" xfId="0" applyBorder="1"/>
    <xf numFmtId="0" fontId="31" fillId="0" borderId="2" xfId="0" applyFont="1" applyBorder="1"/>
    <xf numFmtId="0" fontId="31" fillId="0" borderId="19" xfId="0" applyFont="1" applyBorder="1"/>
    <xf numFmtId="43" fontId="74" fillId="0" borderId="0" xfId="0" applyNumberFormat="1" applyFont="1"/>
    <xf numFmtId="43" fontId="0" fillId="0" borderId="20" xfId="0" applyNumberFormat="1" applyBorder="1"/>
    <xf numFmtId="43" fontId="0" fillId="0" borderId="39" xfId="0" applyNumberFormat="1" applyBorder="1"/>
    <xf numFmtId="43" fontId="0" fillId="0" borderId="20" xfId="0" applyNumberFormat="1" applyBorder="1"/>
    <xf numFmtId="43" fontId="31" fillId="0" borderId="20" xfId="0" applyNumberFormat="1" applyFont="1" applyBorder="1"/>
    <xf numFmtId="43" fontId="0" fillId="0" borderId="4" xfId="0" applyNumberFormat="1" applyFill="1" applyBorder="1"/>
    <xf numFmtId="43" fontId="31" fillId="0" borderId="4" xfId="0" applyNumberFormat="1" applyFont="1" applyFill="1" applyBorder="1"/>
    <xf numFmtId="43" fontId="0" fillId="0" borderId="4" xfId="0" applyNumberFormat="1" applyFill="1" applyBorder="1"/>
    <xf numFmtId="43" fontId="31" fillId="0" borderId="4" xfId="0" applyNumberFormat="1" applyFont="1" applyFill="1" applyBorder="1"/>
    <xf numFmtId="43" fontId="0" fillId="0" borderId="20" xfId="0" applyNumberFormat="1" applyBorder="1"/>
    <xf numFmtId="43" fontId="31" fillId="0" borderId="20" xfId="0" applyNumberFormat="1" applyFont="1" applyBorder="1"/>
    <xf numFmtId="43" fontId="0" fillId="0" borderId="4" xfId="0" applyNumberFormat="1" applyFill="1" applyBorder="1"/>
    <xf numFmtId="0" fontId="0" fillId="0" borderId="19" xfId="0" applyFill="1" applyBorder="1" applyAlignment="1">
      <alignment horizontal="center"/>
    </xf>
    <xf numFmtId="0" fontId="31" fillId="0" borderId="19" xfId="0" applyFont="1" applyFill="1" applyBorder="1" applyAlignment="1">
      <alignment horizontal="center"/>
    </xf>
    <xf numFmtId="43" fontId="31" fillId="0" borderId="4" xfId="0" applyNumberFormat="1" applyFont="1" applyFill="1" applyBorder="1"/>
    <xf numFmtId="43" fontId="0" fillId="0" borderId="4" xfId="0" applyNumberFormat="1" applyFill="1" applyBorder="1"/>
    <xf numFmtId="0" fontId="51" fillId="0" borderId="0" xfId="29" applyFont="1" applyAlignment="1">
      <alignment horizontal="left"/>
    </xf>
    <xf numFmtId="0" fontId="51" fillId="0" borderId="0" xfId="29" applyFont="1" applyAlignment="1">
      <alignment horizontal="left"/>
    </xf>
    <xf numFmtId="43" fontId="34" fillId="0" borderId="57" xfId="0" applyNumberFormat="1" applyFont="1" applyBorder="1"/>
    <xf numFmtId="43" fontId="34" fillId="0" borderId="58" xfId="0" applyNumberFormat="1" applyFont="1" applyBorder="1"/>
    <xf numFmtId="43" fontId="31" fillId="0" borderId="35" xfId="0" applyNumberFormat="1" applyFont="1" applyBorder="1"/>
    <xf numFmtId="43" fontId="31" fillId="0" borderId="4" xfId="0" applyNumberFormat="1" applyFont="1" applyFill="1" applyBorder="1" applyAlignment="1">
      <alignment horizontal="center"/>
    </xf>
    <xf numFmtId="43" fontId="31" fillId="0" borderId="20" xfId="0" applyNumberFormat="1" applyFont="1" applyFill="1" applyBorder="1"/>
    <xf numFmtId="0" fontId="0" fillId="0" borderId="0" xfId="0" applyFill="1" applyAlignment="1">
      <alignment horizontal="center"/>
    </xf>
    <xf numFmtId="0" fontId="51" fillId="0" borderId="0" xfId="29" applyFont="1" applyAlignment="1">
      <alignment horizontal="left"/>
    </xf>
    <xf numFmtId="0" fontId="31" fillId="0" borderId="0" xfId="29"/>
    <xf numFmtId="0" fontId="51" fillId="0" borderId="0" xfId="29" applyFont="1" applyAlignment="1">
      <alignment horizontal="left"/>
    </xf>
    <xf numFmtId="0" fontId="31" fillId="0" borderId="0" xfId="29"/>
    <xf numFmtId="0" fontId="51" fillId="0" borderId="0" xfId="29" applyFont="1" applyAlignment="1">
      <alignment horizontal="left"/>
    </xf>
    <xf numFmtId="0" fontId="0" fillId="0" borderId="0" xfId="0"/>
    <xf numFmtId="43" fontId="0" fillId="0" borderId="20" xfId="0" applyNumberFormat="1" applyBorder="1"/>
    <xf numFmtId="0" fontId="31" fillId="0" borderId="0" xfId="0" applyFont="1" applyFill="1" applyBorder="1"/>
    <xf numFmtId="0" fontId="0" fillId="0" borderId="2" xfId="0" applyBorder="1"/>
    <xf numFmtId="0" fontId="31" fillId="0" borderId="0" xfId="0" applyFont="1" applyBorder="1"/>
    <xf numFmtId="43" fontId="0" fillId="0" borderId="39" xfId="0" applyNumberFormat="1" applyBorder="1"/>
    <xf numFmtId="0" fontId="0" fillId="0" borderId="19" xfId="0" applyBorder="1"/>
    <xf numFmtId="0" fontId="31" fillId="0" borderId="2" xfId="0" applyFont="1" applyBorder="1"/>
    <xf numFmtId="0" fontId="51" fillId="0" borderId="0" xfId="29" applyFont="1" applyAlignment="1">
      <alignment horizontal="left"/>
    </xf>
    <xf numFmtId="43" fontId="0" fillId="0" borderId="4" xfId="0" applyNumberFormat="1" applyFill="1" applyBorder="1"/>
    <xf numFmtId="41" fontId="0" fillId="0" borderId="49" xfId="0" applyNumberFormat="1" applyBorder="1"/>
    <xf numFmtId="0" fontId="0" fillId="0" borderId="75" xfId="0" applyBorder="1"/>
    <xf numFmtId="41" fontId="31" fillId="0" borderId="75" xfId="29" applyNumberFormat="1" applyBorder="1"/>
    <xf numFmtId="0" fontId="74" fillId="0" borderId="88" xfId="29" applyFont="1" applyBorder="1" applyAlignment="1">
      <alignment horizontal="center"/>
    </xf>
    <xf numFmtId="0" fontId="74" fillId="0" borderId="76" xfId="0" applyFont="1" applyBorder="1"/>
    <xf numFmtId="0" fontId="74" fillId="0" borderId="0" xfId="29" applyFont="1"/>
    <xf numFmtId="0" fontId="79" fillId="0" borderId="88" xfId="29" applyFont="1" applyBorder="1" applyAlignment="1">
      <alignment horizontal="center"/>
    </xf>
    <xf numFmtId="0" fontId="79" fillId="0" borderId="76" xfId="0" applyFont="1" applyBorder="1"/>
    <xf numFmtId="0" fontId="79" fillId="0" borderId="76" xfId="29" applyFont="1" applyBorder="1"/>
    <xf numFmtId="43" fontId="79" fillId="0" borderId="76" xfId="29" applyNumberFormat="1" applyFont="1" applyBorder="1"/>
    <xf numFmtId="0" fontId="12" fillId="35" borderId="0" xfId="155" applyFont="1" applyFill="1"/>
    <xf numFmtId="43" fontId="51" fillId="0" borderId="0" xfId="1" applyNumberFormat="1" applyFont="1" applyFill="1"/>
    <xf numFmtId="44" fontId="80" fillId="0" borderId="53" xfId="0" applyNumberFormat="1" applyFont="1" applyBorder="1"/>
    <xf numFmtId="43" fontId="33" fillId="0" borderId="55" xfId="0" applyNumberFormat="1" applyFont="1" applyBorder="1"/>
    <xf numFmtId="43" fontId="33" fillId="0" borderId="58" xfId="0" applyNumberFormat="1" applyFont="1" applyBorder="1"/>
    <xf numFmtId="0" fontId="51" fillId="0" borderId="0" xfId="0" applyFont="1" applyFill="1" applyBorder="1" applyAlignment="1"/>
    <xf numFmtId="0" fontId="51" fillId="0" borderId="0" xfId="0" applyFont="1" applyFill="1" applyAlignment="1"/>
    <xf numFmtId="0" fontId="51" fillId="0" borderId="0" xfId="12" applyNumberFormat="1" applyFont="1" applyFill="1" applyAlignment="1"/>
    <xf numFmtId="44" fontId="51" fillId="0" borderId="0" xfId="12" applyFont="1" applyFill="1" applyAlignment="1">
      <alignment horizontal="center"/>
    </xf>
    <xf numFmtId="44" fontId="51" fillId="0" borderId="0" xfId="12" applyFont="1" applyFill="1" applyAlignment="1">
      <alignment horizontal="left"/>
    </xf>
    <xf numFmtId="166" fontId="51" fillId="0" borderId="0" xfId="0" applyNumberFormat="1" applyFont="1" applyFill="1" applyBorder="1" applyAlignment="1">
      <alignment horizontal="center"/>
    </xf>
    <xf numFmtId="44" fontId="51" fillId="0" borderId="0" xfId="12" applyFont="1" applyFill="1" applyAlignment="1">
      <alignment horizontal="right"/>
    </xf>
    <xf numFmtId="43" fontId="51" fillId="0" borderId="0" xfId="12" applyNumberFormat="1" applyFont="1" applyFill="1" applyAlignment="1">
      <alignment horizontal="right"/>
    </xf>
    <xf numFmtId="166" fontId="51" fillId="0" borderId="0" xfId="29" applyNumberFormat="1" applyFont="1" applyFill="1" applyBorder="1"/>
    <xf numFmtId="166" fontId="51" fillId="0" borderId="0" xfId="29" applyNumberFormat="1" applyFont="1" applyFill="1" applyBorder="1" applyAlignment="1">
      <alignment horizontal="center"/>
    </xf>
    <xf numFmtId="0" fontId="51" fillId="0" borderId="0" xfId="29" applyFont="1" applyFill="1" applyBorder="1"/>
    <xf numFmtId="0" fontId="51" fillId="0" borderId="0" xfId="0" applyFont="1" applyFill="1" applyBorder="1"/>
    <xf numFmtId="43" fontId="51" fillId="0" borderId="0" xfId="12" applyNumberFormat="1" applyFont="1" applyFill="1" applyAlignment="1">
      <alignment horizontal="center"/>
    </xf>
    <xf numFmtId="43" fontId="56" fillId="0" borderId="0" xfId="12" applyNumberFormat="1" applyFont="1" applyFill="1" applyAlignment="1">
      <alignment horizontal="right"/>
    </xf>
    <xf numFmtId="43" fontId="56" fillId="0" borderId="0" xfId="29" applyNumberFormat="1" applyFont="1" applyFill="1"/>
    <xf numFmtId="0" fontId="0" fillId="0" borderId="2" xfId="0" applyFill="1" applyBorder="1"/>
    <xf numFmtId="43" fontId="0" fillId="0" borderId="39" xfId="0" applyNumberFormat="1" applyFill="1" applyBorder="1"/>
    <xf numFmtId="9" fontId="0" fillId="0" borderId="4" xfId="0" applyNumberFormat="1" applyFill="1" applyBorder="1"/>
    <xf numFmtId="43" fontId="29" fillId="0" borderId="35" xfId="0" applyNumberFormat="1" applyFont="1" applyFill="1" applyBorder="1"/>
    <xf numFmtId="10" fontId="31" fillId="0" borderId="0" xfId="0" applyNumberFormat="1" applyFont="1"/>
    <xf numFmtId="10" fontId="31" fillId="0" borderId="45" xfId="2534" applyNumberFormat="1" applyFont="1" applyBorder="1"/>
    <xf numFmtId="10" fontId="0" fillId="0" borderId="0" xfId="0" applyNumberFormat="1"/>
    <xf numFmtId="10" fontId="31" fillId="0" borderId="18" xfId="0" applyNumberFormat="1" applyFont="1" applyBorder="1"/>
    <xf numFmtId="10" fontId="31" fillId="0" borderId="70" xfId="0" applyNumberFormat="1" applyFont="1" applyBorder="1"/>
    <xf numFmtId="14" fontId="31" fillId="0" borderId="2" xfId="0" applyNumberFormat="1" applyFont="1" applyBorder="1"/>
    <xf numFmtId="0" fontId="29" fillId="0" borderId="0" xfId="0" applyFont="1" applyBorder="1" applyAlignment="1">
      <alignment horizontal="center"/>
    </xf>
    <xf numFmtId="0" fontId="31" fillId="0" borderId="2" xfId="0" applyFont="1" applyFill="1" applyBorder="1"/>
    <xf numFmtId="43" fontId="31" fillId="0" borderId="19" xfId="29" applyNumberFormat="1" applyFill="1" applyBorder="1"/>
    <xf numFmtId="43" fontId="31" fillId="0" borderId="4" xfId="29" applyNumberFormat="1" applyFill="1" applyBorder="1"/>
    <xf numFmtId="0" fontId="66" fillId="0" borderId="0" xfId="155" applyFont="1" applyAlignment="1">
      <alignment horizontal="center"/>
    </xf>
    <xf numFmtId="38" fontId="0" fillId="36" borderId="0" xfId="0" applyNumberFormat="1" applyFill="1"/>
    <xf numFmtId="38" fontId="49" fillId="36" borderId="73" xfId="155" applyNumberFormat="1" applyFont="1" applyFill="1" applyBorder="1"/>
    <xf numFmtId="0" fontId="9" fillId="0" borderId="0" xfId="155" quotePrefix="1" applyFont="1"/>
    <xf numFmtId="14" fontId="49" fillId="0" borderId="35" xfId="155" applyNumberFormat="1" applyFont="1" applyBorder="1" applyAlignment="1">
      <alignment horizontal="center"/>
    </xf>
    <xf numFmtId="0" fontId="8" fillId="0" borderId="0" xfId="155" applyFont="1"/>
    <xf numFmtId="38" fontId="0" fillId="0" borderId="0" xfId="0" applyNumberFormat="1"/>
    <xf numFmtId="168" fontId="0" fillId="0" borderId="0" xfId="0" applyNumberFormat="1"/>
    <xf numFmtId="38" fontId="30" fillId="36" borderId="0" xfId="0" applyNumberFormat="1" applyFont="1" applyFill="1" applyAlignment="1">
      <alignment horizontal="center"/>
    </xf>
    <xf numFmtId="41" fontId="47" fillId="0" borderId="76" xfId="155" applyNumberFormat="1" applyFont="1" applyBorder="1"/>
    <xf numFmtId="168" fontId="49" fillId="0" borderId="0" xfId="155" applyNumberFormat="1" applyFont="1" applyFill="1" applyBorder="1"/>
    <xf numFmtId="44" fontId="47" fillId="0" borderId="76" xfId="155" applyNumberFormat="1" applyFont="1" applyBorder="1"/>
    <xf numFmtId="43" fontId="47" fillId="0" borderId="76" xfId="155" applyNumberFormat="1" applyFont="1" applyBorder="1"/>
    <xf numFmtId="0" fontId="51" fillId="0" borderId="0" xfId="29" applyFont="1" applyAlignment="1">
      <alignment horizontal="left"/>
    </xf>
    <xf numFmtId="0" fontId="51" fillId="0" borderId="0" xfId="29" applyFont="1" applyBorder="1" applyAlignment="1">
      <alignment horizontal="left"/>
    </xf>
    <xf numFmtId="0" fontId="51" fillId="0" borderId="0" xfId="0" applyNumberFormat="1" applyFont="1" applyFill="1" applyAlignment="1"/>
    <xf numFmtId="0" fontId="51" fillId="0" borderId="0" xfId="0" applyFont="1" applyFill="1" applyAlignment="1">
      <alignment horizontal="center"/>
    </xf>
    <xf numFmtId="166" fontId="51" fillId="0" borderId="0" xfId="0" applyNumberFormat="1" applyFont="1" applyFill="1" applyAlignment="1">
      <alignment horizontal="center"/>
    </xf>
    <xf numFmtId="43" fontId="51" fillId="0" borderId="0" xfId="0" applyNumberFormat="1" applyFont="1" applyFill="1" applyAlignment="1">
      <alignment horizontal="right"/>
    </xf>
    <xf numFmtId="10" fontId="49" fillId="35" borderId="0" xfId="155" applyNumberFormat="1" applyFont="1" applyFill="1" applyAlignment="1">
      <alignment horizontal="center"/>
    </xf>
    <xf numFmtId="41" fontId="0" fillId="0" borderId="0" xfId="0" applyNumberFormat="1"/>
    <xf numFmtId="41" fontId="0" fillId="0" borderId="73" xfId="0" applyNumberFormat="1" applyBorder="1"/>
    <xf numFmtId="41" fontId="82" fillId="0" borderId="0" xfId="0" applyNumberFormat="1" applyFont="1" applyAlignment="1">
      <alignment horizontal="center"/>
    </xf>
    <xf numFmtId="0" fontId="30" fillId="0" borderId="0" xfId="0" applyFont="1" applyAlignment="1">
      <alignment horizontal="center"/>
    </xf>
    <xf numFmtId="10" fontId="0" fillId="0" borderId="73" xfId="0" applyNumberFormat="1" applyBorder="1"/>
    <xf numFmtId="41" fontId="26" fillId="35" borderId="0" xfId="158" applyNumberFormat="1" applyFont="1" applyFill="1"/>
    <xf numFmtId="0" fontId="31" fillId="0" borderId="0" xfId="29"/>
    <xf numFmtId="0" fontId="51" fillId="0" borderId="0" xfId="29" applyFont="1" applyAlignment="1">
      <alignment horizontal="left"/>
    </xf>
    <xf numFmtId="0" fontId="31" fillId="0" borderId="0" xfId="29"/>
    <xf numFmtId="0" fontId="51" fillId="0" borderId="0" xfId="29" applyFont="1" applyFill="1" applyAlignment="1">
      <alignment horizontal="center"/>
    </xf>
    <xf numFmtId="43" fontId="51" fillId="0" borderId="0" xfId="29" applyNumberFormat="1" applyFont="1" applyFill="1"/>
    <xf numFmtId="0" fontId="51" fillId="0" borderId="0" xfId="29" applyFont="1" applyBorder="1" applyAlignment="1">
      <alignment horizontal="left"/>
    </xf>
    <xf numFmtId="0" fontId="51" fillId="0" borderId="0" xfId="29" applyFont="1" applyFill="1"/>
    <xf numFmtId="0" fontId="31" fillId="39" borderId="0" xfId="29" applyFill="1"/>
    <xf numFmtId="43" fontId="51" fillId="0" borderId="0" xfId="1" applyNumberFormat="1" applyFont="1" applyFill="1"/>
    <xf numFmtId="0" fontId="51" fillId="0" borderId="0" xfId="29" applyFont="1" applyAlignment="1">
      <alignment horizontal="left"/>
    </xf>
    <xf numFmtId="0" fontId="31" fillId="0" borderId="35" xfId="0" applyFont="1" applyBorder="1"/>
    <xf numFmtId="0" fontId="31" fillId="0" borderId="71" xfId="0" applyFont="1" applyBorder="1"/>
    <xf numFmtId="0" fontId="31" fillId="0" borderId="81" xfId="0" applyFont="1" applyBorder="1"/>
    <xf numFmtId="10" fontId="31" fillId="0" borderId="0" xfId="0" applyNumberFormat="1" applyFont="1" applyBorder="1"/>
    <xf numFmtId="170" fontId="31" fillId="0" borderId="66" xfId="0" applyNumberFormat="1" applyFont="1" applyFill="1" applyBorder="1"/>
    <xf numFmtId="170" fontId="31" fillId="0" borderId="87" xfId="0" applyNumberFormat="1" applyFont="1" applyFill="1" applyBorder="1"/>
    <xf numFmtId="170" fontId="31" fillId="0" borderId="65" xfId="0" applyNumberFormat="1" applyFont="1" applyFill="1" applyBorder="1"/>
    <xf numFmtId="170" fontId="31" fillId="0" borderId="62" xfId="0" applyNumberFormat="1" applyFont="1" applyFill="1" applyBorder="1"/>
    <xf numFmtId="10" fontId="31" fillId="0" borderId="62" xfId="0" applyNumberFormat="1" applyFont="1" applyFill="1" applyBorder="1"/>
    <xf numFmtId="10" fontId="0" fillId="0" borderId="0" xfId="0" applyNumberFormat="1" applyBorder="1"/>
    <xf numFmtId="10" fontId="0" fillId="0" borderId="0" xfId="2534" applyNumberFormat="1" applyFont="1" applyBorder="1"/>
    <xf numFmtId="0" fontId="29" fillId="0" borderId="0" xfId="0" applyFont="1" applyAlignment="1">
      <alignment horizontal="left" indent="2"/>
    </xf>
    <xf numFmtId="41" fontId="49" fillId="35" borderId="73" xfId="155" applyNumberFormat="1" applyFont="1" applyFill="1" applyBorder="1"/>
    <xf numFmtId="41" fontId="58" fillId="0" borderId="89" xfId="0" applyNumberFormat="1" applyFont="1" applyBorder="1"/>
    <xf numFmtId="41" fontId="34" fillId="0" borderId="90" xfId="0" applyNumberFormat="1" applyFont="1" applyBorder="1"/>
    <xf numFmtId="41" fontId="54" fillId="0" borderId="90" xfId="0" applyNumberFormat="1" applyFont="1" applyBorder="1"/>
    <xf numFmtId="41" fontId="54" fillId="0" borderId="91" xfId="0" applyNumberFormat="1" applyFont="1" applyBorder="1"/>
    <xf numFmtId="10" fontId="0" fillId="0" borderId="42" xfId="0" applyNumberFormat="1" applyFill="1" applyBorder="1"/>
    <xf numFmtId="0" fontId="83" fillId="36" borderId="0" xfId="155" applyFont="1" applyFill="1" applyBorder="1" applyAlignment="1">
      <alignment horizontal="center"/>
    </xf>
    <xf numFmtId="168" fontId="55" fillId="36" borderId="0" xfId="155" applyNumberFormat="1" applyFont="1" applyFill="1"/>
    <xf numFmtId="168" fontId="59" fillId="36" borderId="73" xfId="155" applyNumberFormat="1" applyFont="1" applyFill="1" applyBorder="1"/>
    <xf numFmtId="168" fontId="49" fillId="34" borderId="0" xfId="155" applyNumberFormat="1" applyFont="1" applyFill="1" applyAlignment="1">
      <alignment horizontal="center"/>
    </xf>
    <xf numFmtId="0" fontId="59" fillId="36" borderId="0" xfId="155" applyFont="1" applyFill="1" applyBorder="1" applyAlignment="1">
      <alignment horizontal="center"/>
    </xf>
    <xf numFmtId="0" fontId="49" fillId="36" borderId="92" xfId="155" applyFont="1" applyFill="1" applyBorder="1" applyAlignment="1">
      <alignment horizontal="center"/>
    </xf>
    <xf numFmtId="0" fontId="49" fillId="36" borderId="93" xfId="155" applyFont="1" applyFill="1" applyBorder="1" applyAlignment="1">
      <alignment horizontal="center"/>
    </xf>
    <xf numFmtId="0" fontId="68" fillId="36" borderId="93" xfId="155" applyFont="1" applyFill="1" applyBorder="1" applyAlignment="1">
      <alignment horizontal="center"/>
    </xf>
    <xf numFmtId="38" fontId="26" fillId="36" borderId="93" xfId="155" applyNumberFormat="1" applyFill="1" applyBorder="1"/>
    <xf numFmtId="38" fontId="29" fillId="36" borderId="94" xfId="0" applyNumberFormat="1" applyFont="1" applyFill="1" applyBorder="1"/>
    <xf numFmtId="0" fontId="51" fillId="38" borderId="0" xfId="29" applyFont="1" applyFill="1" applyAlignment="1">
      <alignment horizontal="center"/>
    </xf>
    <xf numFmtId="0" fontId="51" fillId="0" borderId="0" xfId="29" applyFont="1" applyFill="1" applyAlignment="1">
      <alignment horizontal="left"/>
    </xf>
    <xf numFmtId="17" fontId="31" fillId="0" borderId="4" xfId="0" applyNumberFormat="1" applyFont="1" applyFill="1" applyBorder="1" applyAlignment="1">
      <alignment horizontal="center"/>
    </xf>
    <xf numFmtId="0" fontId="33" fillId="0" borderId="0" xfId="29" applyFont="1"/>
    <xf numFmtId="0" fontId="29" fillId="0" borderId="92" xfId="29" applyFont="1" applyBorder="1" applyAlignment="1">
      <alignment horizontal="center"/>
    </xf>
    <xf numFmtId="0" fontId="29" fillId="0" borderId="24" xfId="29" applyFont="1" applyBorder="1" applyAlignment="1">
      <alignment horizontal="center"/>
    </xf>
    <xf numFmtId="0" fontId="29" fillId="0" borderId="92" xfId="29" applyFont="1" applyFill="1" applyBorder="1" applyAlignment="1">
      <alignment horizontal="center"/>
    </xf>
    <xf numFmtId="0" fontId="29" fillId="0" borderId="95" xfId="29" applyFont="1" applyBorder="1" applyAlignment="1">
      <alignment horizontal="center"/>
    </xf>
    <xf numFmtId="0" fontId="29" fillId="0" borderId="28" xfId="29" applyFont="1" applyFill="1" applyBorder="1" applyAlignment="1">
      <alignment horizontal="center"/>
    </xf>
    <xf numFmtId="0" fontId="29" fillId="0" borderId="95" xfId="29" applyFont="1" applyFill="1" applyBorder="1" applyAlignment="1">
      <alignment horizontal="center"/>
    </xf>
    <xf numFmtId="0" fontId="29" fillId="0" borderId="0" xfId="29" applyFont="1" applyFill="1" applyBorder="1" applyAlignment="1">
      <alignment horizontal="center"/>
    </xf>
    <xf numFmtId="43" fontId="31" fillId="0" borderId="0" xfId="28921" applyFont="1" applyFill="1"/>
    <xf numFmtId="43" fontId="0" fillId="0" borderId="0" xfId="28921" applyFont="1"/>
    <xf numFmtId="43" fontId="31" fillId="0" borderId="93" xfId="28921" applyFont="1" applyFill="1" applyBorder="1"/>
    <xf numFmtId="43" fontId="84" fillId="0" borderId="0" xfId="28921" applyFont="1" applyFill="1"/>
    <xf numFmtId="43" fontId="85" fillId="0" borderId="0" xfId="28921" applyFont="1" applyFill="1"/>
    <xf numFmtId="43" fontId="85" fillId="0" borderId="0" xfId="28921" applyFont="1"/>
    <xf numFmtId="43" fontId="86" fillId="0" borderId="0" xfId="28921" applyFont="1" applyFill="1"/>
    <xf numFmtId="43" fontId="31" fillId="0" borderId="0" xfId="28921" applyFont="1" applyBorder="1" applyAlignment="1">
      <alignment horizontal="center"/>
    </xf>
    <xf numFmtId="43" fontId="84" fillId="0" borderId="0" xfId="28921" applyFont="1"/>
    <xf numFmtId="43" fontId="29" fillId="0" borderId="45" xfId="28921" applyFont="1" applyBorder="1"/>
    <xf numFmtId="43" fontId="29" fillId="0" borderId="47" xfId="28921" applyFont="1" applyBorder="1"/>
    <xf numFmtId="43" fontId="0" fillId="0" borderId="0" xfId="28921" applyFont="1" applyFill="1"/>
    <xf numFmtId="43" fontId="87" fillId="0" borderId="0" xfId="28921" applyFont="1" applyFill="1" applyAlignment="1">
      <alignment horizontal="right"/>
    </xf>
    <xf numFmtId="43" fontId="0" fillId="0" borderId="81" xfId="28921" applyFont="1" applyFill="1" applyBorder="1"/>
    <xf numFmtId="43" fontId="0" fillId="0" borderId="96" xfId="28921" applyFont="1" applyFill="1" applyBorder="1"/>
    <xf numFmtId="0" fontId="29" fillId="0" borderId="0" xfId="29" applyFont="1" applyAlignment="1">
      <alignment horizontal="center"/>
    </xf>
    <xf numFmtId="0" fontId="31" fillId="0" borderId="73" xfId="29" applyFont="1" applyBorder="1"/>
    <xf numFmtId="0" fontId="31" fillId="0" borderId="73" xfId="29" applyBorder="1"/>
    <xf numFmtId="43" fontId="31" fillId="0" borderId="73" xfId="29" applyNumberFormat="1" applyBorder="1"/>
    <xf numFmtId="43" fontId="0" fillId="0" borderId="0" xfId="0" applyNumberFormat="1" applyFill="1"/>
    <xf numFmtId="43" fontId="0" fillId="0" borderId="0" xfId="0" applyNumberFormat="1" applyFill="1" applyBorder="1"/>
    <xf numFmtId="0" fontId="0" fillId="0" borderId="0" xfId="0" quotePrefix="1" applyFill="1"/>
    <xf numFmtId="0" fontId="31" fillId="0" borderId="0" xfId="0" quotePrefix="1" applyFont="1" applyFill="1"/>
    <xf numFmtId="0" fontId="31" fillId="0" borderId="0" xfId="0" applyFont="1" applyFill="1" applyAlignment="1">
      <alignment horizontal="center"/>
    </xf>
    <xf numFmtId="43" fontId="51" fillId="0" borderId="35" xfId="29" applyNumberFormat="1" applyFont="1" applyFill="1" applyBorder="1"/>
    <xf numFmtId="43" fontId="51" fillId="0" borderId="0" xfId="1" applyNumberFormat="1" applyFont="1" applyFill="1" applyBorder="1"/>
    <xf numFmtId="166" fontId="51" fillId="0" borderId="0" xfId="29" applyNumberFormat="1" applyFont="1" applyFill="1"/>
    <xf numFmtId="0" fontId="51" fillId="0" borderId="0" xfId="29" applyFont="1" applyFill="1" applyBorder="1" applyAlignment="1">
      <alignment wrapText="1"/>
    </xf>
    <xf numFmtId="43" fontId="51" fillId="0" borderId="0" xfId="29" applyNumberFormat="1" applyFont="1" applyFill="1" applyBorder="1"/>
    <xf numFmtId="0" fontId="31" fillId="0" borderId="0" xfId="29" applyFill="1"/>
    <xf numFmtId="166" fontId="31" fillId="0" borderId="0" xfId="29" applyNumberFormat="1" applyFill="1"/>
    <xf numFmtId="0" fontId="31" fillId="0" borderId="0" xfId="29" applyFill="1" applyAlignment="1">
      <alignment horizontal="center"/>
    </xf>
    <xf numFmtId="43" fontId="31" fillId="0" borderId="35" xfId="29" applyNumberFormat="1" applyFill="1" applyBorder="1"/>
    <xf numFmtId="43" fontId="34" fillId="0" borderId="54" xfId="29" applyNumberFormat="1" applyFont="1" applyBorder="1"/>
    <xf numFmtId="43" fontId="34" fillId="0" borderId="56" xfId="29" applyNumberFormat="1" applyFont="1" applyBorder="1"/>
    <xf numFmtId="166" fontId="51" fillId="0" borderId="0" xfId="29" applyNumberFormat="1" applyFont="1" applyFill="1" applyAlignment="1">
      <alignment horizontal="center"/>
    </xf>
    <xf numFmtId="166" fontId="31" fillId="0" borderId="0" xfId="29" applyNumberFormat="1" applyFill="1" applyAlignment="1">
      <alignment horizontal="center"/>
    </xf>
    <xf numFmtId="0" fontId="75" fillId="0" borderId="0" xfId="29" applyFont="1" applyFill="1"/>
    <xf numFmtId="166" fontId="75" fillId="0" borderId="0" xfId="29" applyNumberFormat="1" applyFont="1" applyFill="1" applyAlignment="1">
      <alignment horizontal="center"/>
    </xf>
    <xf numFmtId="43" fontId="75" fillId="0" borderId="0" xfId="29" applyNumberFormat="1" applyFont="1" applyFill="1"/>
    <xf numFmtId="0" fontId="51" fillId="0" borderId="0" xfId="0" applyFont="1" applyFill="1"/>
    <xf numFmtId="0" fontId="51" fillId="0" borderId="0" xfId="0" applyFont="1" applyFill="1" applyAlignment="1">
      <alignment horizontal="right"/>
    </xf>
    <xf numFmtId="43" fontId="51" fillId="0" borderId="0" xfId="0" applyNumberFormat="1" applyFont="1" applyFill="1"/>
    <xf numFmtId="0" fontId="56" fillId="0" borderId="0" xfId="0" applyFont="1" applyFill="1" applyAlignment="1">
      <alignment horizontal="center"/>
    </xf>
    <xf numFmtId="0" fontId="56" fillId="0" borderId="0" xfId="0" applyFont="1" applyFill="1" applyBorder="1"/>
    <xf numFmtId="0" fontId="56" fillId="0" borderId="0" xfId="12" applyNumberFormat="1" applyFont="1" applyFill="1" applyAlignment="1"/>
    <xf numFmtId="44" fontId="56" fillId="0" borderId="0" xfId="12" applyFont="1" applyFill="1" applyAlignment="1">
      <alignment horizontal="center"/>
    </xf>
    <xf numFmtId="44" fontId="56" fillId="0" borderId="0" xfId="12" applyFont="1" applyFill="1" applyAlignment="1">
      <alignment horizontal="left"/>
    </xf>
    <xf numFmtId="0" fontId="56" fillId="0" borderId="0" xfId="29" applyFont="1" applyFill="1" applyBorder="1"/>
    <xf numFmtId="166" fontId="56" fillId="0" borderId="0" xfId="29" applyNumberFormat="1" applyFont="1" applyFill="1" applyBorder="1" applyAlignment="1">
      <alignment horizontal="center"/>
    </xf>
    <xf numFmtId="43" fontId="56" fillId="0" borderId="0" xfId="0" applyNumberFormat="1" applyFont="1" applyFill="1"/>
    <xf numFmtId="0" fontId="56" fillId="0" borderId="0" xfId="0" applyFont="1" applyFill="1" applyBorder="1" applyAlignment="1" applyProtection="1">
      <protection locked="0"/>
    </xf>
    <xf numFmtId="166" fontId="56" fillId="0" borderId="0" xfId="29" applyNumberFormat="1" applyFont="1" applyFill="1" applyBorder="1"/>
    <xf numFmtId="166" fontId="56" fillId="0" borderId="0" xfId="29" applyNumberFormat="1" applyFont="1" applyFill="1" applyAlignment="1">
      <alignment horizontal="center"/>
    </xf>
    <xf numFmtId="43" fontId="56" fillId="0" borderId="0" xfId="12" applyNumberFormat="1" applyFont="1" applyFill="1" applyAlignment="1">
      <alignment horizontal="center"/>
    </xf>
    <xf numFmtId="0" fontId="56" fillId="0" borderId="0" xfId="29" applyFont="1" applyFill="1" applyBorder="1" applyAlignment="1">
      <alignment wrapText="1"/>
    </xf>
    <xf numFmtId="43" fontId="56" fillId="0" borderId="0" xfId="29" applyNumberFormat="1" applyFont="1" applyFill="1" applyBorder="1"/>
    <xf numFmtId="0" fontId="31" fillId="0" borderId="0" xfId="29" applyFont="1" applyFill="1" applyBorder="1"/>
    <xf numFmtId="0" fontId="31" fillId="0" borderId="0" xfId="29" applyFont="1" applyFill="1" applyBorder="1" applyAlignment="1">
      <alignment wrapText="1"/>
    </xf>
    <xf numFmtId="166" fontId="31" fillId="0" borderId="0" xfId="29" applyNumberFormat="1" applyFont="1" applyFill="1" applyBorder="1" applyAlignment="1">
      <alignment horizontal="center"/>
    </xf>
    <xf numFmtId="43" fontId="31" fillId="0" borderId="0" xfId="29" applyNumberFormat="1" applyFont="1" applyFill="1" applyBorder="1"/>
    <xf numFmtId="43" fontId="31" fillId="0" borderId="0" xfId="29" applyNumberFormat="1" applyFont="1" applyFill="1"/>
    <xf numFmtId="14" fontId="31" fillId="0" borderId="0" xfId="29" applyNumberFormat="1" applyFont="1" applyFill="1" applyBorder="1"/>
    <xf numFmtId="166" fontId="31" fillId="0" borderId="0" xfId="29" applyNumberFormat="1" applyFont="1" applyFill="1" applyAlignment="1">
      <alignment horizontal="center"/>
    </xf>
    <xf numFmtId="0" fontId="31" fillId="37" borderId="0" xfId="0" applyFont="1" applyFill="1" applyBorder="1"/>
    <xf numFmtId="0" fontId="31" fillId="37" borderId="0" xfId="0" applyFont="1" applyFill="1" applyBorder="1" applyAlignment="1"/>
    <xf numFmtId="0" fontId="61" fillId="0" borderId="54" xfId="29" applyFont="1" applyBorder="1"/>
    <xf numFmtId="44" fontId="58" fillId="0" borderId="51" xfId="0" applyNumberFormat="1" applyFont="1" applyBorder="1"/>
    <xf numFmtId="0" fontId="0" fillId="0" borderId="55" xfId="0" applyBorder="1"/>
    <xf numFmtId="0" fontId="0" fillId="0" borderId="58" xfId="0" applyBorder="1"/>
    <xf numFmtId="0" fontId="31" fillId="0" borderId="52" xfId="29" applyBorder="1"/>
    <xf numFmtId="0" fontId="31" fillId="0" borderId="57" xfId="29" applyBorder="1"/>
    <xf numFmtId="44" fontId="80" fillId="0" borderId="51" xfId="0" applyNumberFormat="1" applyFont="1" applyBorder="1"/>
    <xf numFmtId="44" fontId="80" fillId="0" borderId="52" xfId="0" applyNumberFormat="1" applyFont="1" applyBorder="1"/>
    <xf numFmtId="0" fontId="94" fillId="0" borderId="54" xfId="0" applyFont="1" applyFill="1" applyBorder="1"/>
    <xf numFmtId="0" fontId="0" fillId="0" borderId="56" xfId="0" applyBorder="1"/>
    <xf numFmtId="43" fontId="0" fillId="0" borderId="55" xfId="0" applyNumberFormat="1" applyBorder="1"/>
    <xf numFmtId="0" fontId="53" fillId="0" borderId="0" xfId="29" applyFont="1" applyFill="1" applyBorder="1"/>
    <xf numFmtId="14" fontId="51" fillId="0" borderId="0" xfId="29" applyNumberFormat="1" applyFont="1" applyFill="1" applyBorder="1"/>
    <xf numFmtId="0" fontId="51" fillId="0" borderId="0" xfId="29" applyFont="1" applyFill="1" applyProtection="1">
      <protection locked="0"/>
    </xf>
    <xf numFmtId="0" fontId="34" fillId="0" borderId="0" xfId="0" applyFont="1" applyBorder="1"/>
    <xf numFmtId="0" fontId="34" fillId="0" borderId="57" xfId="0" applyFont="1" applyBorder="1"/>
    <xf numFmtId="0" fontId="95" fillId="0" borderId="51" xfId="29" applyFont="1" applyBorder="1" applyAlignment="1">
      <alignment horizontal="center"/>
    </xf>
    <xf numFmtId="0" fontId="95" fillId="0" borderId="52" xfId="29" applyFont="1" applyBorder="1"/>
    <xf numFmtId="0" fontId="95" fillId="0" borderId="53" xfId="29" applyFont="1" applyBorder="1"/>
    <xf numFmtId="0" fontId="58" fillId="0" borderId="0" xfId="29" applyFont="1"/>
    <xf numFmtId="0" fontId="62" fillId="0" borderId="54" xfId="0" applyFont="1" applyFill="1" applyBorder="1"/>
    <xf numFmtId="0" fontId="62" fillId="0" borderId="54" xfId="0" applyFont="1" applyBorder="1"/>
    <xf numFmtId="0" fontId="62" fillId="0" borderId="0" xfId="0" applyFont="1" applyBorder="1"/>
    <xf numFmtId="0" fontId="62" fillId="0" borderId="56" xfId="0" applyFont="1" applyBorder="1"/>
    <xf numFmtId="0" fontId="62" fillId="0" borderId="57" xfId="0" applyFont="1" applyBorder="1"/>
    <xf numFmtId="0" fontId="62" fillId="0" borderId="0" xfId="0" applyFont="1" applyBorder="1" applyAlignment="1">
      <alignment horizontal="left" indent="1"/>
    </xf>
    <xf numFmtId="0" fontId="62" fillId="0" borderId="54" xfId="0" applyFont="1" applyBorder="1" applyAlignment="1">
      <alignment horizontal="left" indent="2"/>
    </xf>
    <xf numFmtId="43" fontId="31" fillId="0" borderId="62" xfId="29" applyNumberFormat="1" applyFont="1" applyFill="1" applyBorder="1"/>
    <xf numFmtId="43" fontId="31" fillId="0" borderId="62" xfId="1" applyNumberFormat="1" applyFont="1" applyFill="1" applyBorder="1"/>
    <xf numFmtId="0" fontId="31" fillId="40" borderId="0" xfId="0" applyFont="1" applyFill="1" applyBorder="1"/>
    <xf numFmtId="0" fontId="51" fillId="0" borderId="0" xfId="29" applyFont="1" applyBorder="1" applyAlignment="1"/>
    <xf numFmtId="0" fontId="51" fillId="0" borderId="0" xfId="1" applyNumberFormat="1" applyFont="1" applyFill="1" applyBorder="1"/>
    <xf numFmtId="0" fontId="0" fillId="0" borderId="0" xfId="0" applyFont="1" applyFill="1"/>
    <xf numFmtId="43" fontId="96" fillId="0" borderId="0" xfId="0" applyNumberFormat="1" applyFont="1" applyBorder="1"/>
    <xf numFmtId="0" fontId="55" fillId="0" borderId="0" xfId="29" applyFont="1"/>
    <xf numFmtId="0" fontId="31" fillId="0" borderId="0" xfId="0" quotePrefix="1" applyFont="1" applyBorder="1"/>
    <xf numFmtId="0" fontId="31" fillId="0" borderId="0" xfId="0" quotePrefix="1" applyFont="1" applyFill="1" applyBorder="1"/>
    <xf numFmtId="0" fontId="97" fillId="0" borderId="0" xfId="29" applyFont="1" applyFill="1"/>
    <xf numFmtId="166" fontId="97" fillId="0" borderId="0" xfId="29" applyNumberFormat="1" applyFont="1" applyFill="1" applyAlignment="1">
      <alignment horizontal="center"/>
    </xf>
    <xf numFmtId="6" fontId="51" fillId="0" borderId="0" xfId="1" applyNumberFormat="1" applyFont="1" applyFill="1"/>
    <xf numFmtId="0" fontId="0" fillId="0" borderId="0" xfId="0" quotePrefix="1"/>
    <xf numFmtId="44" fontId="0" fillId="0" borderId="0" xfId="0" applyNumberFormat="1"/>
    <xf numFmtId="0" fontId="0" fillId="0" borderId="49" xfId="0" applyFill="1" applyBorder="1"/>
    <xf numFmtId="0" fontId="31" fillId="0" borderId="49" xfId="0" applyFont="1" applyFill="1" applyBorder="1"/>
    <xf numFmtId="0" fontId="2" fillId="35" borderId="0" xfId="155" applyFont="1" applyFill="1"/>
    <xf numFmtId="43" fontId="0" fillId="41" borderId="0" xfId="0" applyNumberFormat="1" applyFill="1"/>
    <xf numFmtId="41" fontId="0" fillId="41" borderId="0" xfId="0" applyNumberFormat="1" applyFill="1"/>
    <xf numFmtId="38" fontId="29" fillId="36" borderId="0" xfId="0" applyNumberFormat="1" applyFont="1" applyFill="1" applyAlignment="1">
      <alignment horizontal="center"/>
    </xf>
    <xf numFmtId="0" fontId="31" fillId="42" borderId="0" xfId="0" applyFont="1" applyFill="1" applyBorder="1"/>
    <xf numFmtId="0" fontId="31" fillId="42" borderId="2" xfId="0" applyFont="1" applyFill="1" applyBorder="1"/>
    <xf numFmtId="0" fontId="0" fillId="42" borderId="2" xfId="0" applyFill="1" applyBorder="1"/>
    <xf numFmtId="0" fontId="31" fillId="42" borderId="19" xfId="0" applyFont="1" applyFill="1" applyBorder="1" applyAlignment="1">
      <alignment horizontal="center"/>
    </xf>
    <xf numFmtId="0" fontId="31" fillId="42" borderId="4" xfId="0" applyFont="1" applyFill="1" applyBorder="1" applyAlignment="1">
      <alignment horizontal="center"/>
    </xf>
    <xf numFmtId="43" fontId="0" fillId="42" borderId="4" xfId="0" applyNumberFormat="1" applyFill="1" applyBorder="1"/>
    <xf numFmtId="43" fontId="0" fillId="42" borderId="20" xfId="0" applyNumberFormat="1" applyFill="1" applyBorder="1"/>
    <xf numFmtId="43" fontId="0" fillId="42" borderId="19" xfId="0" applyNumberFormat="1" applyFill="1" applyBorder="1"/>
    <xf numFmtId="43" fontId="0" fillId="42" borderId="35" xfId="0" applyNumberFormat="1" applyFill="1" applyBorder="1"/>
    <xf numFmtId="43" fontId="0" fillId="42" borderId="39" xfId="0" applyNumberFormat="1" applyFill="1" applyBorder="1"/>
    <xf numFmtId="0" fontId="0" fillId="42" borderId="19" xfId="0" applyFill="1" applyBorder="1" applyAlignment="1">
      <alignment horizontal="center"/>
    </xf>
    <xf numFmtId="0" fontId="31" fillId="42" borderId="0" xfId="0" applyFont="1" applyFill="1"/>
    <xf numFmtId="0" fontId="0" fillId="42" borderId="0" xfId="0" applyFill="1"/>
    <xf numFmtId="0" fontId="31" fillId="0" borderId="0" xfId="29"/>
    <xf numFmtId="43" fontId="51" fillId="0" borderId="0" xfId="1" applyNumberFormat="1" applyFont="1" applyFill="1"/>
    <xf numFmtId="0" fontId="51" fillId="0" borderId="0" xfId="29" applyFont="1" applyAlignment="1">
      <alignment horizontal="left"/>
    </xf>
    <xf numFmtId="0" fontId="51" fillId="0" borderId="0" xfId="29" applyFont="1" applyBorder="1" applyAlignment="1">
      <alignment horizontal="left"/>
    </xf>
    <xf numFmtId="0" fontId="51" fillId="0" borderId="0" xfId="29" applyFont="1" applyBorder="1" applyAlignment="1">
      <alignment horizontal="center"/>
    </xf>
    <xf numFmtId="0" fontId="51" fillId="0" borderId="0" xfId="12" applyNumberFormat="1" applyFont="1" applyFill="1" applyAlignment="1"/>
    <xf numFmtId="44" fontId="51" fillId="0" borderId="0" xfId="12" applyFont="1" applyFill="1" applyAlignment="1">
      <alignment horizontal="center"/>
    </xf>
    <xf numFmtId="44" fontId="51" fillId="0" borderId="0" xfId="12" applyFont="1" applyFill="1" applyAlignment="1">
      <alignment horizontal="left"/>
    </xf>
    <xf numFmtId="43" fontId="51" fillId="0" borderId="0" xfId="12" applyNumberFormat="1" applyFont="1" applyFill="1" applyAlignment="1">
      <alignment horizontal="right"/>
    </xf>
    <xf numFmtId="166" fontId="51" fillId="0" borderId="0" xfId="29" applyNumberFormat="1" applyFont="1" applyFill="1" applyBorder="1"/>
    <xf numFmtId="0" fontId="51" fillId="0" borderId="0" xfId="29" applyFont="1" applyFill="1" applyBorder="1"/>
    <xf numFmtId="43" fontId="51" fillId="0" borderId="0" xfId="29" applyNumberFormat="1" applyFont="1" applyFill="1"/>
    <xf numFmtId="0" fontId="51" fillId="0" borderId="0" xfId="29" applyFont="1" applyFill="1"/>
    <xf numFmtId="43" fontId="51" fillId="0" borderId="0" xfId="1" applyNumberFormat="1" applyFont="1" applyFill="1" applyBorder="1"/>
    <xf numFmtId="0" fontId="51" fillId="0" borderId="0" xfId="29" applyFont="1" applyFill="1" applyBorder="1" applyAlignment="1">
      <alignment wrapText="1"/>
    </xf>
    <xf numFmtId="41" fontId="58" fillId="0" borderId="52" xfId="0" applyNumberFormat="1" applyFont="1" applyBorder="1"/>
    <xf numFmtId="41" fontId="34" fillId="0" borderId="0" xfId="0" applyNumberFormat="1" applyFont="1" applyBorder="1"/>
    <xf numFmtId="41" fontId="34" fillId="0" borderId="57" xfId="0" applyNumberFormat="1" applyFont="1" applyBorder="1"/>
    <xf numFmtId="0" fontId="98" fillId="0" borderId="0" xfId="29" applyFont="1" applyFill="1"/>
    <xf numFmtId="0" fontId="93" fillId="0" borderId="99" xfId="29" applyFont="1" applyBorder="1" applyAlignment="1">
      <alignment horizontal="center"/>
    </xf>
    <xf numFmtId="0" fontId="92" fillId="0" borderId="99" xfId="29" applyFont="1" applyBorder="1" applyAlignment="1">
      <alignment horizontal="center"/>
    </xf>
    <xf numFmtId="0" fontId="92" fillId="0" borderId="102" xfId="29" applyFont="1" applyBorder="1" applyAlignment="1">
      <alignment horizontal="center" wrapText="1"/>
    </xf>
    <xf numFmtId="0" fontId="92" fillId="0" borderId="99" xfId="29" applyFont="1" applyBorder="1" applyAlignment="1">
      <alignment horizontal="center" wrapText="1"/>
    </xf>
    <xf numFmtId="0" fontId="92" fillId="0" borderId="100" xfId="29" applyFont="1" applyBorder="1" applyAlignment="1">
      <alignment horizontal="center" wrapText="1"/>
    </xf>
    <xf numFmtId="0" fontId="101" fillId="0" borderId="98" xfId="29" applyFont="1" applyBorder="1" applyAlignment="1">
      <alignment horizontal="center"/>
    </xf>
    <xf numFmtId="0" fontId="101" fillId="0" borderId="103" xfId="29" applyFont="1" applyBorder="1" applyAlignment="1">
      <alignment horizontal="center" wrapText="1"/>
    </xf>
    <xf numFmtId="43" fontId="102" fillId="0" borderId="54" xfId="29" applyNumberFormat="1" applyFont="1" applyBorder="1"/>
    <xf numFmtId="43" fontId="102" fillId="0" borderId="0" xfId="0" applyNumberFormat="1" applyFont="1" applyBorder="1"/>
    <xf numFmtId="43" fontId="102" fillId="0" borderId="35" xfId="0" applyNumberFormat="1" applyFont="1" applyBorder="1"/>
    <xf numFmtId="43" fontId="102" fillId="0" borderId="55" xfId="0" applyNumberFormat="1" applyFont="1" applyBorder="1"/>
    <xf numFmtId="43" fontId="102" fillId="0" borderId="71" xfId="0" applyNumberFormat="1" applyFont="1" applyBorder="1"/>
    <xf numFmtId="43" fontId="96" fillId="0" borderId="35" xfId="0" applyNumberFormat="1" applyFont="1" applyBorder="1"/>
    <xf numFmtId="43" fontId="96" fillId="0" borderId="55" xfId="0" applyNumberFormat="1" applyFont="1" applyBorder="1"/>
    <xf numFmtId="43" fontId="102" fillId="0" borderId="56" xfId="29" applyNumberFormat="1" applyFont="1" applyBorder="1"/>
    <xf numFmtId="43" fontId="96" fillId="0" borderId="57" xfId="0" applyNumberFormat="1" applyFont="1" applyBorder="1"/>
    <xf numFmtId="43" fontId="96" fillId="0" borderId="101" xfId="0" applyNumberFormat="1" applyFont="1" applyBorder="1"/>
    <xf numFmtId="43" fontId="96" fillId="0" borderId="58" xfId="0" applyNumberFormat="1" applyFont="1" applyBorder="1"/>
    <xf numFmtId="43" fontId="102" fillId="0" borderId="97" xfId="0" applyNumberFormat="1" applyFont="1" applyBorder="1"/>
    <xf numFmtId="44" fontId="74" fillId="0" borderId="0" xfId="0" applyNumberFormat="1" applyFont="1"/>
    <xf numFmtId="41" fontId="58" fillId="0" borderId="106" xfId="0" applyNumberFormat="1" applyFont="1" applyBorder="1"/>
    <xf numFmtId="41" fontId="34" fillId="0" borderId="107" xfId="0" applyNumberFormat="1" applyFont="1" applyBorder="1"/>
    <xf numFmtId="41" fontId="34" fillId="0" borderId="108" xfId="0" applyNumberFormat="1" applyFont="1" applyBorder="1"/>
    <xf numFmtId="41" fontId="34" fillId="0" borderId="91" xfId="0" applyNumberFormat="1" applyFont="1" applyBorder="1"/>
    <xf numFmtId="43" fontId="0" fillId="39" borderId="0" xfId="0" applyNumberFormat="1" applyFill="1"/>
    <xf numFmtId="0" fontId="0" fillId="39" borderId="0" xfId="0" applyFill="1"/>
    <xf numFmtId="0" fontId="49" fillId="0" borderId="35" xfId="155" applyFont="1" applyFill="1" applyBorder="1" applyAlignment="1">
      <alignment horizontal="center"/>
    </xf>
    <xf numFmtId="14" fontId="49" fillId="0" borderId="0" xfId="155" applyNumberFormat="1" applyFont="1" applyBorder="1" applyAlignment="1">
      <alignment horizontal="center"/>
    </xf>
    <xf numFmtId="168" fontId="49" fillId="0" borderId="35" xfId="158" applyNumberFormat="1" applyFont="1" applyFill="1" applyBorder="1"/>
    <xf numFmtId="0" fontId="49" fillId="0" borderId="0" xfId="155" applyFont="1" applyAlignment="1">
      <alignment horizontal="center"/>
    </xf>
    <xf numFmtId="0" fontId="0" fillId="41" borderId="0" xfId="0" applyFont="1" applyFill="1"/>
    <xf numFmtId="0" fontId="0" fillId="41" borderId="0" xfId="0" applyFill="1" applyAlignment="1">
      <alignment horizontal="center"/>
    </xf>
    <xf numFmtId="0" fontId="0" fillId="41" borderId="0" xfId="0" applyFill="1" applyBorder="1"/>
    <xf numFmtId="0" fontId="0" fillId="41" borderId="0" xfId="0" applyFill="1"/>
    <xf numFmtId="0" fontId="31" fillId="41" borderId="0" xfId="0" applyFont="1" applyFill="1"/>
    <xf numFmtId="41" fontId="56" fillId="0" borderId="0" xfId="0" applyNumberFormat="1" applyFont="1"/>
    <xf numFmtId="44" fontId="31" fillId="0" borderId="62" xfId="29" applyNumberFormat="1" applyFill="1" applyBorder="1"/>
    <xf numFmtId="0" fontId="95" fillId="0" borderId="98" xfId="29" applyFont="1" applyBorder="1" applyAlignment="1">
      <alignment horizontal="center" wrapText="1"/>
    </xf>
    <xf numFmtId="0" fontId="95" fillId="0" borderId="99" xfId="29" applyFont="1" applyBorder="1" applyAlignment="1">
      <alignment horizontal="center"/>
    </xf>
    <xf numFmtId="0" fontId="95" fillId="0" borderId="99" xfId="29" applyFont="1" applyBorder="1" applyAlignment="1">
      <alignment horizontal="center" wrapText="1"/>
    </xf>
    <xf numFmtId="0" fontId="95" fillId="0" borderId="105" xfId="29" applyFont="1" applyBorder="1" applyAlignment="1">
      <alignment horizontal="center"/>
    </xf>
    <xf numFmtId="0" fontId="95" fillId="0" borderId="104" xfId="29" applyFont="1" applyBorder="1" applyAlignment="1">
      <alignment horizontal="center"/>
    </xf>
    <xf numFmtId="43" fontId="74" fillId="0" borderId="39" xfId="0" applyNumberFormat="1" applyFont="1" applyBorder="1"/>
    <xf numFmtId="43" fontId="74" fillId="0" borderId="39" xfId="0" applyNumberFormat="1" applyFont="1" applyFill="1" applyBorder="1"/>
    <xf numFmtId="43" fontId="74" fillId="42" borderId="39" xfId="0" applyNumberFormat="1" applyFont="1" applyFill="1" applyBorder="1"/>
    <xf numFmtId="43" fontId="96" fillId="39" borderId="55" xfId="0" applyNumberFormat="1" applyFont="1" applyFill="1" applyBorder="1"/>
    <xf numFmtId="43" fontId="0" fillId="39" borderId="39" xfId="0" applyNumberFormat="1" applyFill="1" applyBorder="1"/>
    <xf numFmtId="0" fontId="0" fillId="39" borderId="19" xfId="0" applyFill="1" applyBorder="1"/>
    <xf numFmtId="0" fontId="51" fillId="39" borderId="0" xfId="29" applyFont="1" applyFill="1"/>
    <xf numFmtId="43" fontId="51" fillId="39" borderId="0" xfId="1" applyNumberFormat="1" applyFont="1" applyFill="1"/>
    <xf numFmtId="43" fontId="51" fillId="39" borderId="0" xfId="29" applyNumberFormat="1" applyFont="1" applyFill="1"/>
    <xf numFmtId="0" fontId="51" fillId="39" borderId="0" xfId="29" applyFont="1" applyFill="1" applyBorder="1"/>
    <xf numFmtId="43" fontId="51" fillId="43" borderId="0" xfId="1" applyNumberFormat="1" applyFont="1" applyFill="1"/>
    <xf numFmtId="43" fontId="51" fillId="43" borderId="0" xfId="29" applyNumberFormat="1" applyFont="1" applyFill="1"/>
    <xf numFmtId="43" fontId="51" fillId="44" borderId="0" xfId="1" applyNumberFormat="1" applyFont="1" applyFill="1"/>
    <xf numFmtId="43" fontId="51" fillId="44" borderId="0" xfId="29" applyNumberFormat="1" applyFont="1" applyFill="1"/>
    <xf numFmtId="43" fontId="51" fillId="45" borderId="0" xfId="1" applyNumberFormat="1" applyFont="1" applyFill="1"/>
    <xf numFmtId="43" fontId="51" fillId="45" borderId="0" xfId="29" applyNumberFormat="1" applyFont="1" applyFill="1"/>
    <xf numFmtId="43" fontId="51" fillId="46" borderId="0" xfId="1" applyNumberFormat="1" applyFont="1" applyFill="1"/>
    <xf numFmtId="43" fontId="51" fillId="47" borderId="0" xfId="1" applyNumberFormat="1" applyFont="1" applyFill="1"/>
    <xf numFmtId="43" fontId="51" fillId="48" borderId="0" xfId="1" applyNumberFormat="1" applyFont="1" applyFill="1"/>
    <xf numFmtId="43" fontId="51" fillId="49" borderId="0" xfId="1" applyNumberFormat="1" applyFont="1" applyFill="1"/>
    <xf numFmtId="43" fontId="51" fillId="50" borderId="0" xfId="1" applyNumberFormat="1" applyFont="1" applyFill="1"/>
    <xf numFmtId="0" fontId="29" fillId="0" borderId="25" xfId="0" applyFont="1" applyBorder="1" applyAlignment="1">
      <alignment horizontal="center"/>
    </xf>
    <xf numFmtId="0" fontId="29" fillId="0" borderId="26" xfId="0" quotePrefix="1" applyFont="1" applyBorder="1" applyAlignment="1">
      <alignment horizontal="center"/>
    </xf>
    <xf numFmtId="0" fontId="29" fillId="0" borderId="33" xfId="0" quotePrefix="1" applyFont="1" applyBorder="1" applyAlignment="1">
      <alignment horizontal="center"/>
    </xf>
    <xf numFmtId="0" fontId="29" fillId="0" borderId="27" xfId="0" quotePrefix="1" applyFont="1" applyBorder="1" applyAlignment="1">
      <alignment horizontal="center"/>
    </xf>
    <xf numFmtId="0" fontId="29" fillId="0" borderId="92" xfId="29" applyFont="1" applyFill="1" applyBorder="1" applyAlignment="1">
      <alignment horizontal="center" vertical="center"/>
    </xf>
    <xf numFmtId="0" fontId="29" fillId="0" borderId="95" xfId="29" applyFont="1" applyFill="1" applyBorder="1" applyAlignment="1">
      <alignment horizontal="center" vertical="center"/>
    </xf>
    <xf numFmtId="0" fontId="52" fillId="0" borderId="98" xfId="29" applyFont="1" applyBorder="1" applyAlignment="1">
      <alignment horizontal="center"/>
    </xf>
    <xf numFmtId="0" fontId="52" fillId="0" borderId="99" xfId="29" applyFont="1" applyBorder="1" applyAlignment="1">
      <alignment horizontal="center"/>
    </xf>
    <xf numFmtId="0" fontId="52" fillId="0" borderId="100" xfId="29" applyFont="1" applyBorder="1" applyAlignment="1">
      <alignment horizontal="center"/>
    </xf>
  </cellXfs>
  <cellStyles count="57783">
    <cellStyle name="20% - Accent1" xfId="66" builtinId="30" customBuiltin="1"/>
    <cellStyle name="20% - Accent1 10" xfId="1107"/>
    <cellStyle name="20% - Accent1 10 2" xfId="3994"/>
    <cellStyle name="20% - Accent1 10 2 2" xfId="10035"/>
    <cellStyle name="20% - Accent1 10 2 2 2" xfId="27082"/>
    <cellStyle name="20% - Accent1 10 2 2 2 2" xfId="55943"/>
    <cellStyle name="20% - Accent1 10 2 2 3" xfId="38896"/>
    <cellStyle name="20% - Accent1 10 2 3" xfId="21104"/>
    <cellStyle name="20% - Accent1 10 2 3 2" xfId="49965"/>
    <cellStyle name="20% - Accent1 10 2 4" xfId="32855"/>
    <cellStyle name="20% - Accent1 10 3" xfId="7149"/>
    <cellStyle name="20% - Accent1 10 3 2" xfId="24196"/>
    <cellStyle name="20% - Accent1 10 3 2 2" xfId="53057"/>
    <cellStyle name="20% - Accent1 10 3 3" xfId="36010"/>
    <cellStyle name="20% - Accent1 10 4" xfId="13681"/>
    <cellStyle name="20% - Accent1 10 4 2" xfId="18424"/>
    <cellStyle name="20% - Accent1 10 4 2 2" xfId="47285"/>
    <cellStyle name="20% - Accent1 10 4 3" xfId="42542"/>
    <cellStyle name="20% - Accent1 10 5" xfId="15744"/>
    <cellStyle name="20% - Accent1 10 5 2" xfId="44605"/>
    <cellStyle name="20% - Accent1 10 6" xfId="29969"/>
    <cellStyle name="20% - Accent1 11" xfId="1313"/>
    <cellStyle name="20% - Accent1 11 2" xfId="4200"/>
    <cellStyle name="20% - Accent1 11 2 2" xfId="10241"/>
    <cellStyle name="20% - Accent1 11 2 2 2" xfId="27288"/>
    <cellStyle name="20% - Accent1 11 2 2 2 2" xfId="56149"/>
    <cellStyle name="20% - Accent1 11 2 2 3" xfId="39102"/>
    <cellStyle name="20% - Accent1 11 2 3" xfId="21310"/>
    <cellStyle name="20% - Accent1 11 2 3 2" xfId="50171"/>
    <cellStyle name="20% - Accent1 11 2 4" xfId="33061"/>
    <cellStyle name="20% - Accent1 11 3" xfId="7355"/>
    <cellStyle name="20% - Accent1 11 3 2" xfId="24402"/>
    <cellStyle name="20% - Accent1 11 3 2 2" xfId="53263"/>
    <cellStyle name="20% - Accent1 11 3 3" xfId="36216"/>
    <cellStyle name="20% - Accent1 11 4" xfId="12079"/>
    <cellStyle name="20% - Accent1 11 4 2" xfId="18630"/>
    <cellStyle name="20% - Accent1 11 4 2 2" xfId="47491"/>
    <cellStyle name="20% - Accent1 11 4 3" xfId="40940"/>
    <cellStyle name="20% - Accent1 11 5" xfId="15950"/>
    <cellStyle name="20% - Accent1 11 5 2" xfId="44811"/>
    <cellStyle name="20% - Accent1 11 6" xfId="30175"/>
    <cellStyle name="20% - Accent1 12" xfId="1519"/>
    <cellStyle name="20% - Accent1 12 2" xfId="4406"/>
    <cellStyle name="20% - Accent1 12 2 2" xfId="10447"/>
    <cellStyle name="20% - Accent1 12 2 2 2" xfId="27494"/>
    <cellStyle name="20% - Accent1 12 2 2 2 2" xfId="56355"/>
    <cellStyle name="20% - Accent1 12 2 2 3" xfId="39308"/>
    <cellStyle name="20% - Accent1 12 2 3" xfId="21516"/>
    <cellStyle name="20% - Accent1 12 2 3 2" xfId="50377"/>
    <cellStyle name="20% - Accent1 12 2 4" xfId="33267"/>
    <cellStyle name="20% - Accent1 12 3" xfId="7561"/>
    <cellStyle name="20% - Accent1 12 3 2" xfId="24608"/>
    <cellStyle name="20% - Accent1 12 3 2 2" xfId="53469"/>
    <cellStyle name="20% - Accent1 12 3 3" xfId="36422"/>
    <cellStyle name="20% - Accent1 12 4" xfId="13746"/>
    <cellStyle name="20% - Accent1 12 4 2" xfId="18836"/>
    <cellStyle name="20% - Accent1 12 4 2 2" xfId="47697"/>
    <cellStyle name="20% - Accent1 12 4 3" xfId="42607"/>
    <cellStyle name="20% - Accent1 12 5" xfId="16156"/>
    <cellStyle name="20% - Accent1 12 5 2" xfId="45017"/>
    <cellStyle name="20% - Accent1 12 6" xfId="30381"/>
    <cellStyle name="20% - Accent1 13" xfId="1725"/>
    <cellStyle name="20% - Accent1 13 2" xfId="4612"/>
    <cellStyle name="20% - Accent1 13 2 2" xfId="10653"/>
    <cellStyle name="20% - Accent1 13 2 2 2" xfId="27700"/>
    <cellStyle name="20% - Accent1 13 2 2 2 2" xfId="56561"/>
    <cellStyle name="20% - Accent1 13 2 2 3" xfId="39514"/>
    <cellStyle name="20% - Accent1 13 2 3" xfId="21722"/>
    <cellStyle name="20% - Accent1 13 2 3 2" xfId="50583"/>
    <cellStyle name="20% - Accent1 13 2 4" xfId="33473"/>
    <cellStyle name="20% - Accent1 13 3" xfId="7767"/>
    <cellStyle name="20% - Accent1 13 3 2" xfId="24814"/>
    <cellStyle name="20% - Accent1 13 3 2 2" xfId="53675"/>
    <cellStyle name="20% - Accent1 13 3 3" xfId="36628"/>
    <cellStyle name="20% - Accent1 13 4" xfId="13668"/>
    <cellStyle name="20% - Accent1 13 4 2" xfId="19042"/>
    <cellStyle name="20% - Accent1 13 4 2 2" xfId="47903"/>
    <cellStyle name="20% - Accent1 13 4 3" xfId="42529"/>
    <cellStyle name="20% - Accent1 13 5" xfId="16362"/>
    <cellStyle name="20% - Accent1 13 5 2" xfId="45223"/>
    <cellStyle name="20% - Accent1 13 6" xfId="30587"/>
    <cellStyle name="20% - Accent1 14" xfId="1931"/>
    <cellStyle name="20% - Accent1 14 2" xfId="4818"/>
    <cellStyle name="20% - Accent1 14 2 2" xfId="10859"/>
    <cellStyle name="20% - Accent1 14 2 2 2" xfId="27906"/>
    <cellStyle name="20% - Accent1 14 2 2 2 2" xfId="56767"/>
    <cellStyle name="20% - Accent1 14 2 2 3" xfId="39720"/>
    <cellStyle name="20% - Accent1 14 2 3" xfId="21928"/>
    <cellStyle name="20% - Accent1 14 2 3 2" xfId="50789"/>
    <cellStyle name="20% - Accent1 14 2 4" xfId="33679"/>
    <cellStyle name="20% - Accent1 14 3" xfId="7973"/>
    <cellStyle name="20% - Accent1 14 3 2" xfId="25020"/>
    <cellStyle name="20% - Accent1 14 3 2 2" xfId="53881"/>
    <cellStyle name="20% - Accent1 14 3 3" xfId="36834"/>
    <cellStyle name="20% - Accent1 14 4" xfId="11989"/>
    <cellStyle name="20% - Accent1 14 4 2" xfId="19248"/>
    <cellStyle name="20% - Accent1 14 4 2 2" xfId="48109"/>
    <cellStyle name="20% - Accent1 14 4 3" xfId="40850"/>
    <cellStyle name="20% - Accent1 14 5" xfId="16568"/>
    <cellStyle name="20% - Accent1 14 5 2" xfId="45429"/>
    <cellStyle name="20% - Accent1 14 6" xfId="30793"/>
    <cellStyle name="20% - Accent1 15" xfId="2343"/>
    <cellStyle name="20% - Accent1 15 2" xfId="5230"/>
    <cellStyle name="20% - Accent1 15 2 2" xfId="11271"/>
    <cellStyle name="20% - Accent1 15 2 2 2" xfId="28318"/>
    <cellStyle name="20% - Accent1 15 2 2 2 2" xfId="57179"/>
    <cellStyle name="20% - Accent1 15 2 2 3" xfId="40132"/>
    <cellStyle name="20% - Accent1 15 2 3" xfId="22340"/>
    <cellStyle name="20% - Accent1 15 2 3 2" xfId="51201"/>
    <cellStyle name="20% - Accent1 15 2 4" xfId="34091"/>
    <cellStyle name="20% - Accent1 15 3" xfId="8385"/>
    <cellStyle name="20% - Accent1 15 3 2" xfId="25432"/>
    <cellStyle name="20% - Accent1 15 3 2 2" xfId="54293"/>
    <cellStyle name="20% - Accent1 15 3 3" xfId="37246"/>
    <cellStyle name="20% - Accent1 15 4" xfId="12314"/>
    <cellStyle name="20% - Accent1 15 4 2" xfId="19660"/>
    <cellStyle name="20% - Accent1 15 4 2 2" xfId="48521"/>
    <cellStyle name="20% - Accent1 15 4 3" xfId="41175"/>
    <cellStyle name="20% - Accent1 15 5" xfId="16980"/>
    <cellStyle name="20% - Accent1 15 5 2" xfId="45841"/>
    <cellStyle name="20% - Accent1 15 6" xfId="31205"/>
    <cellStyle name="20% - Accent1 16" xfId="2552"/>
    <cellStyle name="20% - Accent1 16 2" xfId="5438"/>
    <cellStyle name="20% - Accent1 16 2 2" xfId="11479"/>
    <cellStyle name="20% - Accent1 16 2 2 2" xfId="28526"/>
    <cellStyle name="20% - Accent1 16 2 2 2 2" xfId="57387"/>
    <cellStyle name="20% - Accent1 16 2 2 3" xfId="40340"/>
    <cellStyle name="20% - Accent1 16 2 3" xfId="22548"/>
    <cellStyle name="20% - Accent1 16 2 3 2" xfId="51409"/>
    <cellStyle name="20% - Accent1 16 2 4" xfId="34299"/>
    <cellStyle name="20% - Accent1 16 3" xfId="8593"/>
    <cellStyle name="20% - Accent1 16 3 2" xfId="25640"/>
    <cellStyle name="20% - Accent1 16 3 2 2" xfId="54501"/>
    <cellStyle name="20% - Accent1 16 3 3" xfId="37454"/>
    <cellStyle name="20% - Accent1 16 4" xfId="12477"/>
    <cellStyle name="20% - Accent1 16 4 2" xfId="19868"/>
    <cellStyle name="20% - Accent1 16 4 2 2" xfId="48729"/>
    <cellStyle name="20% - Accent1 16 4 3" xfId="41338"/>
    <cellStyle name="20% - Accent1 16 5" xfId="17188"/>
    <cellStyle name="20% - Accent1 16 5 2" xfId="46049"/>
    <cellStyle name="20% - Accent1 16 6" xfId="31413"/>
    <cellStyle name="20% - Accent1 17" xfId="2964"/>
    <cellStyle name="20% - Accent1 17 2" xfId="9005"/>
    <cellStyle name="20% - Accent1 17 2 2" xfId="26052"/>
    <cellStyle name="20% - Accent1 17 2 2 2" xfId="54913"/>
    <cellStyle name="20% - Accent1 17 2 3" xfId="37866"/>
    <cellStyle name="20% - Accent1 17 3" xfId="14020"/>
    <cellStyle name="20% - Accent1 17 3 2" xfId="20074"/>
    <cellStyle name="20% - Accent1 17 3 2 2" xfId="48935"/>
    <cellStyle name="20% - Accent1 17 3 3" xfId="42881"/>
    <cellStyle name="20% - Accent1 17 4" xfId="14714"/>
    <cellStyle name="20% - Accent1 17 4 2" xfId="43575"/>
    <cellStyle name="20% - Accent1 17 5" xfId="31825"/>
    <cellStyle name="20% - Accent1 18" xfId="2758"/>
    <cellStyle name="20% - Accent1 18 2" xfId="8799"/>
    <cellStyle name="20% - Accent1 18 2 2" xfId="25846"/>
    <cellStyle name="20% - Accent1 18 2 2 2" xfId="54707"/>
    <cellStyle name="20% - Accent1 18 2 3" xfId="37660"/>
    <cellStyle name="20% - Accent1 18 3" xfId="17394"/>
    <cellStyle name="20% - Accent1 18 3 2" xfId="46255"/>
    <cellStyle name="20% - Accent1 18 4" xfId="31619"/>
    <cellStyle name="20% - Accent1 19" xfId="5644"/>
    <cellStyle name="20% - Accent1 19 2" xfId="11685"/>
    <cellStyle name="20% - Accent1 19 2 2" xfId="28732"/>
    <cellStyle name="20% - Accent1 19 2 2 2" xfId="57593"/>
    <cellStyle name="20% - Accent1 19 2 3" xfId="40546"/>
    <cellStyle name="20% - Accent1 19 3" xfId="22754"/>
    <cellStyle name="20% - Accent1 19 3 2" xfId="51615"/>
    <cellStyle name="20% - Accent1 19 4" xfId="34505"/>
    <cellStyle name="20% - Accent1 2" xfId="91"/>
    <cellStyle name="20% - Accent1 2 10" xfId="1327"/>
    <cellStyle name="20% - Accent1 2 10 2" xfId="4214"/>
    <cellStyle name="20% - Accent1 2 10 2 2" xfId="10255"/>
    <cellStyle name="20% - Accent1 2 10 2 2 2" xfId="27302"/>
    <cellStyle name="20% - Accent1 2 10 2 2 2 2" xfId="56163"/>
    <cellStyle name="20% - Accent1 2 10 2 2 3" xfId="39116"/>
    <cellStyle name="20% - Accent1 2 10 2 3" xfId="21324"/>
    <cellStyle name="20% - Accent1 2 10 2 3 2" xfId="50185"/>
    <cellStyle name="20% - Accent1 2 10 2 4" xfId="33075"/>
    <cellStyle name="20% - Accent1 2 10 3" xfId="7369"/>
    <cellStyle name="20% - Accent1 2 10 3 2" xfId="24416"/>
    <cellStyle name="20% - Accent1 2 10 3 2 2" xfId="53277"/>
    <cellStyle name="20% - Accent1 2 10 3 3" xfId="36230"/>
    <cellStyle name="20% - Accent1 2 10 4" xfId="13113"/>
    <cellStyle name="20% - Accent1 2 10 4 2" xfId="18644"/>
    <cellStyle name="20% - Accent1 2 10 4 2 2" xfId="47505"/>
    <cellStyle name="20% - Accent1 2 10 4 3" xfId="41974"/>
    <cellStyle name="20% - Accent1 2 10 5" xfId="15964"/>
    <cellStyle name="20% - Accent1 2 10 5 2" xfId="44825"/>
    <cellStyle name="20% - Accent1 2 10 6" xfId="30189"/>
    <cellStyle name="20% - Accent1 2 11" xfId="1533"/>
    <cellStyle name="20% - Accent1 2 11 2" xfId="4420"/>
    <cellStyle name="20% - Accent1 2 11 2 2" xfId="10461"/>
    <cellStyle name="20% - Accent1 2 11 2 2 2" xfId="27508"/>
    <cellStyle name="20% - Accent1 2 11 2 2 2 2" xfId="56369"/>
    <cellStyle name="20% - Accent1 2 11 2 2 3" xfId="39322"/>
    <cellStyle name="20% - Accent1 2 11 2 3" xfId="21530"/>
    <cellStyle name="20% - Accent1 2 11 2 3 2" xfId="50391"/>
    <cellStyle name="20% - Accent1 2 11 2 4" xfId="33281"/>
    <cellStyle name="20% - Accent1 2 11 3" xfId="7575"/>
    <cellStyle name="20% - Accent1 2 11 3 2" xfId="24622"/>
    <cellStyle name="20% - Accent1 2 11 3 2 2" xfId="53483"/>
    <cellStyle name="20% - Accent1 2 11 3 3" xfId="36436"/>
    <cellStyle name="20% - Accent1 2 11 4" xfId="12484"/>
    <cellStyle name="20% - Accent1 2 11 4 2" xfId="18850"/>
    <cellStyle name="20% - Accent1 2 11 4 2 2" xfId="47711"/>
    <cellStyle name="20% - Accent1 2 11 4 3" xfId="41345"/>
    <cellStyle name="20% - Accent1 2 11 5" xfId="16170"/>
    <cellStyle name="20% - Accent1 2 11 5 2" xfId="45031"/>
    <cellStyle name="20% - Accent1 2 11 6" xfId="30395"/>
    <cellStyle name="20% - Accent1 2 12" xfId="1739"/>
    <cellStyle name="20% - Accent1 2 12 2" xfId="4626"/>
    <cellStyle name="20% - Accent1 2 12 2 2" xfId="10667"/>
    <cellStyle name="20% - Accent1 2 12 2 2 2" xfId="27714"/>
    <cellStyle name="20% - Accent1 2 12 2 2 2 2" xfId="56575"/>
    <cellStyle name="20% - Accent1 2 12 2 2 3" xfId="39528"/>
    <cellStyle name="20% - Accent1 2 12 2 3" xfId="21736"/>
    <cellStyle name="20% - Accent1 2 12 2 3 2" xfId="50597"/>
    <cellStyle name="20% - Accent1 2 12 2 4" xfId="33487"/>
    <cellStyle name="20% - Accent1 2 12 3" xfId="7781"/>
    <cellStyle name="20% - Accent1 2 12 3 2" xfId="24828"/>
    <cellStyle name="20% - Accent1 2 12 3 2 2" xfId="53689"/>
    <cellStyle name="20% - Accent1 2 12 3 3" xfId="36642"/>
    <cellStyle name="20% - Accent1 2 12 4" xfId="12762"/>
    <cellStyle name="20% - Accent1 2 12 4 2" xfId="19056"/>
    <cellStyle name="20% - Accent1 2 12 4 2 2" xfId="47917"/>
    <cellStyle name="20% - Accent1 2 12 4 3" xfId="41623"/>
    <cellStyle name="20% - Accent1 2 12 5" xfId="16376"/>
    <cellStyle name="20% - Accent1 2 12 5 2" xfId="45237"/>
    <cellStyle name="20% - Accent1 2 12 6" xfId="30601"/>
    <cellStyle name="20% - Accent1 2 13" xfId="1945"/>
    <cellStyle name="20% - Accent1 2 13 2" xfId="4832"/>
    <cellStyle name="20% - Accent1 2 13 2 2" xfId="10873"/>
    <cellStyle name="20% - Accent1 2 13 2 2 2" xfId="27920"/>
    <cellStyle name="20% - Accent1 2 13 2 2 2 2" xfId="56781"/>
    <cellStyle name="20% - Accent1 2 13 2 2 3" xfId="39734"/>
    <cellStyle name="20% - Accent1 2 13 2 3" xfId="21942"/>
    <cellStyle name="20% - Accent1 2 13 2 3 2" xfId="50803"/>
    <cellStyle name="20% - Accent1 2 13 2 4" xfId="33693"/>
    <cellStyle name="20% - Accent1 2 13 3" xfId="7987"/>
    <cellStyle name="20% - Accent1 2 13 3 2" xfId="25034"/>
    <cellStyle name="20% - Accent1 2 13 3 2 2" xfId="53895"/>
    <cellStyle name="20% - Accent1 2 13 3 3" xfId="36848"/>
    <cellStyle name="20% - Accent1 2 13 4" xfId="12545"/>
    <cellStyle name="20% - Accent1 2 13 4 2" xfId="19262"/>
    <cellStyle name="20% - Accent1 2 13 4 2 2" xfId="48123"/>
    <cellStyle name="20% - Accent1 2 13 4 3" xfId="41406"/>
    <cellStyle name="20% - Accent1 2 13 5" xfId="16582"/>
    <cellStyle name="20% - Accent1 2 13 5 2" xfId="45443"/>
    <cellStyle name="20% - Accent1 2 13 6" xfId="30807"/>
    <cellStyle name="20% - Accent1 2 14" xfId="2357"/>
    <cellStyle name="20% - Accent1 2 14 2" xfId="5244"/>
    <cellStyle name="20% - Accent1 2 14 2 2" xfId="11285"/>
    <cellStyle name="20% - Accent1 2 14 2 2 2" xfId="28332"/>
    <cellStyle name="20% - Accent1 2 14 2 2 2 2" xfId="57193"/>
    <cellStyle name="20% - Accent1 2 14 2 2 3" xfId="40146"/>
    <cellStyle name="20% - Accent1 2 14 2 3" xfId="22354"/>
    <cellStyle name="20% - Accent1 2 14 2 3 2" xfId="51215"/>
    <cellStyle name="20% - Accent1 2 14 2 4" xfId="34105"/>
    <cellStyle name="20% - Accent1 2 14 3" xfId="8399"/>
    <cellStyle name="20% - Accent1 2 14 3 2" xfId="25446"/>
    <cellStyle name="20% - Accent1 2 14 3 2 2" xfId="54307"/>
    <cellStyle name="20% - Accent1 2 14 3 3" xfId="37260"/>
    <cellStyle name="20% - Accent1 2 14 4" xfId="12359"/>
    <cellStyle name="20% - Accent1 2 14 4 2" xfId="19674"/>
    <cellStyle name="20% - Accent1 2 14 4 2 2" xfId="48535"/>
    <cellStyle name="20% - Accent1 2 14 4 3" xfId="41220"/>
    <cellStyle name="20% - Accent1 2 14 5" xfId="16994"/>
    <cellStyle name="20% - Accent1 2 14 5 2" xfId="45855"/>
    <cellStyle name="20% - Accent1 2 14 6" xfId="31219"/>
    <cellStyle name="20% - Accent1 2 15" xfId="2566"/>
    <cellStyle name="20% - Accent1 2 15 2" xfId="5452"/>
    <cellStyle name="20% - Accent1 2 15 2 2" xfId="11493"/>
    <cellStyle name="20% - Accent1 2 15 2 2 2" xfId="28540"/>
    <cellStyle name="20% - Accent1 2 15 2 2 2 2" xfId="57401"/>
    <cellStyle name="20% - Accent1 2 15 2 2 3" xfId="40354"/>
    <cellStyle name="20% - Accent1 2 15 2 3" xfId="22562"/>
    <cellStyle name="20% - Accent1 2 15 2 3 2" xfId="51423"/>
    <cellStyle name="20% - Accent1 2 15 2 4" xfId="34313"/>
    <cellStyle name="20% - Accent1 2 15 3" xfId="8607"/>
    <cellStyle name="20% - Accent1 2 15 3 2" xfId="25654"/>
    <cellStyle name="20% - Accent1 2 15 3 2 2" xfId="54515"/>
    <cellStyle name="20% - Accent1 2 15 3 3" xfId="37468"/>
    <cellStyle name="20% - Accent1 2 15 4" xfId="12818"/>
    <cellStyle name="20% - Accent1 2 15 4 2" xfId="19882"/>
    <cellStyle name="20% - Accent1 2 15 4 2 2" xfId="48743"/>
    <cellStyle name="20% - Accent1 2 15 4 3" xfId="41679"/>
    <cellStyle name="20% - Accent1 2 15 5" xfId="17202"/>
    <cellStyle name="20% - Accent1 2 15 5 2" xfId="46063"/>
    <cellStyle name="20% - Accent1 2 15 6" xfId="31427"/>
    <cellStyle name="20% - Accent1 2 16" xfId="2978"/>
    <cellStyle name="20% - Accent1 2 16 2" xfId="9019"/>
    <cellStyle name="20% - Accent1 2 16 2 2" xfId="26066"/>
    <cellStyle name="20% - Accent1 2 16 2 2 2" xfId="54927"/>
    <cellStyle name="20% - Accent1 2 16 2 3" xfId="37880"/>
    <cellStyle name="20% - Accent1 2 16 3" xfId="12856"/>
    <cellStyle name="20% - Accent1 2 16 3 2" xfId="20088"/>
    <cellStyle name="20% - Accent1 2 16 3 2 2" xfId="48949"/>
    <cellStyle name="20% - Accent1 2 16 3 3" xfId="41717"/>
    <cellStyle name="20% - Accent1 2 16 4" xfId="14728"/>
    <cellStyle name="20% - Accent1 2 16 4 2" xfId="43589"/>
    <cellStyle name="20% - Accent1 2 16 5" xfId="31839"/>
    <cellStyle name="20% - Accent1 2 17" xfId="2772"/>
    <cellStyle name="20% - Accent1 2 17 2" xfId="8813"/>
    <cellStyle name="20% - Accent1 2 17 2 2" xfId="25860"/>
    <cellStyle name="20% - Accent1 2 17 2 2 2" xfId="54721"/>
    <cellStyle name="20% - Accent1 2 17 2 3" xfId="37674"/>
    <cellStyle name="20% - Accent1 2 17 3" xfId="17408"/>
    <cellStyle name="20% - Accent1 2 17 3 2" xfId="46269"/>
    <cellStyle name="20% - Accent1 2 17 4" xfId="31633"/>
    <cellStyle name="20% - Accent1 2 18" xfId="5658"/>
    <cellStyle name="20% - Accent1 2 18 2" xfId="11699"/>
    <cellStyle name="20% - Accent1 2 18 2 2" xfId="28746"/>
    <cellStyle name="20% - Accent1 2 18 2 2 2" xfId="57607"/>
    <cellStyle name="20% - Accent1 2 18 2 3" xfId="40560"/>
    <cellStyle name="20% - Accent1 2 18 3" xfId="22768"/>
    <cellStyle name="20% - Accent1 2 18 3 2" xfId="51629"/>
    <cellStyle name="20% - Accent1 2 18 4" xfId="34519"/>
    <cellStyle name="20% - Accent1 2 19" xfId="5875"/>
    <cellStyle name="20% - Accent1 2 19 2" xfId="22974"/>
    <cellStyle name="20% - Accent1 2 19 2 2" xfId="51835"/>
    <cellStyle name="20% - Accent1 2 19 3" xfId="34736"/>
    <cellStyle name="20% - Accent1 2 2" xfId="117"/>
    <cellStyle name="20% - Accent1 2 2 10" xfId="1765"/>
    <cellStyle name="20% - Accent1 2 2 10 2" xfId="4652"/>
    <cellStyle name="20% - Accent1 2 2 10 2 2" xfId="10693"/>
    <cellStyle name="20% - Accent1 2 2 10 2 2 2" xfId="27740"/>
    <cellStyle name="20% - Accent1 2 2 10 2 2 2 2" xfId="56601"/>
    <cellStyle name="20% - Accent1 2 2 10 2 2 3" xfId="39554"/>
    <cellStyle name="20% - Accent1 2 2 10 2 3" xfId="21762"/>
    <cellStyle name="20% - Accent1 2 2 10 2 3 2" xfId="50623"/>
    <cellStyle name="20% - Accent1 2 2 10 2 4" xfId="33513"/>
    <cellStyle name="20% - Accent1 2 2 10 3" xfId="7807"/>
    <cellStyle name="20% - Accent1 2 2 10 3 2" xfId="24854"/>
    <cellStyle name="20% - Accent1 2 2 10 3 2 2" xfId="53715"/>
    <cellStyle name="20% - Accent1 2 2 10 3 3" xfId="36668"/>
    <cellStyle name="20% - Accent1 2 2 10 4" xfId="14424"/>
    <cellStyle name="20% - Accent1 2 2 10 4 2" xfId="19082"/>
    <cellStyle name="20% - Accent1 2 2 10 4 2 2" xfId="47943"/>
    <cellStyle name="20% - Accent1 2 2 10 4 3" xfId="43285"/>
    <cellStyle name="20% - Accent1 2 2 10 5" xfId="16402"/>
    <cellStyle name="20% - Accent1 2 2 10 5 2" xfId="45263"/>
    <cellStyle name="20% - Accent1 2 2 10 6" xfId="30627"/>
    <cellStyle name="20% - Accent1 2 2 11" xfId="1971"/>
    <cellStyle name="20% - Accent1 2 2 11 2" xfId="4858"/>
    <cellStyle name="20% - Accent1 2 2 11 2 2" xfId="10899"/>
    <cellStyle name="20% - Accent1 2 2 11 2 2 2" xfId="27946"/>
    <cellStyle name="20% - Accent1 2 2 11 2 2 2 2" xfId="56807"/>
    <cellStyle name="20% - Accent1 2 2 11 2 2 3" xfId="39760"/>
    <cellStyle name="20% - Accent1 2 2 11 2 3" xfId="21968"/>
    <cellStyle name="20% - Accent1 2 2 11 2 3 2" xfId="50829"/>
    <cellStyle name="20% - Accent1 2 2 11 2 4" xfId="33719"/>
    <cellStyle name="20% - Accent1 2 2 11 3" xfId="8013"/>
    <cellStyle name="20% - Accent1 2 2 11 3 2" xfId="25060"/>
    <cellStyle name="20% - Accent1 2 2 11 3 2 2" xfId="53921"/>
    <cellStyle name="20% - Accent1 2 2 11 3 3" xfId="36874"/>
    <cellStyle name="20% - Accent1 2 2 11 4" xfId="14152"/>
    <cellStyle name="20% - Accent1 2 2 11 4 2" xfId="19288"/>
    <cellStyle name="20% - Accent1 2 2 11 4 2 2" xfId="48149"/>
    <cellStyle name="20% - Accent1 2 2 11 4 3" xfId="43013"/>
    <cellStyle name="20% - Accent1 2 2 11 5" xfId="16608"/>
    <cellStyle name="20% - Accent1 2 2 11 5 2" xfId="45469"/>
    <cellStyle name="20% - Accent1 2 2 11 6" xfId="30833"/>
    <cellStyle name="20% - Accent1 2 2 12" xfId="2383"/>
    <cellStyle name="20% - Accent1 2 2 12 2" xfId="5270"/>
    <cellStyle name="20% - Accent1 2 2 12 2 2" xfId="11311"/>
    <cellStyle name="20% - Accent1 2 2 12 2 2 2" xfId="28358"/>
    <cellStyle name="20% - Accent1 2 2 12 2 2 2 2" xfId="57219"/>
    <cellStyle name="20% - Accent1 2 2 12 2 2 3" xfId="40172"/>
    <cellStyle name="20% - Accent1 2 2 12 2 3" xfId="22380"/>
    <cellStyle name="20% - Accent1 2 2 12 2 3 2" xfId="51241"/>
    <cellStyle name="20% - Accent1 2 2 12 2 4" xfId="34131"/>
    <cellStyle name="20% - Accent1 2 2 12 3" xfId="8425"/>
    <cellStyle name="20% - Accent1 2 2 12 3 2" xfId="25472"/>
    <cellStyle name="20% - Accent1 2 2 12 3 2 2" xfId="54333"/>
    <cellStyle name="20% - Accent1 2 2 12 3 3" xfId="37286"/>
    <cellStyle name="20% - Accent1 2 2 12 4" xfId="12554"/>
    <cellStyle name="20% - Accent1 2 2 12 4 2" xfId="19700"/>
    <cellStyle name="20% - Accent1 2 2 12 4 2 2" xfId="48561"/>
    <cellStyle name="20% - Accent1 2 2 12 4 3" xfId="41415"/>
    <cellStyle name="20% - Accent1 2 2 12 5" xfId="17020"/>
    <cellStyle name="20% - Accent1 2 2 12 5 2" xfId="45881"/>
    <cellStyle name="20% - Accent1 2 2 12 6" xfId="31245"/>
    <cellStyle name="20% - Accent1 2 2 13" xfId="2592"/>
    <cellStyle name="20% - Accent1 2 2 13 2" xfId="5478"/>
    <cellStyle name="20% - Accent1 2 2 13 2 2" xfId="11519"/>
    <cellStyle name="20% - Accent1 2 2 13 2 2 2" xfId="28566"/>
    <cellStyle name="20% - Accent1 2 2 13 2 2 2 2" xfId="57427"/>
    <cellStyle name="20% - Accent1 2 2 13 2 2 3" xfId="40380"/>
    <cellStyle name="20% - Accent1 2 2 13 2 3" xfId="22588"/>
    <cellStyle name="20% - Accent1 2 2 13 2 3 2" xfId="51449"/>
    <cellStyle name="20% - Accent1 2 2 13 2 4" xfId="34339"/>
    <cellStyle name="20% - Accent1 2 2 13 3" xfId="8633"/>
    <cellStyle name="20% - Accent1 2 2 13 3 2" xfId="25680"/>
    <cellStyle name="20% - Accent1 2 2 13 3 2 2" xfId="54541"/>
    <cellStyle name="20% - Accent1 2 2 13 3 3" xfId="37494"/>
    <cellStyle name="20% - Accent1 2 2 13 4" xfId="11970"/>
    <cellStyle name="20% - Accent1 2 2 13 4 2" xfId="19908"/>
    <cellStyle name="20% - Accent1 2 2 13 4 2 2" xfId="48769"/>
    <cellStyle name="20% - Accent1 2 2 13 4 3" xfId="40831"/>
    <cellStyle name="20% - Accent1 2 2 13 5" xfId="17228"/>
    <cellStyle name="20% - Accent1 2 2 13 5 2" xfId="46089"/>
    <cellStyle name="20% - Accent1 2 2 13 6" xfId="31453"/>
    <cellStyle name="20% - Accent1 2 2 14" xfId="3004"/>
    <cellStyle name="20% - Accent1 2 2 14 2" xfId="9045"/>
    <cellStyle name="20% - Accent1 2 2 14 2 2" xfId="26092"/>
    <cellStyle name="20% - Accent1 2 2 14 2 2 2" xfId="54953"/>
    <cellStyle name="20% - Accent1 2 2 14 2 3" xfId="37906"/>
    <cellStyle name="20% - Accent1 2 2 14 3" xfId="12193"/>
    <cellStyle name="20% - Accent1 2 2 14 3 2" xfId="20114"/>
    <cellStyle name="20% - Accent1 2 2 14 3 2 2" xfId="48975"/>
    <cellStyle name="20% - Accent1 2 2 14 3 3" xfId="41054"/>
    <cellStyle name="20% - Accent1 2 2 14 4" xfId="14754"/>
    <cellStyle name="20% - Accent1 2 2 14 4 2" xfId="43615"/>
    <cellStyle name="20% - Accent1 2 2 14 5" xfId="31865"/>
    <cellStyle name="20% - Accent1 2 2 15" xfId="2798"/>
    <cellStyle name="20% - Accent1 2 2 15 2" xfId="8839"/>
    <cellStyle name="20% - Accent1 2 2 15 2 2" xfId="25886"/>
    <cellStyle name="20% - Accent1 2 2 15 2 2 2" xfId="54747"/>
    <cellStyle name="20% - Accent1 2 2 15 2 3" xfId="37700"/>
    <cellStyle name="20% - Accent1 2 2 15 3" xfId="17434"/>
    <cellStyle name="20% - Accent1 2 2 15 3 2" xfId="46295"/>
    <cellStyle name="20% - Accent1 2 2 15 4" xfId="31659"/>
    <cellStyle name="20% - Accent1 2 2 16" xfId="5684"/>
    <cellStyle name="20% - Accent1 2 2 16 2" xfId="11725"/>
    <cellStyle name="20% - Accent1 2 2 16 2 2" xfId="28772"/>
    <cellStyle name="20% - Accent1 2 2 16 2 2 2" xfId="57633"/>
    <cellStyle name="20% - Accent1 2 2 16 2 3" xfId="40586"/>
    <cellStyle name="20% - Accent1 2 2 16 3" xfId="22794"/>
    <cellStyle name="20% - Accent1 2 2 16 3 2" xfId="51655"/>
    <cellStyle name="20% - Accent1 2 2 16 4" xfId="34545"/>
    <cellStyle name="20% - Accent1 2 2 17" xfId="5901"/>
    <cellStyle name="20% - Accent1 2 2 17 2" xfId="23000"/>
    <cellStyle name="20% - Accent1 2 2 17 2 2" xfId="51861"/>
    <cellStyle name="20% - Accent1 2 2 17 3" xfId="34762"/>
    <cellStyle name="20% - Accent1 2 2 18" xfId="6159"/>
    <cellStyle name="20% - Accent1 2 2 18 2" xfId="23206"/>
    <cellStyle name="20% - Accent1 2 2 18 2 2" xfId="52067"/>
    <cellStyle name="20% - Accent1 2 2 18 3" xfId="35020"/>
    <cellStyle name="20% - Accent1 2 2 19" xfId="14548"/>
    <cellStyle name="20% - Accent1 2 2 19 2" xfId="43409"/>
    <cellStyle name="20% - Accent1 2 2 2" xfId="323"/>
    <cellStyle name="20% - Accent1 2 2 2 10" xfId="2486"/>
    <cellStyle name="20% - Accent1 2 2 2 10 2" xfId="5373"/>
    <cellStyle name="20% - Accent1 2 2 2 10 2 2" xfId="11414"/>
    <cellStyle name="20% - Accent1 2 2 2 10 2 2 2" xfId="28461"/>
    <cellStyle name="20% - Accent1 2 2 2 10 2 2 2 2" xfId="57322"/>
    <cellStyle name="20% - Accent1 2 2 2 10 2 2 3" xfId="40275"/>
    <cellStyle name="20% - Accent1 2 2 2 10 2 3" xfId="22483"/>
    <cellStyle name="20% - Accent1 2 2 2 10 2 3 2" xfId="51344"/>
    <cellStyle name="20% - Accent1 2 2 2 10 2 4" xfId="34234"/>
    <cellStyle name="20% - Accent1 2 2 2 10 3" xfId="8528"/>
    <cellStyle name="20% - Accent1 2 2 2 10 3 2" xfId="25575"/>
    <cellStyle name="20% - Accent1 2 2 2 10 3 2 2" xfId="54436"/>
    <cellStyle name="20% - Accent1 2 2 2 10 3 3" xfId="37389"/>
    <cellStyle name="20% - Accent1 2 2 2 10 4" xfId="14392"/>
    <cellStyle name="20% - Accent1 2 2 2 10 4 2" xfId="19803"/>
    <cellStyle name="20% - Accent1 2 2 2 10 4 2 2" xfId="48664"/>
    <cellStyle name="20% - Accent1 2 2 2 10 4 3" xfId="43253"/>
    <cellStyle name="20% - Accent1 2 2 2 10 5" xfId="17123"/>
    <cellStyle name="20% - Accent1 2 2 2 10 5 2" xfId="45984"/>
    <cellStyle name="20% - Accent1 2 2 2 10 6" xfId="31348"/>
    <cellStyle name="20% - Accent1 2 2 2 11" xfId="2695"/>
    <cellStyle name="20% - Accent1 2 2 2 11 2" xfId="5581"/>
    <cellStyle name="20% - Accent1 2 2 2 11 2 2" xfId="11622"/>
    <cellStyle name="20% - Accent1 2 2 2 11 2 2 2" xfId="28669"/>
    <cellStyle name="20% - Accent1 2 2 2 11 2 2 2 2" xfId="57530"/>
    <cellStyle name="20% - Accent1 2 2 2 11 2 2 3" xfId="40483"/>
    <cellStyle name="20% - Accent1 2 2 2 11 2 3" xfId="22691"/>
    <cellStyle name="20% - Accent1 2 2 2 11 2 3 2" xfId="51552"/>
    <cellStyle name="20% - Accent1 2 2 2 11 2 4" xfId="34442"/>
    <cellStyle name="20% - Accent1 2 2 2 11 3" xfId="8736"/>
    <cellStyle name="20% - Accent1 2 2 2 11 3 2" xfId="25783"/>
    <cellStyle name="20% - Accent1 2 2 2 11 3 2 2" xfId="54644"/>
    <cellStyle name="20% - Accent1 2 2 2 11 3 3" xfId="37597"/>
    <cellStyle name="20% - Accent1 2 2 2 11 4" xfId="12427"/>
    <cellStyle name="20% - Accent1 2 2 2 11 4 2" xfId="20011"/>
    <cellStyle name="20% - Accent1 2 2 2 11 4 2 2" xfId="48872"/>
    <cellStyle name="20% - Accent1 2 2 2 11 4 3" xfId="41288"/>
    <cellStyle name="20% - Accent1 2 2 2 11 5" xfId="17331"/>
    <cellStyle name="20% - Accent1 2 2 2 11 5 2" xfId="46192"/>
    <cellStyle name="20% - Accent1 2 2 2 11 6" xfId="31556"/>
    <cellStyle name="20% - Accent1 2 2 2 12" xfId="3210"/>
    <cellStyle name="20% - Accent1 2 2 2 12 2" xfId="9251"/>
    <cellStyle name="20% - Accent1 2 2 2 12 2 2" xfId="26298"/>
    <cellStyle name="20% - Accent1 2 2 2 12 2 2 2" xfId="55159"/>
    <cellStyle name="20% - Accent1 2 2 2 12 2 3" xfId="38112"/>
    <cellStyle name="20% - Accent1 2 2 2 12 3" xfId="12495"/>
    <cellStyle name="20% - Accent1 2 2 2 12 3 2" xfId="20320"/>
    <cellStyle name="20% - Accent1 2 2 2 12 3 2 2" xfId="49181"/>
    <cellStyle name="20% - Accent1 2 2 2 12 3 3" xfId="41356"/>
    <cellStyle name="20% - Accent1 2 2 2 12 4" xfId="14960"/>
    <cellStyle name="20% - Accent1 2 2 2 12 4 2" xfId="43821"/>
    <cellStyle name="20% - Accent1 2 2 2 12 5" xfId="32071"/>
    <cellStyle name="20% - Accent1 2 2 2 13" xfId="2901"/>
    <cellStyle name="20% - Accent1 2 2 2 13 2" xfId="8942"/>
    <cellStyle name="20% - Accent1 2 2 2 13 2 2" xfId="25989"/>
    <cellStyle name="20% - Accent1 2 2 2 13 2 2 2" xfId="54850"/>
    <cellStyle name="20% - Accent1 2 2 2 13 2 3" xfId="37803"/>
    <cellStyle name="20% - Accent1 2 2 2 13 3" xfId="17537"/>
    <cellStyle name="20% - Accent1 2 2 2 13 3 2" xfId="46398"/>
    <cellStyle name="20% - Accent1 2 2 2 13 4" xfId="31762"/>
    <cellStyle name="20% - Accent1 2 2 2 14" xfId="5787"/>
    <cellStyle name="20% - Accent1 2 2 2 14 2" xfId="11828"/>
    <cellStyle name="20% - Accent1 2 2 2 14 2 2" xfId="28875"/>
    <cellStyle name="20% - Accent1 2 2 2 14 2 2 2" xfId="57736"/>
    <cellStyle name="20% - Accent1 2 2 2 14 2 3" xfId="40689"/>
    <cellStyle name="20% - Accent1 2 2 2 14 3" xfId="22897"/>
    <cellStyle name="20% - Accent1 2 2 2 14 3 2" xfId="51758"/>
    <cellStyle name="20% - Accent1 2 2 2 14 4" xfId="34648"/>
    <cellStyle name="20% - Accent1 2 2 2 15" xfId="6004"/>
    <cellStyle name="20% - Accent1 2 2 2 15 2" xfId="23103"/>
    <cellStyle name="20% - Accent1 2 2 2 15 2 2" xfId="51964"/>
    <cellStyle name="20% - Accent1 2 2 2 15 3" xfId="34865"/>
    <cellStyle name="20% - Accent1 2 2 2 16" xfId="6365"/>
    <cellStyle name="20% - Accent1 2 2 2 16 2" xfId="23412"/>
    <cellStyle name="20% - Accent1 2 2 2 16 2 2" xfId="52273"/>
    <cellStyle name="20% - Accent1 2 2 2 16 3" xfId="35226"/>
    <cellStyle name="20% - Accent1 2 2 2 17" xfId="14651"/>
    <cellStyle name="20% - Accent1 2 2 2 17 2" xfId="43512"/>
    <cellStyle name="20% - Accent1 2 2 2 18" xfId="29185"/>
    <cellStyle name="20% - Accent1 2 2 2 2" xfId="529"/>
    <cellStyle name="20% - Accent1 2 2 2 2 2" xfId="2280"/>
    <cellStyle name="20% - Accent1 2 2 2 2 2 2" xfId="5167"/>
    <cellStyle name="20% - Accent1 2 2 2 2 2 2 2" xfId="11208"/>
    <cellStyle name="20% - Accent1 2 2 2 2 2 2 2 2" xfId="28255"/>
    <cellStyle name="20% - Accent1 2 2 2 2 2 2 2 2 2" xfId="57116"/>
    <cellStyle name="20% - Accent1 2 2 2 2 2 2 2 3" xfId="40069"/>
    <cellStyle name="20% - Accent1 2 2 2 2 2 2 3" xfId="22277"/>
    <cellStyle name="20% - Accent1 2 2 2 2 2 2 3 2" xfId="51138"/>
    <cellStyle name="20% - Accent1 2 2 2 2 2 2 4" xfId="34028"/>
    <cellStyle name="20% - Accent1 2 2 2 2 2 3" xfId="8322"/>
    <cellStyle name="20% - Accent1 2 2 2 2 2 3 2" xfId="25369"/>
    <cellStyle name="20% - Accent1 2 2 2 2 2 3 2 2" xfId="54230"/>
    <cellStyle name="20% - Accent1 2 2 2 2 2 3 3" xfId="37183"/>
    <cellStyle name="20% - Accent1 2 2 2 2 2 4" xfId="12238"/>
    <cellStyle name="20% - Accent1 2 2 2 2 2 4 2" xfId="19597"/>
    <cellStyle name="20% - Accent1 2 2 2 2 2 4 2 2" xfId="48458"/>
    <cellStyle name="20% - Accent1 2 2 2 2 2 4 3" xfId="41099"/>
    <cellStyle name="20% - Accent1 2 2 2 2 2 5" xfId="16917"/>
    <cellStyle name="20% - Accent1 2 2 2 2 2 5 2" xfId="45778"/>
    <cellStyle name="20% - Accent1 2 2 2 2 2 6" xfId="31142"/>
    <cellStyle name="20% - Accent1 2 2 2 2 3" xfId="3416"/>
    <cellStyle name="20% - Accent1 2 2 2 2 3 2" xfId="9457"/>
    <cellStyle name="20% - Accent1 2 2 2 2 3 2 2" xfId="26504"/>
    <cellStyle name="20% - Accent1 2 2 2 2 3 2 2 2" xfId="55365"/>
    <cellStyle name="20% - Accent1 2 2 2 2 3 2 3" xfId="38318"/>
    <cellStyle name="20% - Accent1 2 2 2 2 3 3" xfId="20526"/>
    <cellStyle name="20% - Accent1 2 2 2 2 3 3 2" xfId="49387"/>
    <cellStyle name="20% - Accent1 2 2 2 2 3 4" xfId="32277"/>
    <cellStyle name="20% - Accent1 2 2 2 2 4" xfId="6571"/>
    <cellStyle name="20% - Accent1 2 2 2 2 4 2" xfId="23618"/>
    <cellStyle name="20% - Accent1 2 2 2 2 4 2 2" xfId="52479"/>
    <cellStyle name="20% - Accent1 2 2 2 2 4 3" xfId="35432"/>
    <cellStyle name="20% - Accent1 2 2 2 2 5" xfId="12753"/>
    <cellStyle name="20% - Accent1 2 2 2 2 5 2" xfId="17846"/>
    <cellStyle name="20% - Accent1 2 2 2 2 5 2 2" xfId="46707"/>
    <cellStyle name="20% - Accent1 2 2 2 2 5 3" xfId="41614"/>
    <cellStyle name="20% - Accent1 2 2 2 2 6" xfId="15166"/>
    <cellStyle name="20% - Accent1 2 2 2 2 6 2" xfId="44027"/>
    <cellStyle name="20% - Accent1 2 2 2 2 7" xfId="29391"/>
    <cellStyle name="20% - Accent1 2 2 2 3" xfId="838"/>
    <cellStyle name="20% - Accent1 2 2 2 3 2" xfId="3725"/>
    <cellStyle name="20% - Accent1 2 2 2 3 2 2" xfId="9766"/>
    <cellStyle name="20% - Accent1 2 2 2 3 2 2 2" xfId="26813"/>
    <cellStyle name="20% - Accent1 2 2 2 3 2 2 2 2" xfId="55674"/>
    <cellStyle name="20% - Accent1 2 2 2 3 2 2 3" xfId="38627"/>
    <cellStyle name="20% - Accent1 2 2 2 3 2 3" xfId="20835"/>
    <cellStyle name="20% - Accent1 2 2 2 3 2 3 2" xfId="49696"/>
    <cellStyle name="20% - Accent1 2 2 2 3 2 4" xfId="32586"/>
    <cellStyle name="20% - Accent1 2 2 2 3 3" xfId="6880"/>
    <cellStyle name="20% - Accent1 2 2 2 3 3 2" xfId="23927"/>
    <cellStyle name="20% - Accent1 2 2 2 3 3 2 2" xfId="52788"/>
    <cellStyle name="20% - Accent1 2 2 2 3 3 3" xfId="35741"/>
    <cellStyle name="20% - Accent1 2 2 2 3 4" xfId="14059"/>
    <cellStyle name="20% - Accent1 2 2 2 3 4 2" xfId="18155"/>
    <cellStyle name="20% - Accent1 2 2 2 3 4 2 2" xfId="47016"/>
    <cellStyle name="20% - Accent1 2 2 2 3 4 3" xfId="42920"/>
    <cellStyle name="20% - Accent1 2 2 2 3 5" xfId="15475"/>
    <cellStyle name="20% - Accent1 2 2 2 3 5 2" xfId="44336"/>
    <cellStyle name="20% - Accent1 2 2 2 3 6" xfId="29700"/>
    <cellStyle name="20% - Accent1 2 2 2 4" xfId="1044"/>
    <cellStyle name="20% - Accent1 2 2 2 4 2" xfId="3931"/>
    <cellStyle name="20% - Accent1 2 2 2 4 2 2" xfId="9972"/>
    <cellStyle name="20% - Accent1 2 2 2 4 2 2 2" xfId="27019"/>
    <cellStyle name="20% - Accent1 2 2 2 4 2 2 2 2" xfId="55880"/>
    <cellStyle name="20% - Accent1 2 2 2 4 2 2 3" xfId="38833"/>
    <cellStyle name="20% - Accent1 2 2 2 4 2 3" xfId="21041"/>
    <cellStyle name="20% - Accent1 2 2 2 4 2 3 2" xfId="49902"/>
    <cellStyle name="20% - Accent1 2 2 2 4 2 4" xfId="32792"/>
    <cellStyle name="20% - Accent1 2 2 2 4 3" xfId="7086"/>
    <cellStyle name="20% - Accent1 2 2 2 4 3 2" xfId="24133"/>
    <cellStyle name="20% - Accent1 2 2 2 4 3 2 2" xfId="52994"/>
    <cellStyle name="20% - Accent1 2 2 2 4 3 3" xfId="35947"/>
    <cellStyle name="20% - Accent1 2 2 2 4 4" xfId="12037"/>
    <cellStyle name="20% - Accent1 2 2 2 4 4 2" xfId="18361"/>
    <cellStyle name="20% - Accent1 2 2 2 4 4 2 2" xfId="47222"/>
    <cellStyle name="20% - Accent1 2 2 2 4 4 3" xfId="40898"/>
    <cellStyle name="20% - Accent1 2 2 2 4 5" xfId="15681"/>
    <cellStyle name="20% - Accent1 2 2 2 4 5 2" xfId="44542"/>
    <cellStyle name="20% - Accent1 2 2 2 4 6" xfId="29906"/>
    <cellStyle name="20% - Accent1 2 2 2 5" xfId="1250"/>
    <cellStyle name="20% - Accent1 2 2 2 5 2" xfId="4137"/>
    <cellStyle name="20% - Accent1 2 2 2 5 2 2" xfId="10178"/>
    <cellStyle name="20% - Accent1 2 2 2 5 2 2 2" xfId="27225"/>
    <cellStyle name="20% - Accent1 2 2 2 5 2 2 2 2" xfId="56086"/>
    <cellStyle name="20% - Accent1 2 2 2 5 2 2 3" xfId="39039"/>
    <cellStyle name="20% - Accent1 2 2 2 5 2 3" xfId="21247"/>
    <cellStyle name="20% - Accent1 2 2 2 5 2 3 2" xfId="50108"/>
    <cellStyle name="20% - Accent1 2 2 2 5 2 4" xfId="32998"/>
    <cellStyle name="20% - Accent1 2 2 2 5 3" xfId="7292"/>
    <cellStyle name="20% - Accent1 2 2 2 5 3 2" xfId="24339"/>
    <cellStyle name="20% - Accent1 2 2 2 5 3 2 2" xfId="53200"/>
    <cellStyle name="20% - Accent1 2 2 2 5 3 3" xfId="36153"/>
    <cellStyle name="20% - Accent1 2 2 2 5 4" xfId="13096"/>
    <cellStyle name="20% - Accent1 2 2 2 5 4 2" xfId="18567"/>
    <cellStyle name="20% - Accent1 2 2 2 5 4 2 2" xfId="47428"/>
    <cellStyle name="20% - Accent1 2 2 2 5 4 3" xfId="41957"/>
    <cellStyle name="20% - Accent1 2 2 2 5 5" xfId="15887"/>
    <cellStyle name="20% - Accent1 2 2 2 5 5 2" xfId="44748"/>
    <cellStyle name="20% - Accent1 2 2 2 5 6" xfId="30112"/>
    <cellStyle name="20% - Accent1 2 2 2 6" xfId="1456"/>
    <cellStyle name="20% - Accent1 2 2 2 6 2" xfId="4343"/>
    <cellStyle name="20% - Accent1 2 2 2 6 2 2" xfId="10384"/>
    <cellStyle name="20% - Accent1 2 2 2 6 2 2 2" xfId="27431"/>
    <cellStyle name="20% - Accent1 2 2 2 6 2 2 2 2" xfId="56292"/>
    <cellStyle name="20% - Accent1 2 2 2 6 2 2 3" xfId="39245"/>
    <cellStyle name="20% - Accent1 2 2 2 6 2 3" xfId="21453"/>
    <cellStyle name="20% - Accent1 2 2 2 6 2 3 2" xfId="50314"/>
    <cellStyle name="20% - Accent1 2 2 2 6 2 4" xfId="33204"/>
    <cellStyle name="20% - Accent1 2 2 2 6 3" xfId="7498"/>
    <cellStyle name="20% - Accent1 2 2 2 6 3 2" xfId="24545"/>
    <cellStyle name="20% - Accent1 2 2 2 6 3 2 2" xfId="53406"/>
    <cellStyle name="20% - Accent1 2 2 2 6 3 3" xfId="36359"/>
    <cellStyle name="20% - Accent1 2 2 2 6 4" xfId="12628"/>
    <cellStyle name="20% - Accent1 2 2 2 6 4 2" xfId="18773"/>
    <cellStyle name="20% - Accent1 2 2 2 6 4 2 2" xfId="47634"/>
    <cellStyle name="20% - Accent1 2 2 2 6 4 3" xfId="41489"/>
    <cellStyle name="20% - Accent1 2 2 2 6 5" xfId="16093"/>
    <cellStyle name="20% - Accent1 2 2 2 6 5 2" xfId="44954"/>
    <cellStyle name="20% - Accent1 2 2 2 6 6" xfId="30318"/>
    <cellStyle name="20% - Accent1 2 2 2 7" xfId="1662"/>
    <cellStyle name="20% - Accent1 2 2 2 7 2" xfId="4549"/>
    <cellStyle name="20% - Accent1 2 2 2 7 2 2" xfId="10590"/>
    <cellStyle name="20% - Accent1 2 2 2 7 2 2 2" xfId="27637"/>
    <cellStyle name="20% - Accent1 2 2 2 7 2 2 2 2" xfId="56498"/>
    <cellStyle name="20% - Accent1 2 2 2 7 2 2 3" xfId="39451"/>
    <cellStyle name="20% - Accent1 2 2 2 7 2 3" xfId="21659"/>
    <cellStyle name="20% - Accent1 2 2 2 7 2 3 2" xfId="50520"/>
    <cellStyle name="20% - Accent1 2 2 2 7 2 4" xfId="33410"/>
    <cellStyle name="20% - Accent1 2 2 2 7 3" xfId="7704"/>
    <cellStyle name="20% - Accent1 2 2 2 7 3 2" xfId="24751"/>
    <cellStyle name="20% - Accent1 2 2 2 7 3 2 2" xfId="53612"/>
    <cellStyle name="20% - Accent1 2 2 2 7 3 3" xfId="36565"/>
    <cellStyle name="20% - Accent1 2 2 2 7 4" xfId="13440"/>
    <cellStyle name="20% - Accent1 2 2 2 7 4 2" xfId="18979"/>
    <cellStyle name="20% - Accent1 2 2 2 7 4 2 2" xfId="47840"/>
    <cellStyle name="20% - Accent1 2 2 2 7 4 3" xfId="42301"/>
    <cellStyle name="20% - Accent1 2 2 2 7 5" xfId="16299"/>
    <cellStyle name="20% - Accent1 2 2 2 7 5 2" xfId="45160"/>
    <cellStyle name="20% - Accent1 2 2 2 7 6" xfId="30524"/>
    <cellStyle name="20% - Accent1 2 2 2 8" xfId="1868"/>
    <cellStyle name="20% - Accent1 2 2 2 8 2" xfId="4755"/>
    <cellStyle name="20% - Accent1 2 2 2 8 2 2" xfId="10796"/>
    <cellStyle name="20% - Accent1 2 2 2 8 2 2 2" xfId="27843"/>
    <cellStyle name="20% - Accent1 2 2 2 8 2 2 2 2" xfId="56704"/>
    <cellStyle name="20% - Accent1 2 2 2 8 2 2 3" xfId="39657"/>
    <cellStyle name="20% - Accent1 2 2 2 8 2 3" xfId="21865"/>
    <cellStyle name="20% - Accent1 2 2 2 8 2 3 2" xfId="50726"/>
    <cellStyle name="20% - Accent1 2 2 2 8 2 4" xfId="33616"/>
    <cellStyle name="20% - Accent1 2 2 2 8 3" xfId="7910"/>
    <cellStyle name="20% - Accent1 2 2 2 8 3 2" xfId="24957"/>
    <cellStyle name="20% - Accent1 2 2 2 8 3 2 2" xfId="53818"/>
    <cellStyle name="20% - Accent1 2 2 2 8 3 3" xfId="36771"/>
    <cellStyle name="20% - Accent1 2 2 2 8 4" xfId="12002"/>
    <cellStyle name="20% - Accent1 2 2 2 8 4 2" xfId="19185"/>
    <cellStyle name="20% - Accent1 2 2 2 8 4 2 2" xfId="48046"/>
    <cellStyle name="20% - Accent1 2 2 2 8 4 3" xfId="40863"/>
    <cellStyle name="20% - Accent1 2 2 2 8 5" xfId="16505"/>
    <cellStyle name="20% - Accent1 2 2 2 8 5 2" xfId="45366"/>
    <cellStyle name="20% - Accent1 2 2 2 8 6" xfId="30730"/>
    <cellStyle name="20% - Accent1 2 2 2 9" xfId="2074"/>
    <cellStyle name="20% - Accent1 2 2 2 9 2" xfId="4961"/>
    <cellStyle name="20% - Accent1 2 2 2 9 2 2" xfId="11002"/>
    <cellStyle name="20% - Accent1 2 2 2 9 2 2 2" xfId="28049"/>
    <cellStyle name="20% - Accent1 2 2 2 9 2 2 2 2" xfId="56910"/>
    <cellStyle name="20% - Accent1 2 2 2 9 2 2 3" xfId="39863"/>
    <cellStyle name="20% - Accent1 2 2 2 9 2 3" xfId="22071"/>
    <cellStyle name="20% - Accent1 2 2 2 9 2 3 2" xfId="50932"/>
    <cellStyle name="20% - Accent1 2 2 2 9 2 4" xfId="33822"/>
    <cellStyle name="20% - Accent1 2 2 2 9 3" xfId="8116"/>
    <cellStyle name="20% - Accent1 2 2 2 9 3 2" xfId="25163"/>
    <cellStyle name="20% - Accent1 2 2 2 9 3 2 2" xfId="54024"/>
    <cellStyle name="20% - Accent1 2 2 2 9 3 3" xfId="36977"/>
    <cellStyle name="20% - Accent1 2 2 2 9 4" xfId="6092"/>
    <cellStyle name="20% - Accent1 2 2 2 9 4 2" xfId="19391"/>
    <cellStyle name="20% - Accent1 2 2 2 9 4 2 2" xfId="48252"/>
    <cellStyle name="20% - Accent1 2 2 2 9 4 3" xfId="34953"/>
    <cellStyle name="20% - Accent1 2 2 2 9 5" xfId="16711"/>
    <cellStyle name="20% - Accent1 2 2 2 9 5 2" xfId="45572"/>
    <cellStyle name="20% - Accent1 2 2 2 9 6" xfId="30936"/>
    <cellStyle name="20% - Accent1 2 2 20" xfId="28979"/>
    <cellStyle name="20% - Accent1 2 2 3" xfId="220"/>
    <cellStyle name="20% - Accent1 2 2 3 2" xfId="632"/>
    <cellStyle name="20% - Accent1 2 2 3 2 2" xfId="3519"/>
    <cellStyle name="20% - Accent1 2 2 3 2 2 2" xfId="9560"/>
    <cellStyle name="20% - Accent1 2 2 3 2 2 2 2" xfId="26607"/>
    <cellStyle name="20% - Accent1 2 2 3 2 2 2 2 2" xfId="55468"/>
    <cellStyle name="20% - Accent1 2 2 3 2 2 2 3" xfId="38421"/>
    <cellStyle name="20% - Accent1 2 2 3 2 2 3" xfId="20629"/>
    <cellStyle name="20% - Accent1 2 2 3 2 2 3 2" xfId="49490"/>
    <cellStyle name="20% - Accent1 2 2 3 2 2 4" xfId="32380"/>
    <cellStyle name="20% - Accent1 2 2 3 2 3" xfId="6674"/>
    <cellStyle name="20% - Accent1 2 2 3 2 3 2" xfId="23721"/>
    <cellStyle name="20% - Accent1 2 2 3 2 3 2 2" xfId="52582"/>
    <cellStyle name="20% - Accent1 2 2 3 2 3 3" xfId="35535"/>
    <cellStyle name="20% - Accent1 2 2 3 2 4" xfId="6100"/>
    <cellStyle name="20% - Accent1 2 2 3 2 4 2" xfId="17949"/>
    <cellStyle name="20% - Accent1 2 2 3 2 4 2 2" xfId="46810"/>
    <cellStyle name="20% - Accent1 2 2 3 2 4 3" xfId="34961"/>
    <cellStyle name="20% - Accent1 2 2 3 2 5" xfId="15269"/>
    <cellStyle name="20% - Accent1 2 2 3 2 5 2" xfId="44130"/>
    <cellStyle name="20% - Accent1 2 2 3 2 6" xfId="29494"/>
    <cellStyle name="20% - Accent1 2 2 3 3" xfId="2177"/>
    <cellStyle name="20% - Accent1 2 2 3 3 2" xfId="5064"/>
    <cellStyle name="20% - Accent1 2 2 3 3 2 2" xfId="11105"/>
    <cellStyle name="20% - Accent1 2 2 3 3 2 2 2" xfId="28152"/>
    <cellStyle name="20% - Accent1 2 2 3 3 2 2 2 2" xfId="57013"/>
    <cellStyle name="20% - Accent1 2 2 3 3 2 2 3" xfId="39966"/>
    <cellStyle name="20% - Accent1 2 2 3 3 2 3" xfId="22174"/>
    <cellStyle name="20% - Accent1 2 2 3 3 2 3 2" xfId="51035"/>
    <cellStyle name="20% - Accent1 2 2 3 3 2 4" xfId="33925"/>
    <cellStyle name="20% - Accent1 2 2 3 3 3" xfId="8219"/>
    <cellStyle name="20% - Accent1 2 2 3 3 3 2" xfId="25266"/>
    <cellStyle name="20% - Accent1 2 2 3 3 3 2 2" xfId="54127"/>
    <cellStyle name="20% - Accent1 2 2 3 3 3 3" xfId="37080"/>
    <cellStyle name="20% - Accent1 2 2 3 3 4" xfId="13778"/>
    <cellStyle name="20% - Accent1 2 2 3 3 4 2" xfId="19494"/>
    <cellStyle name="20% - Accent1 2 2 3 3 4 2 2" xfId="48355"/>
    <cellStyle name="20% - Accent1 2 2 3 3 4 3" xfId="42639"/>
    <cellStyle name="20% - Accent1 2 2 3 3 5" xfId="16814"/>
    <cellStyle name="20% - Accent1 2 2 3 3 5 2" xfId="45675"/>
    <cellStyle name="20% - Accent1 2 2 3 3 6" xfId="31039"/>
    <cellStyle name="20% - Accent1 2 2 3 4" xfId="3107"/>
    <cellStyle name="20% - Accent1 2 2 3 4 2" xfId="9148"/>
    <cellStyle name="20% - Accent1 2 2 3 4 2 2" xfId="26195"/>
    <cellStyle name="20% - Accent1 2 2 3 4 2 2 2" xfId="55056"/>
    <cellStyle name="20% - Accent1 2 2 3 4 2 3" xfId="38009"/>
    <cellStyle name="20% - Accent1 2 2 3 4 3" xfId="20217"/>
    <cellStyle name="20% - Accent1 2 2 3 4 3 2" xfId="49078"/>
    <cellStyle name="20% - Accent1 2 2 3 4 4" xfId="31968"/>
    <cellStyle name="20% - Accent1 2 2 3 5" xfId="6262"/>
    <cellStyle name="20% - Accent1 2 2 3 5 2" xfId="23309"/>
    <cellStyle name="20% - Accent1 2 2 3 5 2 2" xfId="52170"/>
    <cellStyle name="20% - Accent1 2 2 3 5 3" xfId="35123"/>
    <cellStyle name="20% - Accent1 2 2 3 6" xfId="13085"/>
    <cellStyle name="20% - Accent1 2 2 3 6 2" xfId="17640"/>
    <cellStyle name="20% - Accent1 2 2 3 6 2 2" xfId="46501"/>
    <cellStyle name="20% - Accent1 2 2 3 6 3" xfId="41946"/>
    <cellStyle name="20% - Accent1 2 2 3 7" xfId="14857"/>
    <cellStyle name="20% - Accent1 2 2 3 7 2" xfId="43718"/>
    <cellStyle name="20% - Accent1 2 2 3 8" xfId="29082"/>
    <cellStyle name="20% - Accent1 2 2 4" xfId="426"/>
    <cellStyle name="20% - Accent1 2 2 4 2" xfId="3313"/>
    <cellStyle name="20% - Accent1 2 2 4 2 2" xfId="9354"/>
    <cellStyle name="20% - Accent1 2 2 4 2 2 2" xfId="26401"/>
    <cellStyle name="20% - Accent1 2 2 4 2 2 2 2" xfId="55262"/>
    <cellStyle name="20% - Accent1 2 2 4 2 2 3" xfId="38215"/>
    <cellStyle name="20% - Accent1 2 2 4 2 3" xfId="20423"/>
    <cellStyle name="20% - Accent1 2 2 4 2 3 2" xfId="49284"/>
    <cellStyle name="20% - Accent1 2 2 4 2 4" xfId="32174"/>
    <cellStyle name="20% - Accent1 2 2 4 3" xfId="6468"/>
    <cellStyle name="20% - Accent1 2 2 4 3 2" xfId="23515"/>
    <cellStyle name="20% - Accent1 2 2 4 3 2 2" xfId="52376"/>
    <cellStyle name="20% - Accent1 2 2 4 3 3" xfId="35329"/>
    <cellStyle name="20% - Accent1 2 2 4 4" xfId="12422"/>
    <cellStyle name="20% - Accent1 2 2 4 4 2" xfId="17743"/>
    <cellStyle name="20% - Accent1 2 2 4 4 2 2" xfId="46604"/>
    <cellStyle name="20% - Accent1 2 2 4 4 3" xfId="41283"/>
    <cellStyle name="20% - Accent1 2 2 4 5" xfId="15063"/>
    <cellStyle name="20% - Accent1 2 2 4 5 2" xfId="43924"/>
    <cellStyle name="20% - Accent1 2 2 4 6" xfId="29288"/>
    <cellStyle name="20% - Accent1 2 2 5" xfId="735"/>
    <cellStyle name="20% - Accent1 2 2 5 2" xfId="3622"/>
    <cellStyle name="20% - Accent1 2 2 5 2 2" xfId="9663"/>
    <cellStyle name="20% - Accent1 2 2 5 2 2 2" xfId="26710"/>
    <cellStyle name="20% - Accent1 2 2 5 2 2 2 2" xfId="55571"/>
    <cellStyle name="20% - Accent1 2 2 5 2 2 3" xfId="38524"/>
    <cellStyle name="20% - Accent1 2 2 5 2 3" xfId="20732"/>
    <cellStyle name="20% - Accent1 2 2 5 2 3 2" xfId="49593"/>
    <cellStyle name="20% - Accent1 2 2 5 2 4" xfId="32483"/>
    <cellStyle name="20% - Accent1 2 2 5 3" xfId="6777"/>
    <cellStyle name="20% - Accent1 2 2 5 3 2" xfId="23824"/>
    <cellStyle name="20% - Accent1 2 2 5 3 2 2" xfId="52685"/>
    <cellStyle name="20% - Accent1 2 2 5 3 3" xfId="35638"/>
    <cellStyle name="20% - Accent1 2 2 5 4" xfId="13167"/>
    <cellStyle name="20% - Accent1 2 2 5 4 2" xfId="18052"/>
    <cellStyle name="20% - Accent1 2 2 5 4 2 2" xfId="46913"/>
    <cellStyle name="20% - Accent1 2 2 5 4 3" xfId="42028"/>
    <cellStyle name="20% - Accent1 2 2 5 5" xfId="15372"/>
    <cellStyle name="20% - Accent1 2 2 5 5 2" xfId="44233"/>
    <cellStyle name="20% - Accent1 2 2 5 6" xfId="29597"/>
    <cellStyle name="20% - Accent1 2 2 6" xfId="941"/>
    <cellStyle name="20% - Accent1 2 2 6 2" xfId="3828"/>
    <cellStyle name="20% - Accent1 2 2 6 2 2" xfId="9869"/>
    <cellStyle name="20% - Accent1 2 2 6 2 2 2" xfId="26916"/>
    <cellStyle name="20% - Accent1 2 2 6 2 2 2 2" xfId="55777"/>
    <cellStyle name="20% - Accent1 2 2 6 2 2 3" xfId="38730"/>
    <cellStyle name="20% - Accent1 2 2 6 2 3" xfId="20938"/>
    <cellStyle name="20% - Accent1 2 2 6 2 3 2" xfId="49799"/>
    <cellStyle name="20% - Accent1 2 2 6 2 4" xfId="32689"/>
    <cellStyle name="20% - Accent1 2 2 6 3" xfId="6983"/>
    <cellStyle name="20% - Accent1 2 2 6 3 2" xfId="24030"/>
    <cellStyle name="20% - Accent1 2 2 6 3 2 2" xfId="52891"/>
    <cellStyle name="20% - Accent1 2 2 6 3 3" xfId="35844"/>
    <cellStyle name="20% - Accent1 2 2 6 4" xfId="12836"/>
    <cellStyle name="20% - Accent1 2 2 6 4 2" xfId="18258"/>
    <cellStyle name="20% - Accent1 2 2 6 4 2 2" xfId="47119"/>
    <cellStyle name="20% - Accent1 2 2 6 4 3" xfId="41697"/>
    <cellStyle name="20% - Accent1 2 2 6 5" xfId="15578"/>
    <cellStyle name="20% - Accent1 2 2 6 5 2" xfId="44439"/>
    <cellStyle name="20% - Accent1 2 2 6 6" xfId="29803"/>
    <cellStyle name="20% - Accent1 2 2 7" xfId="1147"/>
    <cellStyle name="20% - Accent1 2 2 7 2" xfId="4034"/>
    <cellStyle name="20% - Accent1 2 2 7 2 2" xfId="10075"/>
    <cellStyle name="20% - Accent1 2 2 7 2 2 2" xfId="27122"/>
    <cellStyle name="20% - Accent1 2 2 7 2 2 2 2" xfId="55983"/>
    <cellStyle name="20% - Accent1 2 2 7 2 2 3" xfId="38936"/>
    <cellStyle name="20% - Accent1 2 2 7 2 3" xfId="21144"/>
    <cellStyle name="20% - Accent1 2 2 7 2 3 2" xfId="50005"/>
    <cellStyle name="20% - Accent1 2 2 7 2 4" xfId="32895"/>
    <cellStyle name="20% - Accent1 2 2 7 3" xfId="7189"/>
    <cellStyle name="20% - Accent1 2 2 7 3 2" xfId="24236"/>
    <cellStyle name="20% - Accent1 2 2 7 3 2 2" xfId="53097"/>
    <cellStyle name="20% - Accent1 2 2 7 3 3" xfId="36050"/>
    <cellStyle name="20% - Accent1 2 2 7 4" xfId="12941"/>
    <cellStyle name="20% - Accent1 2 2 7 4 2" xfId="18464"/>
    <cellStyle name="20% - Accent1 2 2 7 4 2 2" xfId="47325"/>
    <cellStyle name="20% - Accent1 2 2 7 4 3" xfId="41802"/>
    <cellStyle name="20% - Accent1 2 2 7 5" xfId="15784"/>
    <cellStyle name="20% - Accent1 2 2 7 5 2" xfId="44645"/>
    <cellStyle name="20% - Accent1 2 2 7 6" xfId="30009"/>
    <cellStyle name="20% - Accent1 2 2 8" xfId="1353"/>
    <cellStyle name="20% - Accent1 2 2 8 2" xfId="4240"/>
    <cellStyle name="20% - Accent1 2 2 8 2 2" xfId="10281"/>
    <cellStyle name="20% - Accent1 2 2 8 2 2 2" xfId="27328"/>
    <cellStyle name="20% - Accent1 2 2 8 2 2 2 2" xfId="56189"/>
    <cellStyle name="20% - Accent1 2 2 8 2 2 3" xfId="39142"/>
    <cellStyle name="20% - Accent1 2 2 8 2 3" xfId="21350"/>
    <cellStyle name="20% - Accent1 2 2 8 2 3 2" xfId="50211"/>
    <cellStyle name="20% - Accent1 2 2 8 2 4" xfId="33101"/>
    <cellStyle name="20% - Accent1 2 2 8 3" xfId="7395"/>
    <cellStyle name="20% - Accent1 2 2 8 3 2" xfId="24442"/>
    <cellStyle name="20% - Accent1 2 2 8 3 2 2" xfId="53303"/>
    <cellStyle name="20% - Accent1 2 2 8 3 3" xfId="36256"/>
    <cellStyle name="20% - Accent1 2 2 8 4" xfId="13154"/>
    <cellStyle name="20% - Accent1 2 2 8 4 2" xfId="18670"/>
    <cellStyle name="20% - Accent1 2 2 8 4 2 2" xfId="47531"/>
    <cellStyle name="20% - Accent1 2 2 8 4 3" xfId="42015"/>
    <cellStyle name="20% - Accent1 2 2 8 5" xfId="15990"/>
    <cellStyle name="20% - Accent1 2 2 8 5 2" xfId="44851"/>
    <cellStyle name="20% - Accent1 2 2 8 6" xfId="30215"/>
    <cellStyle name="20% - Accent1 2 2 9" xfId="1559"/>
    <cellStyle name="20% - Accent1 2 2 9 2" xfId="4446"/>
    <cellStyle name="20% - Accent1 2 2 9 2 2" xfId="10487"/>
    <cellStyle name="20% - Accent1 2 2 9 2 2 2" xfId="27534"/>
    <cellStyle name="20% - Accent1 2 2 9 2 2 2 2" xfId="56395"/>
    <cellStyle name="20% - Accent1 2 2 9 2 2 3" xfId="39348"/>
    <cellStyle name="20% - Accent1 2 2 9 2 3" xfId="21556"/>
    <cellStyle name="20% - Accent1 2 2 9 2 3 2" xfId="50417"/>
    <cellStyle name="20% - Accent1 2 2 9 2 4" xfId="33307"/>
    <cellStyle name="20% - Accent1 2 2 9 3" xfId="7601"/>
    <cellStyle name="20% - Accent1 2 2 9 3 2" xfId="24648"/>
    <cellStyle name="20% - Accent1 2 2 9 3 2 2" xfId="53509"/>
    <cellStyle name="20% - Accent1 2 2 9 3 3" xfId="36462"/>
    <cellStyle name="20% - Accent1 2 2 9 4" xfId="12804"/>
    <cellStyle name="20% - Accent1 2 2 9 4 2" xfId="18876"/>
    <cellStyle name="20% - Accent1 2 2 9 4 2 2" xfId="47737"/>
    <cellStyle name="20% - Accent1 2 2 9 4 3" xfId="41665"/>
    <cellStyle name="20% - Accent1 2 2 9 5" xfId="16196"/>
    <cellStyle name="20% - Accent1 2 2 9 5 2" xfId="45057"/>
    <cellStyle name="20% - Accent1 2 2 9 6" xfId="30421"/>
    <cellStyle name="20% - Accent1 2 20" xfId="6133"/>
    <cellStyle name="20% - Accent1 2 20 2" xfId="23180"/>
    <cellStyle name="20% - Accent1 2 20 2 2" xfId="52041"/>
    <cellStyle name="20% - Accent1 2 20 3" xfId="34994"/>
    <cellStyle name="20% - Accent1 2 21" xfId="14522"/>
    <cellStyle name="20% - Accent1 2 21 2" xfId="43383"/>
    <cellStyle name="20% - Accent1 2 22" xfId="28953"/>
    <cellStyle name="20% - Accent1 2 3" xfId="143"/>
    <cellStyle name="20% - Accent1 2 3 10" xfId="1791"/>
    <cellStyle name="20% - Accent1 2 3 10 2" xfId="4678"/>
    <cellStyle name="20% - Accent1 2 3 10 2 2" xfId="10719"/>
    <cellStyle name="20% - Accent1 2 3 10 2 2 2" xfId="27766"/>
    <cellStyle name="20% - Accent1 2 3 10 2 2 2 2" xfId="56627"/>
    <cellStyle name="20% - Accent1 2 3 10 2 2 3" xfId="39580"/>
    <cellStyle name="20% - Accent1 2 3 10 2 3" xfId="21788"/>
    <cellStyle name="20% - Accent1 2 3 10 2 3 2" xfId="50649"/>
    <cellStyle name="20% - Accent1 2 3 10 2 4" xfId="33539"/>
    <cellStyle name="20% - Accent1 2 3 10 3" xfId="7833"/>
    <cellStyle name="20% - Accent1 2 3 10 3 2" xfId="24880"/>
    <cellStyle name="20% - Accent1 2 3 10 3 2 2" xfId="53741"/>
    <cellStyle name="20% - Accent1 2 3 10 3 3" xfId="36694"/>
    <cellStyle name="20% - Accent1 2 3 10 4" xfId="14144"/>
    <cellStyle name="20% - Accent1 2 3 10 4 2" xfId="19108"/>
    <cellStyle name="20% - Accent1 2 3 10 4 2 2" xfId="47969"/>
    <cellStyle name="20% - Accent1 2 3 10 4 3" xfId="43005"/>
    <cellStyle name="20% - Accent1 2 3 10 5" xfId="16428"/>
    <cellStyle name="20% - Accent1 2 3 10 5 2" xfId="45289"/>
    <cellStyle name="20% - Accent1 2 3 10 6" xfId="30653"/>
    <cellStyle name="20% - Accent1 2 3 11" xfId="1997"/>
    <cellStyle name="20% - Accent1 2 3 11 2" xfId="4884"/>
    <cellStyle name="20% - Accent1 2 3 11 2 2" xfId="10925"/>
    <cellStyle name="20% - Accent1 2 3 11 2 2 2" xfId="27972"/>
    <cellStyle name="20% - Accent1 2 3 11 2 2 2 2" xfId="56833"/>
    <cellStyle name="20% - Accent1 2 3 11 2 2 3" xfId="39786"/>
    <cellStyle name="20% - Accent1 2 3 11 2 3" xfId="21994"/>
    <cellStyle name="20% - Accent1 2 3 11 2 3 2" xfId="50855"/>
    <cellStyle name="20% - Accent1 2 3 11 2 4" xfId="33745"/>
    <cellStyle name="20% - Accent1 2 3 11 3" xfId="8039"/>
    <cellStyle name="20% - Accent1 2 3 11 3 2" xfId="25086"/>
    <cellStyle name="20% - Accent1 2 3 11 3 2 2" xfId="53947"/>
    <cellStyle name="20% - Accent1 2 3 11 3 3" xfId="36900"/>
    <cellStyle name="20% - Accent1 2 3 11 4" xfId="12588"/>
    <cellStyle name="20% - Accent1 2 3 11 4 2" xfId="19314"/>
    <cellStyle name="20% - Accent1 2 3 11 4 2 2" xfId="48175"/>
    <cellStyle name="20% - Accent1 2 3 11 4 3" xfId="41449"/>
    <cellStyle name="20% - Accent1 2 3 11 5" xfId="16634"/>
    <cellStyle name="20% - Accent1 2 3 11 5 2" xfId="45495"/>
    <cellStyle name="20% - Accent1 2 3 11 6" xfId="30859"/>
    <cellStyle name="20% - Accent1 2 3 12" xfId="2409"/>
    <cellStyle name="20% - Accent1 2 3 12 2" xfId="5296"/>
    <cellStyle name="20% - Accent1 2 3 12 2 2" xfId="11337"/>
    <cellStyle name="20% - Accent1 2 3 12 2 2 2" xfId="28384"/>
    <cellStyle name="20% - Accent1 2 3 12 2 2 2 2" xfId="57245"/>
    <cellStyle name="20% - Accent1 2 3 12 2 2 3" xfId="40198"/>
    <cellStyle name="20% - Accent1 2 3 12 2 3" xfId="22406"/>
    <cellStyle name="20% - Accent1 2 3 12 2 3 2" xfId="51267"/>
    <cellStyle name="20% - Accent1 2 3 12 2 4" xfId="34157"/>
    <cellStyle name="20% - Accent1 2 3 12 3" xfId="8451"/>
    <cellStyle name="20% - Accent1 2 3 12 3 2" xfId="25498"/>
    <cellStyle name="20% - Accent1 2 3 12 3 2 2" xfId="54359"/>
    <cellStyle name="20% - Accent1 2 3 12 3 3" xfId="37312"/>
    <cellStyle name="20% - Accent1 2 3 12 4" xfId="12132"/>
    <cellStyle name="20% - Accent1 2 3 12 4 2" xfId="19726"/>
    <cellStyle name="20% - Accent1 2 3 12 4 2 2" xfId="48587"/>
    <cellStyle name="20% - Accent1 2 3 12 4 3" xfId="40993"/>
    <cellStyle name="20% - Accent1 2 3 12 5" xfId="17046"/>
    <cellStyle name="20% - Accent1 2 3 12 5 2" xfId="45907"/>
    <cellStyle name="20% - Accent1 2 3 12 6" xfId="31271"/>
    <cellStyle name="20% - Accent1 2 3 13" xfId="2618"/>
    <cellStyle name="20% - Accent1 2 3 13 2" xfId="5504"/>
    <cellStyle name="20% - Accent1 2 3 13 2 2" xfId="11545"/>
    <cellStyle name="20% - Accent1 2 3 13 2 2 2" xfId="28592"/>
    <cellStyle name="20% - Accent1 2 3 13 2 2 2 2" xfId="57453"/>
    <cellStyle name="20% - Accent1 2 3 13 2 2 3" xfId="40406"/>
    <cellStyle name="20% - Accent1 2 3 13 2 3" xfId="22614"/>
    <cellStyle name="20% - Accent1 2 3 13 2 3 2" xfId="51475"/>
    <cellStyle name="20% - Accent1 2 3 13 2 4" xfId="34365"/>
    <cellStyle name="20% - Accent1 2 3 13 3" xfId="8659"/>
    <cellStyle name="20% - Accent1 2 3 13 3 2" xfId="25706"/>
    <cellStyle name="20% - Accent1 2 3 13 3 2 2" xfId="54567"/>
    <cellStyle name="20% - Accent1 2 3 13 3 3" xfId="37520"/>
    <cellStyle name="20% - Accent1 2 3 13 4" xfId="14228"/>
    <cellStyle name="20% - Accent1 2 3 13 4 2" xfId="19934"/>
    <cellStyle name="20% - Accent1 2 3 13 4 2 2" xfId="48795"/>
    <cellStyle name="20% - Accent1 2 3 13 4 3" xfId="43089"/>
    <cellStyle name="20% - Accent1 2 3 13 5" xfId="17254"/>
    <cellStyle name="20% - Accent1 2 3 13 5 2" xfId="46115"/>
    <cellStyle name="20% - Accent1 2 3 13 6" xfId="31479"/>
    <cellStyle name="20% - Accent1 2 3 14" xfId="3030"/>
    <cellStyle name="20% - Accent1 2 3 14 2" xfId="9071"/>
    <cellStyle name="20% - Accent1 2 3 14 2 2" xfId="26118"/>
    <cellStyle name="20% - Accent1 2 3 14 2 2 2" xfId="54979"/>
    <cellStyle name="20% - Accent1 2 3 14 2 3" xfId="37932"/>
    <cellStyle name="20% - Accent1 2 3 14 3" xfId="12623"/>
    <cellStyle name="20% - Accent1 2 3 14 3 2" xfId="20140"/>
    <cellStyle name="20% - Accent1 2 3 14 3 2 2" xfId="49001"/>
    <cellStyle name="20% - Accent1 2 3 14 3 3" xfId="41484"/>
    <cellStyle name="20% - Accent1 2 3 14 4" xfId="14780"/>
    <cellStyle name="20% - Accent1 2 3 14 4 2" xfId="43641"/>
    <cellStyle name="20% - Accent1 2 3 14 5" xfId="31891"/>
    <cellStyle name="20% - Accent1 2 3 15" xfId="2824"/>
    <cellStyle name="20% - Accent1 2 3 15 2" xfId="8865"/>
    <cellStyle name="20% - Accent1 2 3 15 2 2" xfId="25912"/>
    <cellStyle name="20% - Accent1 2 3 15 2 2 2" xfId="54773"/>
    <cellStyle name="20% - Accent1 2 3 15 2 3" xfId="37726"/>
    <cellStyle name="20% - Accent1 2 3 15 3" xfId="17460"/>
    <cellStyle name="20% - Accent1 2 3 15 3 2" xfId="46321"/>
    <cellStyle name="20% - Accent1 2 3 15 4" xfId="31685"/>
    <cellStyle name="20% - Accent1 2 3 16" xfId="5710"/>
    <cellStyle name="20% - Accent1 2 3 16 2" xfId="11751"/>
    <cellStyle name="20% - Accent1 2 3 16 2 2" xfId="28798"/>
    <cellStyle name="20% - Accent1 2 3 16 2 2 2" xfId="57659"/>
    <cellStyle name="20% - Accent1 2 3 16 2 3" xfId="40612"/>
    <cellStyle name="20% - Accent1 2 3 16 3" xfId="22820"/>
    <cellStyle name="20% - Accent1 2 3 16 3 2" xfId="51681"/>
    <cellStyle name="20% - Accent1 2 3 16 4" xfId="34571"/>
    <cellStyle name="20% - Accent1 2 3 17" xfId="5927"/>
    <cellStyle name="20% - Accent1 2 3 17 2" xfId="23026"/>
    <cellStyle name="20% - Accent1 2 3 17 2 2" xfId="51887"/>
    <cellStyle name="20% - Accent1 2 3 17 3" xfId="34788"/>
    <cellStyle name="20% - Accent1 2 3 18" xfId="6185"/>
    <cellStyle name="20% - Accent1 2 3 18 2" xfId="23232"/>
    <cellStyle name="20% - Accent1 2 3 18 2 2" xfId="52093"/>
    <cellStyle name="20% - Accent1 2 3 18 3" xfId="35046"/>
    <cellStyle name="20% - Accent1 2 3 19" xfId="14574"/>
    <cellStyle name="20% - Accent1 2 3 19 2" xfId="43435"/>
    <cellStyle name="20% - Accent1 2 3 2" xfId="349"/>
    <cellStyle name="20% - Accent1 2 3 2 10" xfId="2512"/>
    <cellStyle name="20% - Accent1 2 3 2 10 2" xfId="5399"/>
    <cellStyle name="20% - Accent1 2 3 2 10 2 2" xfId="11440"/>
    <cellStyle name="20% - Accent1 2 3 2 10 2 2 2" xfId="28487"/>
    <cellStyle name="20% - Accent1 2 3 2 10 2 2 2 2" xfId="57348"/>
    <cellStyle name="20% - Accent1 2 3 2 10 2 2 3" xfId="40301"/>
    <cellStyle name="20% - Accent1 2 3 2 10 2 3" xfId="22509"/>
    <cellStyle name="20% - Accent1 2 3 2 10 2 3 2" xfId="51370"/>
    <cellStyle name="20% - Accent1 2 3 2 10 2 4" xfId="34260"/>
    <cellStyle name="20% - Accent1 2 3 2 10 3" xfId="8554"/>
    <cellStyle name="20% - Accent1 2 3 2 10 3 2" xfId="25601"/>
    <cellStyle name="20% - Accent1 2 3 2 10 3 2 2" xfId="54462"/>
    <cellStyle name="20% - Accent1 2 3 2 10 3 3" xfId="37415"/>
    <cellStyle name="20% - Accent1 2 3 2 10 4" xfId="13281"/>
    <cellStyle name="20% - Accent1 2 3 2 10 4 2" xfId="19829"/>
    <cellStyle name="20% - Accent1 2 3 2 10 4 2 2" xfId="48690"/>
    <cellStyle name="20% - Accent1 2 3 2 10 4 3" xfId="42142"/>
    <cellStyle name="20% - Accent1 2 3 2 10 5" xfId="17149"/>
    <cellStyle name="20% - Accent1 2 3 2 10 5 2" xfId="46010"/>
    <cellStyle name="20% - Accent1 2 3 2 10 6" xfId="31374"/>
    <cellStyle name="20% - Accent1 2 3 2 11" xfId="2721"/>
    <cellStyle name="20% - Accent1 2 3 2 11 2" xfId="5607"/>
    <cellStyle name="20% - Accent1 2 3 2 11 2 2" xfId="11648"/>
    <cellStyle name="20% - Accent1 2 3 2 11 2 2 2" xfId="28695"/>
    <cellStyle name="20% - Accent1 2 3 2 11 2 2 2 2" xfId="57556"/>
    <cellStyle name="20% - Accent1 2 3 2 11 2 2 3" xfId="40509"/>
    <cellStyle name="20% - Accent1 2 3 2 11 2 3" xfId="22717"/>
    <cellStyle name="20% - Accent1 2 3 2 11 2 3 2" xfId="51578"/>
    <cellStyle name="20% - Accent1 2 3 2 11 2 4" xfId="34468"/>
    <cellStyle name="20% - Accent1 2 3 2 11 3" xfId="8762"/>
    <cellStyle name="20% - Accent1 2 3 2 11 3 2" xfId="25809"/>
    <cellStyle name="20% - Accent1 2 3 2 11 3 2 2" xfId="54670"/>
    <cellStyle name="20% - Accent1 2 3 2 11 3 3" xfId="37623"/>
    <cellStyle name="20% - Accent1 2 3 2 11 4" xfId="12972"/>
    <cellStyle name="20% - Accent1 2 3 2 11 4 2" xfId="20037"/>
    <cellStyle name="20% - Accent1 2 3 2 11 4 2 2" xfId="48898"/>
    <cellStyle name="20% - Accent1 2 3 2 11 4 3" xfId="41833"/>
    <cellStyle name="20% - Accent1 2 3 2 11 5" xfId="17357"/>
    <cellStyle name="20% - Accent1 2 3 2 11 5 2" xfId="46218"/>
    <cellStyle name="20% - Accent1 2 3 2 11 6" xfId="31582"/>
    <cellStyle name="20% - Accent1 2 3 2 12" xfId="3236"/>
    <cellStyle name="20% - Accent1 2 3 2 12 2" xfId="9277"/>
    <cellStyle name="20% - Accent1 2 3 2 12 2 2" xfId="26324"/>
    <cellStyle name="20% - Accent1 2 3 2 12 2 2 2" xfId="55185"/>
    <cellStyle name="20% - Accent1 2 3 2 12 2 3" xfId="38138"/>
    <cellStyle name="20% - Accent1 2 3 2 12 3" xfId="14074"/>
    <cellStyle name="20% - Accent1 2 3 2 12 3 2" xfId="20346"/>
    <cellStyle name="20% - Accent1 2 3 2 12 3 2 2" xfId="49207"/>
    <cellStyle name="20% - Accent1 2 3 2 12 3 3" xfId="42935"/>
    <cellStyle name="20% - Accent1 2 3 2 12 4" xfId="14986"/>
    <cellStyle name="20% - Accent1 2 3 2 12 4 2" xfId="43847"/>
    <cellStyle name="20% - Accent1 2 3 2 12 5" xfId="32097"/>
    <cellStyle name="20% - Accent1 2 3 2 13" xfId="2927"/>
    <cellStyle name="20% - Accent1 2 3 2 13 2" xfId="8968"/>
    <cellStyle name="20% - Accent1 2 3 2 13 2 2" xfId="26015"/>
    <cellStyle name="20% - Accent1 2 3 2 13 2 2 2" xfId="54876"/>
    <cellStyle name="20% - Accent1 2 3 2 13 2 3" xfId="37829"/>
    <cellStyle name="20% - Accent1 2 3 2 13 3" xfId="17563"/>
    <cellStyle name="20% - Accent1 2 3 2 13 3 2" xfId="46424"/>
    <cellStyle name="20% - Accent1 2 3 2 13 4" xfId="31788"/>
    <cellStyle name="20% - Accent1 2 3 2 14" xfId="5813"/>
    <cellStyle name="20% - Accent1 2 3 2 14 2" xfId="11854"/>
    <cellStyle name="20% - Accent1 2 3 2 14 2 2" xfId="28901"/>
    <cellStyle name="20% - Accent1 2 3 2 14 2 2 2" xfId="57762"/>
    <cellStyle name="20% - Accent1 2 3 2 14 2 3" xfId="40715"/>
    <cellStyle name="20% - Accent1 2 3 2 14 3" xfId="22923"/>
    <cellStyle name="20% - Accent1 2 3 2 14 3 2" xfId="51784"/>
    <cellStyle name="20% - Accent1 2 3 2 14 4" xfId="34674"/>
    <cellStyle name="20% - Accent1 2 3 2 15" xfId="6030"/>
    <cellStyle name="20% - Accent1 2 3 2 15 2" xfId="23129"/>
    <cellStyle name="20% - Accent1 2 3 2 15 2 2" xfId="51990"/>
    <cellStyle name="20% - Accent1 2 3 2 15 3" xfId="34891"/>
    <cellStyle name="20% - Accent1 2 3 2 16" xfId="6391"/>
    <cellStyle name="20% - Accent1 2 3 2 16 2" xfId="23438"/>
    <cellStyle name="20% - Accent1 2 3 2 16 2 2" xfId="52299"/>
    <cellStyle name="20% - Accent1 2 3 2 16 3" xfId="35252"/>
    <cellStyle name="20% - Accent1 2 3 2 17" xfId="14677"/>
    <cellStyle name="20% - Accent1 2 3 2 17 2" xfId="43538"/>
    <cellStyle name="20% - Accent1 2 3 2 18" xfId="29211"/>
    <cellStyle name="20% - Accent1 2 3 2 2" xfId="555"/>
    <cellStyle name="20% - Accent1 2 3 2 2 2" xfId="2306"/>
    <cellStyle name="20% - Accent1 2 3 2 2 2 2" xfId="5193"/>
    <cellStyle name="20% - Accent1 2 3 2 2 2 2 2" xfId="11234"/>
    <cellStyle name="20% - Accent1 2 3 2 2 2 2 2 2" xfId="28281"/>
    <cellStyle name="20% - Accent1 2 3 2 2 2 2 2 2 2" xfId="57142"/>
    <cellStyle name="20% - Accent1 2 3 2 2 2 2 2 3" xfId="40095"/>
    <cellStyle name="20% - Accent1 2 3 2 2 2 2 3" xfId="22303"/>
    <cellStyle name="20% - Accent1 2 3 2 2 2 2 3 2" xfId="51164"/>
    <cellStyle name="20% - Accent1 2 3 2 2 2 2 4" xfId="34054"/>
    <cellStyle name="20% - Accent1 2 3 2 2 2 3" xfId="8348"/>
    <cellStyle name="20% - Accent1 2 3 2 2 2 3 2" xfId="25395"/>
    <cellStyle name="20% - Accent1 2 3 2 2 2 3 2 2" xfId="54256"/>
    <cellStyle name="20% - Accent1 2 3 2 2 2 3 3" xfId="37209"/>
    <cellStyle name="20% - Accent1 2 3 2 2 2 4" xfId="14427"/>
    <cellStyle name="20% - Accent1 2 3 2 2 2 4 2" xfId="19623"/>
    <cellStyle name="20% - Accent1 2 3 2 2 2 4 2 2" xfId="48484"/>
    <cellStyle name="20% - Accent1 2 3 2 2 2 4 3" xfId="43288"/>
    <cellStyle name="20% - Accent1 2 3 2 2 2 5" xfId="16943"/>
    <cellStyle name="20% - Accent1 2 3 2 2 2 5 2" xfId="45804"/>
    <cellStyle name="20% - Accent1 2 3 2 2 2 6" xfId="31168"/>
    <cellStyle name="20% - Accent1 2 3 2 2 3" xfId="3442"/>
    <cellStyle name="20% - Accent1 2 3 2 2 3 2" xfId="9483"/>
    <cellStyle name="20% - Accent1 2 3 2 2 3 2 2" xfId="26530"/>
    <cellStyle name="20% - Accent1 2 3 2 2 3 2 2 2" xfId="55391"/>
    <cellStyle name="20% - Accent1 2 3 2 2 3 2 3" xfId="38344"/>
    <cellStyle name="20% - Accent1 2 3 2 2 3 3" xfId="20552"/>
    <cellStyle name="20% - Accent1 2 3 2 2 3 3 2" xfId="49413"/>
    <cellStyle name="20% - Accent1 2 3 2 2 3 4" xfId="32303"/>
    <cellStyle name="20% - Accent1 2 3 2 2 4" xfId="6597"/>
    <cellStyle name="20% - Accent1 2 3 2 2 4 2" xfId="23644"/>
    <cellStyle name="20% - Accent1 2 3 2 2 4 2 2" xfId="52505"/>
    <cellStyle name="20% - Accent1 2 3 2 2 4 3" xfId="35458"/>
    <cellStyle name="20% - Accent1 2 3 2 2 5" xfId="14202"/>
    <cellStyle name="20% - Accent1 2 3 2 2 5 2" xfId="17872"/>
    <cellStyle name="20% - Accent1 2 3 2 2 5 2 2" xfId="46733"/>
    <cellStyle name="20% - Accent1 2 3 2 2 5 3" xfId="43063"/>
    <cellStyle name="20% - Accent1 2 3 2 2 6" xfId="15192"/>
    <cellStyle name="20% - Accent1 2 3 2 2 6 2" xfId="44053"/>
    <cellStyle name="20% - Accent1 2 3 2 2 7" xfId="29417"/>
    <cellStyle name="20% - Accent1 2 3 2 3" xfId="864"/>
    <cellStyle name="20% - Accent1 2 3 2 3 2" xfId="3751"/>
    <cellStyle name="20% - Accent1 2 3 2 3 2 2" xfId="9792"/>
    <cellStyle name="20% - Accent1 2 3 2 3 2 2 2" xfId="26839"/>
    <cellStyle name="20% - Accent1 2 3 2 3 2 2 2 2" xfId="55700"/>
    <cellStyle name="20% - Accent1 2 3 2 3 2 2 3" xfId="38653"/>
    <cellStyle name="20% - Accent1 2 3 2 3 2 3" xfId="20861"/>
    <cellStyle name="20% - Accent1 2 3 2 3 2 3 2" xfId="49722"/>
    <cellStyle name="20% - Accent1 2 3 2 3 2 4" xfId="32612"/>
    <cellStyle name="20% - Accent1 2 3 2 3 3" xfId="6906"/>
    <cellStyle name="20% - Accent1 2 3 2 3 3 2" xfId="23953"/>
    <cellStyle name="20% - Accent1 2 3 2 3 3 2 2" xfId="52814"/>
    <cellStyle name="20% - Accent1 2 3 2 3 3 3" xfId="35767"/>
    <cellStyle name="20% - Accent1 2 3 2 3 4" xfId="13182"/>
    <cellStyle name="20% - Accent1 2 3 2 3 4 2" xfId="18181"/>
    <cellStyle name="20% - Accent1 2 3 2 3 4 2 2" xfId="47042"/>
    <cellStyle name="20% - Accent1 2 3 2 3 4 3" xfId="42043"/>
    <cellStyle name="20% - Accent1 2 3 2 3 5" xfId="15501"/>
    <cellStyle name="20% - Accent1 2 3 2 3 5 2" xfId="44362"/>
    <cellStyle name="20% - Accent1 2 3 2 3 6" xfId="29726"/>
    <cellStyle name="20% - Accent1 2 3 2 4" xfId="1070"/>
    <cellStyle name="20% - Accent1 2 3 2 4 2" xfId="3957"/>
    <cellStyle name="20% - Accent1 2 3 2 4 2 2" xfId="9998"/>
    <cellStyle name="20% - Accent1 2 3 2 4 2 2 2" xfId="27045"/>
    <cellStyle name="20% - Accent1 2 3 2 4 2 2 2 2" xfId="55906"/>
    <cellStyle name="20% - Accent1 2 3 2 4 2 2 3" xfId="38859"/>
    <cellStyle name="20% - Accent1 2 3 2 4 2 3" xfId="21067"/>
    <cellStyle name="20% - Accent1 2 3 2 4 2 3 2" xfId="49928"/>
    <cellStyle name="20% - Accent1 2 3 2 4 2 4" xfId="32818"/>
    <cellStyle name="20% - Accent1 2 3 2 4 3" xfId="7112"/>
    <cellStyle name="20% - Accent1 2 3 2 4 3 2" xfId="24159"/>
    <cellStyle name="20% - Accent1 2 3 2 4 3 2 2" xfId="53020"/>
    <cellStyle name="20% - Accent1 2 3 2 4 3 3" xfId="35973"/>
    <cellStyle name="20% - Accent1 2 3 2 4 4" xfId="13080"/>
    <cellStyle name="20% - Accent1 2 3 2 4 4 2" xfId="18387"/>
    <cellStyle name="20% - Accent1 2 3 2 4 4 2 2" xfId="47248"/>
    <cellStyle name="20% - Accent1 2 3 2 4 4 3" xfId="41941"/>
    <cellStyle name="20% - Accent1 2 3 2 4 5" xfId="15707"/>
    <cellStyle name="20% - Accent1 2 3 2 4 5 2" xfId="44568"/>
    <cellStyle name="20% - Accent1 2 3 2 4 6" xfId="29932"/>
    <cellStyle name="20% - Accent1 2 3 2 5" xfId="1276"/>
    <cellStyle name="20% - Accent1 2 3 2 5 2" xfId="4163"/>
    <cellStyle name="20% - Accent1 2 3 2 5 2 2" xfId="10204"/>
    <cellStyle name="20% - Accent1 2 3 2 5 2 2 2" xfId="27251"/>
    <cellStyle name="20% - Accent1 2 3 2 5 2 2 2 2" xfId="56112"/>
    <cellStyle name="20% - Accent1 2 3 2 5 2 2 3" xfId="39065"/>
    <cellStyle name="20% - Accent1 2 3 2 5 2 3" xfId="21273"/>
    <cellStyle name="20% - Accent1 2 3 2 5 2 3 2" xfId="50134"/>
    <cellStyle name="20% - Accent1 2 3 2 5 2 4" xfId="33024"/>
    <cellStyle name="20% - Accent1 2 3 2 5 3" xfId="7318"/>
    <cellStyle name="20% - Accent1 2 3 2 5 3 2" xfId="24365"/>
    <cellStyle name="20% - Accent1 2 3 2 5 3 2 2" xfId="53226"/>
    <cellStyle name="20% - Accent1 2 3 2 5 3 3" xfId="36179"/>
    <cellStyle name="20% - Accent1 2 3 2 5 4" xfId="13264"/>
    <cellStyle name="20% - Accent1 2 3 2 5 4 2" xfId="18593"/>
    <cellStyle name="20% - Accent1 2 3 2 5 4 2 2" xfId="47454"/>
    <cellStyle name="20% - Accent1 2 3 2 5 4 3" xfId="42125"/>
    <cellStyle name="20% - Accent1 2 3 2 5 5" xfId="15913"/>
    <cellStyle name="20% - Accent1 2 3 2 5 5 2" xfId="44774"/>
    <cellStyle name="20% - Accent1 2 3 2 5 6" xfId="30138"/>
    <cellStyle name="20% - Accent1 2 3 2 6" xfId="1482"/>
    <cellStyle name="20% - Accent1 2 3 2 6 2" xfId="4369"/>
    <cellStyle name="20% - Accent1 2 3 2 6 2 2" xfId="10410"/>
    <cellStyle name="20% - Accent1 2 3 2 6 2 2 2" xfId="27457"/>
    <cellStyle name="20% - Accent1 2 3 2 6 2 2 2 2" xfId="56318"/>
    <cellStyle name="20% - Accent1 2 3 2 6 2 2 3" xfId="39271"/>
    <cellStyle name="20% - Accent1 2 3 2 6 2 3" xfId="21479"/>
    <cellStyle name="20% - Accent1 2 3 2 6 2 3 2" xfId="50340"/>
    <cellStyle name="20% - Accent1 2 3 2 6 2 4" xfId="33230"/>
    <cellStyle name="20% - Accent1 2 3 2 6 3" xfId="7524"/>
    <cellStyle name="20% - Accent1 2 3 2 6 3 2" xfId="24571"/>
    <cellStyle name="20% - Accent1 2 3 2 6 3 2 2" xfId="53432"/>
    <cellStyle name="20% - Accent1 2 3 2 6 3 3" xfId="36385"/>
    <cellStyle name="20% - Accent1 2 3 2 6 4" xfId="13619"/>
    <cellStyle name="20% - Accent1 2 3 2 6 4 2" xfId="18799"/>
    <cellStyle name="20% - Accent1 2 3 2 6 4 2 2" xfId="47660"/>
    <cellStyle name="20% - Accent1 2 3 2 6 4 3" xfId="42480"/>
    <cellStyle name="20% - Accent1 2 3 2 6 5" xfId="16119"/>
    <cellStyle name="20% - Accent1 2 3 2 6 5 2" xfId="44980"/>
    <cellStyle name="20% - Accent1 2 3 2 6 6" xfId="30344"/>
    <cellStyle name="20% - Accent1 2 3 2 7" xfId="1688"/>
    <cellStyle name="20% - Accent1 2 3 2 7 2" xfId="4575"/>
    <cellStyle name="20% - Accent1 2 3 2 7 2 2" xfId="10616"/>
    <cellStyle name="20% - Accent1 2 3 2 7 2 2 2" xfId="27663"/>
    <cellStyle name="20% - Accent1 2 3 2 7 2 2 2 2" xfId="56524"/>
    <cellStyle name="20% - Accent1 2 3 2 7 2 2 3" xfId="39477"/>
    <cellStyle name="20% - Accent1 2 3 2 7 2 3" xfId="21685"/>
    <cellStyle name="20% - Accent1 2 3 2 7 2 3 2" xfId="50546"/>
    <cellStyle name="20% - Accent1 2 3 2 7 2 4" xfId="33436"/>
    <cellStyle name="20% - Accent1 2 3 2 7 3" xfId="7730"/>
    <cellStyle name="20% - Accent1 2 3 2 7 3 2" xfId="24777"/>
    <cellStyle name="20% - Accent1 2 3 2 7 3 2 2" xfId="53638"/>
    <cellStyle name="20% - Accent1 2 3 2 7 3 3" xfId="36591"/>
    <cellStyle name="20% - Accent1 2 3 2 7 4" xfId="13597"/>
    <cellStyle name="20% - Accent1 2 3 2 7 4 2" xfId="19005"/>
    <cellStyle name="20% - Accent1 2 3 2 7 4 2 2" xfId="47866"/>
    <cellStyle name="20% - Accent1 2 3 2 7 4 3" xfId="42458"/>
    <cellStyle name="20% - Accent1 2 3 2 7 5" xfId="16325"/>
    <cellStyle name="20% - Accent1 2 3 2 7 5 2" xfId="45186"/>
    <cellStyle name="20% - Accent1 2 3 2 7 6" xfId="30550"/>
    <cellStyle name="20% - Accent1 2 3 2 8" xfId="1894"/>
    <cellStyle name="20% - Accent1 2 3 2 8 2" xfId="4781"/>
    <cellStyle name="20% - Accent1 2 3 2 8 2 2" xfId="10822"/>
    <cellStyle name="20% - Accent1 2 3 2 8 2 2 2" xfId="27869"/>
    <cellStyle name="20% - Accent1 2 3 2 8 2 2 2 2" xfId="56730"/>
    <cellStyle name="20% - Accent1 2 3 2 8 2 2 3" xfId="39683"/>
    <cellStyle name="20% - Accent1 2 3 2 8 2 3" xfId="21891"/>
    <cellStyle name="20% - Accent1 2 3 2 8 2 3 2" xfId="50752"/>
    <cellStyle name="20% - Accent1 2 3 2 8 2 4" xfId="33642"/>
    <cellStyle name="20% - Accent1 2 3 2 8 3" xfId="7936"/>
    <cellStyle name="20% - Accent1 2 3 2 8 3 2" xfId="24983"/>
    <cellStyle name="20% - Accent1 2 3 2 8 3 2 2" xfId="53844"/>
    <cellStyle name="20% - Accent1 2 3 2 8 3 3" xfId="36797"/>
    <cellStyle name="20% - Accent1 2 3 2 8 4" xfId="12929"/>
    <cellStyle name="20% - Accent1 2 3 2 8 4 2" xfId="19211"/>
    <cellStyle name="20% - Accent1 2 3 2 8 4 2 2" xfId="48072"/>
    <cellStyle name="20% - Accent1 2 3 2 8 4 3" xfId="41790"/>
    <cellStyle name="20% - Accent1 2 3 2 8 5" xfId="16531"/>
    <cellStyle name="20% - Accent1 2 3 2 8 5 2" xfId="45392"/>
    <cellStyle name="20% - Accent1 2 3 2 8 6" xfId="30756"/>
    <cellStyle name="20% - Accent1 2 3 2 9" xfId="2100"/>
    <cellStyle name="20% - Accent1 2 3 2 9 2" xfId="4987"/>
    <cellStyle name="20% - Accent1 2 3 2 9 2 2" xfId="11028"/>
    <cellStyle name="20% - Accent1 2 3 2 9 2 2 2" xfId="28075"/>
    <cellStyle name="20% - Accent1 2 3 2 9 2 2 2 2" xfId="56936"/>
    <cellStyle name="20% - Accent1 2 3 2 9 2 2 3" xfId="39889"/>
    <cellStyle name="20% - Accent1 2 3 2 9 2 3" xfId="22097"/>
    <cellStyle name="20% - Accent1 2 3 2 9 2 3 2" xfId="50958"/>
    <cellStyle name="20% - Accent1 2 3 2 9 2 4" xfId="33848"/>
    <cellStyle name="20% - Accent1 2 3 2 9 3" xfId="8142"/>
    <cellStyle name="20% - Accent1 2 3 2 9 3 2" xfId="25189"/>
    <cellStyle name="20% - Accent1 2 3 2 9 3 2 2" xfId="54050"/>
    <cellStyle name="20% - Accent1 2 3 2 9 3 3" xfId="37003"/>
    <cellStyle name="20% - Accent1 2 3 2 9 4" xfId="13047"/>
    <cellStyle name="20% - Accent1 2 3 2 9 4 2" xfId="19417"/>
    <cellStyle name="20% - Accent1 2 3 2 9 4 2 2" xfId="48278"/>
    <cellStyle name="20% - Accent1 2 3 2 9 4 3" xfId="41908"/>
    <cellStyle name="20% - Accent1 2 3 2 9 5" xfId="16737"/>
    <cellStyle name="20% - Accent1 2 3 2 9 5 2" xfId="45598"/>
    <cellStyle name="20% - Accent1 2 3 2 9 6" xfId="30962"/>
    <cellStyle name="20% - Accent1 2 3 20" xfId="29005"/>
    <cellStyle name="20% - Accent1 2 3 3" xfId="246"/>
    <cellStyle name="20% - Accent1 2 3 3 2" xfId="658"/>
    <cellStyle name="20% - Accent1 2 3 3 2 2" xfId="3545"/>
    <cellStyle name="20% - Accent1 2 3 3 2 2 2" xfId="9586"/>
    <cellStyle name="20% - Accent1 2 3 3 2 2 2 2" xfId="26633"/>
    <cellStyle name="20% - Accent1 2 3 3 2 2 2 2 2" xfId="55494"/>
    <cellStyle name="20% - Accent1 2 3 3 2 2 2 3" xfId="38447"/>
    <cellStyle name="20% - Accent1 2 3 3 2 2 3" xfId="20655"/>
    <cellStyle name="20% - Accent1 2 3 3 2 2 3 2" xfId="49516"/>
    <cellStyle name="20% - Accent1 2 3 3 2 2 4" xfId="32406"/>
    <cellStyle name="20% - Accent1 2 3 3 2 3" xfId="6700"/>
    <cellStyle name="20% - Accent1 2 3 3 2 3 2" xfId="23747"/>
    <cellStyle name="20% - Accent1 2 3 3 2 3 2 2" xfId="52608"/>
    <cellStyle name="20% - Accent1 2 3 3 2 3 3" xfId="35561"/>
    <cellStyle name="20% - Accent1 2 3 3 2 4" xfId="13817"/>
    <cellStyle name="20% - Accent1 2 3 3 2 4 2" xfId="17975"/>
    <cellStyle name="20% - Accent1 2 3 3 2 4 2 2" xfId="46836"/>
    <cellStyle name="20% - Accent1 2 3 3 2 4 3" xfId="42678"/>
    <cellStyle name="20% - Accent1 2 3 3 2 5" xfId="15295"/>
    <cellStyle name="20% - Accent1 2 3 3 2 5 2" xfId="44156"/>
    <cellStyle name="20% - Accent1 2 3 3 2 6" xfId="29520"/>
    <cellStyle name="20% - Accent1 2 3 3 3" xfId="2203"/>
    <cellStyle name="20% - Accent1 2 3 3 3 2" xfId="5090"/>
    <cellStyle name="20% - Accent1 2 3 3 3 2 2" xfId="11131"/>
    <cellStyle name="20% - Accent1 2 3 3 3 2 2 2" xfId="28178"/>
    <cellStyle name="20% - Accent1 2 3 3 3 2 2 2 2" xfId="57039"/>
    <cellStyle name="20% - Accent1 2 3 3 3 2 2 3" xfId="39992"/>
    <cellStyle name="20% - Accent1 2 3 3 3 2 3" xfId="22200"/>
    <cellStyle name="20% - Accent1 2 3 3 3 2 3 2" xfId="51061"/>
    <cellStyle name="20% - Accent1 2 3 3 3 2 4" xfId="33951"/>
    <cellStyle name="20% - Accent1 2 3 3 3 3" xfId="8245"/>
    <cellStyle name="20% - Accent1 2 3 3 3 3 2" xfId="25292"/>
    <cellStyle name="20% - Accent1 2 3 3 3 3 2 2" xfId="54153"/>
    <cellStyle name="20% - Accent1 2 3 3 3 3 3" xfId="37106"/>
    <cellStyle name="20% - Accent1 2 3 3 3 4" xfId="12550"/>
    <cellStyle name="20% - Accent1 2 3 3 3 4 2" xfId="19520"/>
    <cellStyle name="20% - Accent1 2 3 3 3 4 2 2" xfId="48381"/>
    <cellStyle name="20% - Accent1 2 3 3 3 4 3" xfId="41411"/>
    <cellStyle name="20% - Accent1 2 3 3 3 5" xfId="16840"/>
    <cellStyle name="20% - Accent1 2 3 3 3 5 2" xfId="45701"/>
    <cellStyle name="20% - Accent1 2 3 3 3 6" xfId="31065"/>
    <cellStyle name="20% - Accent1 2 3 3 4" xfId="3133"/>
    <cellStyle name="20% - Accent1 2 3 3 4 2" xfId="9174"/>
    <cellStyle name="20% - Accent1 2 3 3 4 2 2" xfId="26221"/>
    <cellStyle name="20% - Accent1 2 3 3 4 2 2 2" xfId="55082"/>
    <cellStyle name="20% - Accent1 2 3 3 4 2 3" xfId="38035"/>
    <cellStyle name="20% - Accent1 2 3 3 4 3" xfId="20243"/>
    <cellStyle name="20% - Accent1 2 3 3 4 3 2" xfId="49104"/>
    <cellStyle name="20% - Accent1 2 3 3 4 4" xfId="31994"/>
    <cellStyle name="20% - Accent1 2 3 3 5" xfId="6288"/>
    <cellStyle name="20% - Accent1 2 3 3 5 2" xfId="23335"/>
    <cellStyle name="20% - Accent1 2 3 3 5 2 2" xfId="52196"/>
    <cellStyle name="20% - Accent1 2 3 3 5 3" xfId="35149"/>
    <cellStyle name="20% - Accent1 2 3 3 6" xfId="13358"/>
    <cellStyle name="20% - Accent1 2 3 3 6 2" xfId="17666"/>
    <cellStyle name="20% - Accent1 2 3 3 6 2 2" xfId="46527"/>
    <cellStyle name="20% - Accent1 2 3 3 6 3" xfId="42219"/>
    <cellStyle name="20% - Accent1 2 3 3 7" xfId="14883"/>
    <cellStyle name="20% - Accent1 2 3 3 7 2" xfId="43744"/>
    <cellStyle name="20% - Accent1 2 3 3 8" xfId="29108"/>
    <cellStyle name="20% - Accent1 2 3 4" xfId="452"/>
    <cellStyle name="20% - Accent1 2 3 4 2" xfId="3339"/>
    <cellStyle name="20% - Accent1 2 3 4 2 2" xfId="9380"/>
    <cellStyle name="20% - Accent1 2 3 4 2 2 2" xfId="26427"/>
    <cellStyle name="20% - Accent1 2 3 4 2 2 2 2" xfId="55288"/>
    <cellStyle name="20% - Accent1 2 3 4 2 2 3" xfId="38241"/>
    <cellStyle name="20% - Accent1 2 3 4 2 3" xfId="20449"/>
    <cellStyle name="20% - Accent1 2 3 4 2 3 2" xfId="49310"/>
    <cellStyle name="20% - Accent1 2 3 4 2 4" xfId="32200"/>
    <cellStyle name="20% - Accent1 2 3 4 3" xfId="6494"/>
    <cellStyle name="20% - Accent1 2 3 4 3 2" xfId="23541"/>
    <cellStyle name="20% - Accent1 2 3 4 3 2 2" xfId="52402"/>
    <cellStyle name="20% - Accent1 2 3 4 3 3" xfId="35355"/>
    <cellStyle name="20% - Accent1 2 3 4 4" xfId="13321"/>
    <cellStyle name="20% - Accent1 2 3 4 4 2" xfId="17769"/>
    <cellStyle name="20% - Accent1 2 3 4 4 2 2" xfId="46630"/>
    <cellStyle name="20% - Accent1 2 3 4 4 3" xfId="42182"/>
    <cellStyle name="20% - Accent1 2 3 4 5" xfId="15089"/>
    <cellStyle name="20% - Accent1 2 3 4 5 2" xfId="43950"/>
    <cellStyle name="20% - Accent1 2 3 4 6" xfId="29314"/>
    <cellStyle name="20% - Accent1 2 3 5" xfId="761"/>
    <cellStyle name="20% - Accent1 2 3 5 2" xfId="3648"/>
    <cellStyle name="20% - Accent1 2 3 5 2 2" xfId="9689"/>
    <cellStyle name="20% - Accent1 2 3 5 2 2 2" xfId="26736"/>
    <cellStyle name="20% - Accent1 2 3 5 2 2 2 2" xfId="55597"/>
    <cellStyle name="20% - Accent1 2 3 5 2 2 3" xfId="38550"/>
    <cellStyle name="20% - Accent1 2 3 5 2 3" xfId="20758"/>
    <cellStyle name="20% - Accent1 2 3 5 2 3 2" xfId="49619"/>
    <cellStyle name="20% - Accent1 2 3 5 2 4" xfId="32509"/>
    <cellStyle name="20% - Accent1 2 3 5 3" xfId="6803"/>
    <cellStyle name="20% - Accent1 2 3 5 3 2" xfId="23850"/>
    <cellStyle name="20% - Accent1 2 3 5 3 2 2" xfId="52711"/>
    <cellStyle name="20% - Accent1 2 3 5 3 3" xfId="35664"/>
    <cellStyle name="20% - Accent1 2 3 5 4" xfId="13036"/>
    <cellStyle name="20% - Accent1 2 3 5 4 2" xfId="18078"/>
    <cellStyle name="20% - Accent1 2 3 5 4 2 2" xfId="46939"/>
    <cellStyle name="20% - Accent1 2 3 5 4 3" xfId="41897"/>
    <cellStyle name="20% - Accent1 2 3 5 5" xfId="15398"/>
    <cellStyle name="20% - Accent1 2 3 5 5 2" xfId="44259"/>
    <cellStyle name="20% - Accent1 2 3 5 6" xfId="29623"/>
    <cellStyle name="20% - Accent1 2 3 6" xfId="967"/>
    <cellStyle name="20% - Accent1 2 3 6 2" xfId="3854"/>
    <cellStyle name="20% - Accent1 2 3 6 2 2" xfId="9895"/>
    <cellStyle name="20% - Accent1 2 3 6 2 2 2" xfId="26942"/>
    <cellStyle name="20% - Accent1 2 3 6 2 2 2 2" xfId="55803"/>
    <cellStyle name="20% - Accent1 2 3 6 2 2 3" xfId="38756"/>
    <cellStyle name="20% - Accent1 2 3 6 2 3" xfId="20964"/>
    <cellStyle name="20% - Accent1 2 3 6 2 3 2" xfId="49825"/>
    <cellStyle name="20% - Accent1 2 3 6 2 4" xfId="32715"/>
    <cellStyle name="20% - Accent1 2 3 6 3" xfId="7009"/>
    <cellStyle name="20% - Accent1 2 3 6 3 2" xfId="24056"/>
    <cellStyle name="20% - Accent1 2 3 6 3 2 2" xfId="52917"/>
    <cellStyle name="20% - Accent1 2 3 6 3 3" xfId="35870"/>
    <cellStyle name="20% - Accent1 2 3 6 4" xfId="12883"/>
    <cellStyle name="20% - Accent1 2 3 6 4 2" xfId="18284"/>
    <cellStyle name="20% - Accent1 2 3 6 4 2 2" xfId="47145"/>
    <cellStyle name="20% - Accent1 2 3 6 4 3" xfId="41744"/>
    <cellStyle name="20% - Accent1 2 3 6 5" xfId="15604"/>
    <cellStyle name="20% - Accent1 2 3 6 5 2" xfId="44465"/>
    <cellStyle name="20% - Accent1 2 3 6 6" xfId="29829"/>
    <cellStyle name="20% - Accent1 2 3 7" xfId="1173"/>
    <cellStyle name="20% - Accent1 2 3 7 2" xfId="4060"/>
    <cellStyle name="20% - Accent1 2 3 7 2 2" xfId="10101"/>
    <cellStyle name="20% - Accent1 2 3 7 2 2 2" xfId="27148"/>
    <cellStyle name="20% - Accent1 2 3 7 2 2 2 2" xfId="56009"/>
    <cellStyle name="20% - Accent1 2 3 7 2 2 3" xfId="38962"/>
    <cellStyle name="20% - Accent1 2 3 7 2 3" xfId="21170"/>
    <cellStyle name="20% - Accent1 2 3 7 2 3 2" xfId="50031"/>
    <cellStyle name="20% - Accent1 2 3 7 2 4" xfId="32921"/>
    <cellStyle name="20% - Accent1 2 3 7 3" xfId="7215"/>
    <cellStyle name="20% - Accent1 2 3 7 3 2" xfId="24262"/>
    <cellStyle name="20% - Accent1 2 3 7 3 2 2" xfId="53123"/>
    <cellStyle name="20% - Accent1 2 3 7 3 3" xfId="36076"/>
    <cellStyle name="20% - Accent1 2 3 7 4" xfId="14488"/>
    <cellStyle name="20% - Accent1 2 3 7 4 2" xfId="18490"/>
    <cellStyle name="20% - Accent1 2 3 7 4 2 2" xfId="47351"/>
    <cellStyle name="20% - Accent1 2 3 7 4 3" xfId="43349"/>
    <cellStyle name="20% - Accent1 2 3 7 5" xfId="15810"/>
    <cellStyle name="20% - Accent1 2 3 7 5 2" xfId="44671"/>
    <cellStyle name="20% - Accent1 2 3 7 6" xfId="30035"/>
    <cellStyle name="20% - Accent1 2 3 8" xfId="1379"/>
    <cellStyle name="20% - Accent1 2 3 8 2" xfId="4266"/>
    <cellStyle name="20% - Accent1 2 3 8 2 2" xfId="10307"/>
    <cellStyle name="20% - Accent1 2 3 8 2 2 2" xfId="27354"/>
    <cellStyle name="20% - Accent1 2 3 8 2 2 2 2" xfId="56215"/>
    <cellStyle name="20% - Accent1 2 3 8 2 2 3" xfId="39168"/>
    <cellStyle name="20% - Accent1 2 3 8 2 3" xfId="21376"/>
    <cellStyle name="20% - Accent1 2 3 8 2 3 2" xfId="50237"/>
    <cellStyle name="20% - Accent1 2 3 8 2 4" xfId="33127"/>
    <cellStyle name="20% - Accent1 2 3 8 3" xfId="7421"/>
    <cellStyle name="20% - Accent1 2 3 8 3 2" xfId="24468"/>
    <cellStyle name="20% - Accent1 2 3 8 3 2 2" xfId="53329"/>
    <cellStyle name="20% - Accent1 2 3 8 3 3" xfId="36282"/>
    <cellStyle name="20% - Accent1 2 3 8 4" xfId="12934"/>
    <cellStyle name="20% - Accent1 2 3 8 4 2" xfId="18696"/>
    <cellStyle name="20% - Accent1 2 3 8 4 2 2" xfId="47557"/>
    <cellStyle name="20% - Accent1 2 3 8 4 3" xfId="41795"/>
    <cellStyle name="20% - Accent1 2 3 8 5" xfId="16016"/>
    <cellStyle name="20% - Accent1 2 3 8 5 2" xfId="44877"/>
    <cellStyle name="20% - Accent1 2 3 8 6" xfId="30241"/>
    <cellStyle name="20% - Accent1 2 3 9" xfId="1585"/>
    <cellStyle name="20% - Accent1 2 3 9 2" xfId="4472"/>
    <cellStyle name="20% - Accent1 2 3 9 2 2" xfId="10513"/>
    <cellStyle name="20% - Accent1 2 3 9 2 2 2" xfId="27560"/>
    <cellStyle name="20% - Accent1 2 3 9 2 2 2 2" xfId="56421"/>
    <cellStyle name="20% - Accent1 2 3 9 2 2 3" xfId="39374"/>
    <cellStyle name="20% - Accent1 2 3 9 2 3" xfId="21582"/>
    <cellStyle name="20% - Accent1 2 3 9 2 3 2" xfId="50443"/>
    <cellStyle name="20% - Accent1 2 3 9 2 4" xfId="33333"/>
    <cellStyle name="20% - Accent1 2 3 9 3" xfId="7627"/>
    <cellStyle name="20% - Accent1 2 3 9 3 2" xfId="24674"/>
    <cellStyle name="20% - Accent1 2 3 9 3 2 2" xfId="53535"/>
    <cellStyle name="20% - Accent1 2 3 9 3 3" xfId="36488"/>
    <cellStyle name="20% - Accent1 2 3 9 4" xfId="14250"/>
    <cellStyle name="20% - Accent1 2 3 9 4 2" xfId="18902"/>
    <cellStyle name="20% - Accent1 2 3 9 4 2 2" xfId="47763"/>
    <cellStyle name="20% - Accent1 2 3 9 4 3" xfId="43111"/>
    <cellStyle name="20% - Accent1 2 3 9 5" xfId="16222"/>
    <cellStyle name="20% - Accent1 2 3 9 5 2" xfId="45083"/>
    <cellStyle name="20% - Accent1 2 3 9 6" xfId="30447"/>
    <cellStyle name="20% - Accent1 2 4" xfId="297"/>
    <cellStyle name="20% - Accent1 2 4 10" xfId="2460"/>
    <cellStyle name="20% - Accent1 2 4 10 2" xfId="5347"/>
    <cellStyle name="20% - Accent1 2 4 10 2 2" xfId="11388"/>
    <cellStyle name="20% - Accent1 2 4 10 2 2 2" xfId="28435"/>
    <cellStyle name="20% - Accent1 2 4 10 2 2 2 2" xfId="57296"/>
    <cellStyle name="20% - Accent1 2 4 10 2 2 3" xfId="40249"/>
    <cellStyle name="20% - Accent1 2 4 10 2 3" xfId="22457"/>
    <cellStyle name="20% - Accent1 2 4 10 2 3 2" xfId="51318"/>
    <cellStyle name="20% - Accent1 2 4 10 2 4" xfId="34208"/>
    <cellStyle name="20% - Accent1 2 4 10 3" xfId="8502"/>
    <cellStyle name="20% - Accent1 2 4 10 3 2" xfId="25549"/>
    <cellStyle name="20% - Accent1 2 4 10 3 2 2" xfId="54410"/>
    <cellStyle name="20% - Accent1 2 4 10 3 3" xfId="37363"/>
    <cellStyle name="20% - Accent1 2 4 10 4" xfId="13735"/>
    <cellStyle name="20% - Accent1 2 4 10 4 2" xfId="19777"/>
    <cellStyle name="20% - Accent1 2 4 10 4 2 2" xfId="48638"/>
    <cellStyle name="20% - Accent1 2 4 10 4 3" xfId="42596"/>
    <cellStyle name="20% - Accent1 2 4 10 5" xfId="17097"/>
    <cellStyle name="20% - Accent1 2 4 10 5 2" xfId="45958"/>
    <cellStyle name="20% - Accent1 2 4 10 6" xfId="31322"/>
    <cellStyle name="20% - Accent1 2 4 11" xfId="2669"/>
    <cellStyle name="20% - Accent1 2 4 11 2" xfId="5555"/>
    <cellStyle name="20% - Accent1 2 4 11 2 2" xfId="11596"/>
    <cellStyle name="20% - Accent1 2 4 11 2 2 2" xfId="28643"/>
    <cellStyle name="20% - Accent1 2 4 11 2 2 2 2" xfId="57504"/>
    <cellStyle name="20% - Accent1 2 4 11 2 2 3" xfId="40457"/>
    <cellStyle name="20% - Accent1 2 4 11 2 3" xfId="22665"/>
    <cellStyle name="20% - Accent1 2 4 11 2 3 2" xfId="51526"/>
    <cellStyle name="20% - Accent1 2 4 11 2 4" xfId="34416"/>
    <cellStyle name="20% - Accent1 2 4 11 3" xfId="8710"/>
    <cellStyle name="20% - Accent1 2 4 11 3 2" xfId="25757"/>
    <cellStyle name="20% - Accent1 2 4 11 3 2 2" xfId="54618"/>
    <cellStyle name="20% - Accent1 2 4 11 3 3" xfId="37571"/>
    <cellStyle name="20% - Accent1 2 4 11 4" xfId="13993"/>
    <cellStyle name="20% - Accent1 2 4 11 4 2" xfId="19985"/>
    <cellStyle name="20% - Accent1 2 4 11 4 2 2" xfId="48846"/>
    <cellStyle name="20% - Accent1 2 4 11 4 3" xfId="42854"/>
    <cellStyle name="20% - Accent1 2 4 11 5" xfId="17305"/>
    <cellStyle name="20% - Accent1 2 4 11 5 2" xfId="46166"/>
    <cellStyle name="20% - Accent1 2 4 11 6" xfId="31530"/>
    <cellStyle name="20% - Accent1 2 4 12" xfId="3184"/>
    <cellStyle name="20% - Accent1 2 4 12 2" xfId="9225"/>
    <cellStyle name="20% - Accent1 2 4 12 2 2" xfId="26272"/>
    <cellStyle name="20% - Accent1 2 4 12 2 2 2" xfId="55133"/>
    <cellStyle name="20% - Accent1 2 4 12 2 3" xfId="38086"/>
    <cellStyle name="20% - Accent1 2 4 12 3" xfId="11918"/>
    <cellStyle name="20% - Accent1 2 4 12 3 2" xfId="20294"/>
    <cellStyle name="20% - Accent1 2 4 12 3 2 2" xfId="49155"/>
    <cellStyle name="20% - Accent1 2 4 12 3 3" xfId="40779"/>
    <cellStyle name="20% - Accent1 2 4 12 4" xfId="14934"/>
    <cellStyle name="20% - Accent1 2 4 12 4 2" xfId="43795"/>
    <cellStyle name="20% - Accent1 2 4 12 5" xfId="32045"/>
    <cellStyle name="20% - Accent1 2 4 13" xfId="2875"/>
    <cellStyle name="20% - Accent1 2 4 13 2" xfId="8916"/>
    <cellStyle name="20% - Accent1 2 4 13 2 2" xfId="25963"/>
    <cellStyle name="20% - Accent1 2 4 13 2 2 2" xfId="54824"/>
    <cellStyle name="20% - Accent1 2 4 13 2 3" xfId="37777"/>
    <cellStyle name="20% - Accent1 2 4 13 3" xfId="17511"/>
    <cellStyle name="20% - Accent1 2 4 13 3 2" xfId="46372"/>
    <cellStyle name="20% - Accent1 2 4 13 4" xfId="31736"/>
    <cellStyle name="20% - Accent1 2 4 14" xfId="5761"/>
    <cellStyle name="20% - Accent1 2 4 14 2" xfId="11802"/>
    <cellStyle name="20% - Accent1 2 4 14 2 2" xfId="28849"/>
    <cellStyle name="20% - Accent1 2 4 14 2 2 2" xfId="57710"/>
    <cellStyle name="20% - Accent1 2 4 14 2 3" xfId="40663"/>
    <cellStyle name="20% - Accent1 2 4 14 3" xfId="22871"/>
    <cellStyle name="20% - Accent1 2 4 14 3 2" xfId="51732"/>
    <cellStyle name="20% - Accent1 2 4 14 4" xfId="34622"/>
    <cellStyle name="20% - Accent1 2 4 15" xfId="5978"/>
    <cellStyle name="20% - Accent1 2 4 15 2" xfId="23077"/>
    <cellStyle name="20% - Accent1 2 4 15 2 2" xfId="51938"/>
    <cellStyle name="20% - Accent1 2 4 15 3" xfId="34839"/>
    <cellStyle name="20% - Accent1 2 4 16" xfId="6339"/>
    <cellStyle name="20% - Accent1 2 4 16 2" xfId="23386"/>
    <cellStyle name="20% - Accent1 2 4 16 2 2" xfId="52247"/>
    <cellStyle name="20% - Accent1 2 4 16 3" xfId="35200"/>
    <cellStyle name="20% - Accent1 2 4 17" xfId="14625"/>
    <cellStyle name="20% - Accent1 2 4 17 2" xfId="43486"/>
    <cellStyle name="20% - Accent1 2 4 18" xfId="29159"/>
    <cellStyle name="20% - Accent1 2 4 2" xfId="503"/>
    <cellStyle name="20% - Accent1 2 4 2 2" xfId="2254"/>
    <cellStyle name="20% - Accent1 2 4 2 2 2" xfId="5141"/>
    <cellStyle name="20% - Accent1 2 4 2 2 2 2" xfId="11182"/>
    <cellStyle name="20% - Accent1 2 4 2 2 2 2 2" xfId="28229"/>
    <cellStyle name="20% - Accent1 2 4 2 2 2 2 2 2" xfId="57090"/>
    <cellStyle name="20% - Accent1 2 4 2 2 2 2 3" xfId="40043"/>
    <cellStyle name="20% - Accent1 2 4 2 2 2 3" xfId="22251"/>
    <cellStyle name="20% - Accent1 2 4 2 2 2 3 2" xfId="51112"/>
    <cellStyle name="20% - Accent1 2 4 2 2 2 4" xfId="34002"/>
    <cellStyle name="20% - Accent1 2 4 2 2 3" xfId="8296"/>
    <cellStyle name="20% - Accent1 2 4 2 2 3 2" xfId="25343"/>
    <cellStyle name="20% - Accent1 2 4 2 2 3 2 2" xfId="54204"/>
    <cellStyle name="20% - Accent1 2 4 2 2 3 3" xfId="37157"/>
    <cellStyle name="20% - Accent1 2 4 2 2 4" xfId="12867"/>
    <cellStyle name="20% - Accent1 2 4 2 2 4 2" xfId="19571"/>
    <cellStyle name="20% - Accent1 2 4 2 2 4 2 2" xfId="48432"/>
    <cellStyle name="20% - Accent1 2 4 2 2 4 3" xfId="41728"/>
    <cellStyle name="20% - Accent1 2 4 2 2 5" xfId="16891"/>
    <cellStyle name="20% - Accent1 2 4 2 2 5 2" xfId="45752"/>
    <cellStyle name="20% - Accent1 2 4 2 2 6" xfId="31116"/>
    <cellStyle name="20% - Accent1 2 4 2 3" xfId="3390"/>
    <cellStyle name="20% - Accent1 2 4 2 3 2" xfId="9431"/>
    <cellStyle name="20% - Accent1 2 4 2 3 2 2" xfId="26478"/>
    <cellStyle name="20% - Accent1 2 4 2 3 2 2 2" xfId="55339"/>
    <cellStyle name="20% - Accent1 2 4 2 3 2 3" xfId="38292"/>
    <cellStyle name="20% - Accent1 2 4 2 3 3" xfId="20500"/>
    <cellStyle name="20% - Accent1 2 4 2 3 3 2" xfId="49361"/>
    <cellStyle name="20% - Accent1 2 4 2 3 4" xfId="32251"/>
    <cellStyle name="20% - Accent1 2 4 2 4" xfId="6545"/>
    <cellStyle name="20% - Accent1 2 4 2 4 2" xfId="23592"/>
    <cellStyle name="20% - Accent1 2 4 2 4 2 2" xfId="52453"/>
    <cellStyle name="20% - Accent1 2 4 2 4 3" xfId="35406"/>
    <cellStyle name="20% - Accent1 2 4 2 5" xfId="13609"/>
    <cellStyle name="20% - Accent1 2 4 2 5 2" xfId="17820"/>
    <cellStyle name="20% - Accent1 2 4 2 5 2 2" xfId="46681"/>
    <cellStyle name="20% - Accent1 2 4 2 5 3" xfId="42470"/>
    <cellStyle name="20% - Accent1 2 4 2 6" xfId="15140"/>
    <cellStyle name="20% - Accent1 2 4 2 6 2" xfId="44001"/>
    <cellStyle name="20% - Accent1 2 4 2 7" xfId="29365"/>
    <cellStyle name="20% - Accent1 2 4 3" xfId="812"/>
    <cellStyle name="20% - Accent1 2 4 3 2" xfId="3699"/>
    <cellStyle name="20% - Accent1 2 4 3 2 2" xfId="9740"/>
    <cellStyle name="20% - Accent1 2 4 3 2 2 2" xfId="26787"/>
    <cellStyle name="20% - Accent1 2 4 3 2 2 2 2" xfId="55648"/>
    <cellStyle name="20% - Accent1 2 4 3 2 2 3" xfId="38601"/>
    <cellStyle name="20% - Accent1 2 4 3 2 3" xfId="20809"/>
    <cellStyle name="20% - Accent1 2 4 3 2 3 2" xfId="49670"/>
    <cellStyle name="20% - Accent1 2 4 3 2 4" xfId="32560"/>
    <cellStyle name="20% - Accent1 2 4 3 3" xfId="6854"/>
    <cellStyle name="20% - Accent1 2 4 3 3 2" xfId="23901"/>
    <cellStyle name="20% - Accent1 2 4 3 3 2 2" xfId="52762"/>
    <cellStyle name="20% - Accent1 2 4 3 3 3" xfId="35715"/>
    <cellStyle name="20% - Accent1 2 4 3 4" xfId="14244"/>
    <cellStyle name="20% - Accent1 2 4 3 4 2" xfId="18129"/>
    <cellStyle name="20% - Accent1 2 4 3 4 2 2" xfId="46990"/>
    <cellStyle name="20% - Accent1 2 4 3 4 3" xfId="43105"/>
    <cellStyle name="20% - Accent1 2 4 3 5" xfId="15449"/>
    <cellStyle name="20% - Accent1 2 4 3 5 2" xfId="44310"/>
    <cellStyle name="20% - Accent1 2 4 3 6" xfId="29674"/>
    <cellStyle name="20% - Accent1 2 4 4" xfId="1018"/>
    <cellStyle name="20% - Accent1 2 4 4 2" xfId="3905"/>
    <cellStyle name="20% - Accent1 2 4 4 2 2" xfId="9946"/>
    <cellStyle name="20% - Accent1 2 4 4 2 2 2" xfId="26993"/>
    <cellStyle name="20% - Accent1 2 4 4 2 2 2 2" xfId="55854"/>
    <cellStyle name="20% - Accent1 2 4 4 2 2 3" xfId="38807"/>
    <cellStyle name="20% - Accent1 2 4 4 2 3" xfId="21015"/>
    <cellStyle name="20% - Accent1 2 4 4 2 3 2" xfId="49876"/>
    <cellStyle name="20% - Accent1 2 4 4 2 4" xfId="32766"/>
    <cellStyle name="20% - Accent1 2 4 4 3" xfId="7060"/>
    <cellStyle name="20% - Accent1 2 4 4 3 2" xfId="24107"/>
    <cellStyle name="20% - Accent1 2 4 4 3 2 2" xfId="52968"/>
    <cellStyle name="20% - Accent1 2 4 4 3 3" xfId="35921"/>
    <cellStyle name="20% - Accent1 2 4 4 4" xfId="14382"/>
    <cellStyle name="20% - Accent1 2 4 4 4 2" xfId="18335"/>
    <cellStyle name="20% - Accent1 2 4 4 4 2 2" xfId="47196"/>
    <cellStyle name="20% - Accent1 2 4 4 4 3" xfId="43243"/>
    <cellStyle name="20% - Accent1 2 4 4 5" xfId="15655"/>
    <cellStyle name="20% - Accent1 2 4 4 5 2" xfId="44516"/>
    <cellStyle name="20% - Accent1 2 4 4 6" xfId="29880"/>
    <cellStyle name="20% - Accent1 2 4 5" xfId="1224"/>
    <cellStyle name="20% - Accent1 2 4 5 2" xfId="4111"/>
    <cellStyle name="20% - Accent1 2 4 5 2 2" xfId="10152"/>
    <cellStyle name="20% - Accent1 2 4 5 2 2 2" xfId="27199"/>
    <cellStyle name="20% - Accent1 2 4 5 2 2 2 2" xfId="56060"/>
    <cellStyle name="20% - Accent1 2 4 5 2 2 3" xfId="39013"/>
    <cellStyle name="20% - Accent1 2 4 5 2 3" xfId="21221"/>
    <cellStyle name="20% - Accent1 2 4 5 2 3 2" xfId="50082"/>
    <cellStyle name="20% - Accent1 2 4 5 2 4" xfId="32972"/>
    <cellStyle name="20% - Accent1 2 4 5 3" xfId="7266"/>
    <cellStyle name="20% - Accent1 2 4 5 3 2" xfId="24313"/>
    <cellStyle name="20% - Accent1 2 4 5 3 2 2" xfId="53174"/>
    <cellStyle name="20% - Accent1 2 4 5 3 3" xfId="36127"/>
    <cellStyle name="20% - Accent1 2 4 5 4" xfId="12543"/>
    <cellStyle name="20% - Accent1 2 4 5 4 2" xfId="18541"/>
    <cellStyle name="20% - Accent1 2 4 5 4 2 2" xfId="47402"/>
    <cellStyle name="20% - Accent1 2 4 5 4 3" xfId="41404"/>
    <cellStyle name="20% - Accent1 2 4 5 5" xfId="15861"/>
    <cellStyle name="20% - Accent1 2 4 5 5 2" xfId="44722"/>
    <cellStyle name="20% - Accent1 2 4 5 6" xfId="30086"/>
    <cellStyle name="20% - Accent1 2 4 6" xfId="1430"/>
    <cellStyle name="20% - Accent1 2 4 6 2" xfId="4317"/>
    <cellStyle name="20% - Accent1 2 4 6 2 2" xfId="10358"/>
    <cellStyle name="20% - Accent1 2 4 6 2 2 2" xfId="27405"/>
    <cellStyle name="20% - Accent1 2 4 6 2 2 2 2" xfId="56266"/>
    <cellStyle name="20% - Accent1 2 4 6 2 2 3" xfId="39219"/>
    <cellStyle name="20% - Accent1 2 4 6 2 3" xfId="21427"/>
    <cellStyle name="20% - Accent1 2 4 6 2 3 2" xfId="50288"/>
    <cellStyle name="20% - Accent1 2 4 6 2 4" xfId="33178"/>
    <cellStyle name="20% - Accent1 2 4 6 3" xfId="7472"/>
    <cellStyle name="20% - Accent1 2 4 6 3 2" xfId="24519"/>
    <cellStyle name="20% - Accent1 2 4 6 3 2 2" xfId="53380"/>
    <cellStyle name="20% - Accent1 2 4 6 3 3" xfId="36333"/>
    <cellStyle name="20% - Accent1 2 4 6 4" xfId="13702"/>
    <cellStyle name="20% - Accent1 2 4 6 4 2" xfId="18747"/>
    <cellStyle name="20% - Accent1 2 4 6 4 2 2" xfId="47608"/>
    <cellStyle name="20% - Accent1 2 4 6 4 3" xfId="42563"/>
    <cellStyle name="20% - Accent1 2 4 6 5" xfId="16067"/>
    <cellStyle name="20% - Accent1 2 4 6 5 2" xfId="44928"/>
    <cellStyle name="20% - Accent1 2 4 6 6" xfId="30292"/>
    <cellStyle name="20% - Accent1 2 4 7" xfId="1636"/>
    <cellStyle name="20% - Accent1 2 4 7 2" xfId="4523"/>
    <cellStyle name="20% - Accent1 2 4 7 2 2" xfId="10564"/>
    <cellStyle name="20% - Accent1 2 4 7 2 2 2" xfId="27611"/>
    <cellStyle name="20% - Accent1 2 4 7 2 2 2 2" xfId="56472"/>
    <cellStyle name="20% - Accent1 2 4 7 2 2 3" xfId="39425"/>
    <cellStyle name="20% - Accent1 2 4 7 2 3" xfId="21633"/>
    <cellStyle name="20% - Accent1 2 4 7 2 3 2" xfId="50494"/>
    <cellStyle name="20% - Accent1 2 4 7 2 4" xfId="33384"/>
    <cellStyle name="20% - Accent1 2 4 7 3" xfId="7678"/>
    <cellStyle name="20% - Accent1 2 4 7 3 2" xfId="24725"/>
    <cellStyle name="20% - Accent1 2 4 7 3 2 2" xfId="53586"/>
    <cellStyle name="20% - Accent1 2 4 7 3 3" xfId="36539"/>
    <cellStyle name="20% - Accent1 2 4 7 4" xfId="13841"/>
    <cellStyle name="20% - Accent1 2 4 7 4 2" xfId="18953"/>
    <cellStyle name="20% - Accent1 2 4 7 4 2 2" xfId="47814"/>
    <cellStyle name="20% - Accent1 2 4 7 4 3" xfId="42702"/>
    <cellStyle name="20% - Accent1 2 4 7 5" xfId="16273"/>
    <cellStyle name="20% - Accent1 2 4 7 5 2" xfId="45134"/>
    <cellStyle name="20% - Accent1 2 4 7 6" xfId="30498"/>
    <cellStyle name="20% - Accent1 2 4 8" xfId="1842"/>
    <cellStyle name="20% - Accent1 2 4 8 2" xfId="4729"/>
    <cellStyle name="20% - Accent1 2 4 8 2 2" xfId="10770"/>
    <cellStyle name="20% - Accent1 2 4 8 2 2 2" xfId="27817"/>
    <cellStyle name="20% - Accent1 2 4 8 2 2 2 2" xfId="56678"/>
    <cellStyle name="20% - Accent1 2 4 8 2 2 3" xfId="39631"/>
    <cellStyle name="20% - Accent1 2 4 8 2 3" xfId="21839"/>
    <cellStyle name="20% - Accent1 2 4 8 2 3 2" xfId="50700"/>
    <cellStyle name="20% - Accent1 2 4 8 2 4" xfId="33590"/>
    <cellStyle name="20% - Accent1 2 4 8 3" xfId="7884"/>
    <cellStyle name="20% - Accent1 2 4 8 3 2" xfId="24931"/>
    <cellStyle name="20% - Accent1 2 4 8 3 2 2" xfId="53792"/>
    <cellStyle name="20% - Accent1 2 4 8 3 3" xfId="36745"/>
    <cellStyle name="20% - Accent1 2 4 8 4" xfId="12186"/>
    <cellStyle name="20% - Accent1 2 4 8 4 2" xfId="19159"/>
    <cellStyle name="20% - Accent1 2 4 8 4 2 2" xfId="48020"/>
    <cellStyle name="20% - Accent1 2 4 8 4 3" xfId="41047"/>
    <cellStyle name="20% - Accent1 2 4 8 5" xfId="16479"/>
    <cellStyle name="20% - Accent1 2 4 8 5 2" xfId="45340"/>
    <cellStyle name="20% - Accent1 2 4 8 6" xfId="30704"/>
    <cellStyle name="20% - Accent1 2 4 9" xfId="2048"/>
    <cellStyle name="20% - Accent1 2 4 9 2" xfId="4935"/>
    <cellStyle name="20% - Accent1 2 4 9 2 2" xfId="10976"/>
    <cellStyle name="20% - Accent1 2 4 9 2 2 2" xfId="28023"/>
    <cellStyle name="20% - Accent1 2 4 9 2 2 2 2" xfId="56884"/>
    <cellStyle name="20% - Accent1 2 4 9 2 2 3" xfId="39837"/>
    <cellStyle name="20% - Accent1 2 4 9 2 3" xfId="22045"/>
    <cellStyle name="20% - Accent1 2 4 9 2 3 2" xfId="50906"/>
    <cellStyle name="20% - Accent1 2 4 9 2 4" xfId="33796"/>
    <cellStyle name="20% - Accent1 2 4 9 3" xfId="8090"/>
    <cellStyle name="20% - Accent1 2 4 9 3 2" xfId="25137"/>
    <cellStyle name="20% - Accent1 2 4 9 3 2 2" xfId="53998"/>
    <cellStyle name="20% - Accent1 2 4 9 3 3" xfId="36951"/>
    <cellStyle name="20% - Accent1 2 4 9 4" xfId="13658"/>
    <cellStyle name="20% - Accent1 2 4 9 4 2" xfId="19365"/>
    <cellStyle name="20% - Accent1 2 4 9 4 2 2" xfId="48226"/>
    <cellStyle name="20% - Accent1 2 4 9 4 3" xfId="42519"/>
    <cellStyle name="20% - Accent1 2 4 9 5" xfId="16685"/>
    <cellStyle name="20% - Accent1 2 4 9 5 2" xfId="45546"/>
    <cellStyle name="20% - Accent1 2 4 9 6" xfId="30910"/>
    <cellStyle name="20% - Accent1 2 5" xfId="194"/>
    <cellStyle name="20% - Accent1 2 5 2" xfId="606"/>
    <cellStyle name="20% - Accent1 2 5 2 2" xfId="3493"/>
    <cellStyle name="20% - Accent1 2 5 2 2 2" xfId="9534"/>
    <cellStyle name="20% - Accent1 2 5 2 2 2 2" xfId="26581"/>
    <cellStyle name="20% - Accent1 2 5 2 2 2 2 2" xfId="55442"/>
    <cellStyle name="20% - Accent1 2 5 2 2 2 3" xfId="38395"/>
    <cellStyle name="20% - Accent1 2 5 2 2 3" xfId="20603"/>
    <cellStyle name="20% - Accent1 2 5 2 2 3 2" xfId="49464"/>
    <cellStyle name="20% - Accent1 2 5 2 2 4" xfId="32354"/>
    <cellStyle name="20% - Accent1 2 5 2 3" xfId="6648"/>
    <cellStyle name="20% - Accent1 2 5 2 3 2" xfId="23695"/>
    <cellStyle name="20% - Accent1 2 5 2 3 2 2" xfId="52556"/>
    <cellStyle name="20% - Accent1 2 5 2 3 3" xfId="35509"/>
    <cellStyle name="20% - Accent1 2 5 2 4" xfId="14444"/>
    <cellStyle name="20% - Accent1 2 5 2 4 2" xfId="17923"/>
    <cellStyle name="20% - Accent1 2 5 2 4 2 2" xfId="46784"/>
    <cellStyle name="20% - Accent1 2 5 2 4 3" xfId="43305"/>
    <cellStyle name="20% - Accent1 2 5 2 5" xfId="15243"/>
    <cellStyle name="20% - Accent1 2 5 2 5 2" xfId="44104"/>
    <cellStyle name="20% - Accent1 2 5 2 6" xfId="29468"/>
    <cellStyle name="20% - Accent1 2 5 3" xfId="2151"/>
    <cellStyle name="20% - Accent1 2 5 3 2" xfId="5038"/>
    <cellStyle name="20% - Accent1 2 5 3 2 2" xfId="11079"/>
    <cellStyle name="20% - Accent1 2 5 3 2 2 2" xfId="28126"/>
    <cellStyle name="20% - Accent1 2 5 3 2 2 2 2" xfId="56987"/>
    <cellStyle name="20% - Accent1 2 5 3 2 2 3" xfId="39940"/>
    <cellStyle name="20% - Accent1 2 5 3 2 3" xfId="22148"/>
    <cellStyle name="20% - Accent1 2 5 3 2 3 2" xfId="51009"/>
    <cellStyle name="20% - Accent1 2 5 3 2 4" xfId="33899"/>
    <cellStyle name="20% - Accent1 2 5 3 3" xfId="8193"/>
    <cellStyle name="20% - Accent1 2 5 3 3 2" xfId="25240"/>
    <cellStyle name="20% - Accent1 2 5 3 3 2 2" xfId="54101"/>
    <cellStyle name="20% - Accent1 2 5 3 3 3" xfId="37054"/>
    <cellStyle name="20% - Accent1 2 5 3 4" xfId="13241"/>
    <cellStyle name="20% - Accent1 2 5 3 4 2" xfId="19468"/>
    <cellStyle name="20% - Accent1 2 5 3 4 2 2" xfId="48329"/>
    <cellStyle name="20% - Accent1 2 5 3 4 3" xfId="42102"/>
    <cellStyle name="20% - Accent1 2 5 3 5" xfId="16788"/>
    <cellStyle name="20% - Accent1 2 5 3 5 2" xfId="45649"/>
    <cellStyle name="20% - Accent1 2 5 3 6" xfId="31013"/>
    <cellStyle name="20% - Accent1 2 5 4" xfId="3081"/>
    <cellStyle name="20% - Accent1 2 5 4 2" xfId="9122"/>
    <cellStyle name="20% - Accent1 2 5 4 2 2" xfId="26169"/>
    <cellStyle name="20% - Accent1 2 5 4 2 2 2" xfId="55030"/>
    <cellStyle name="20% - Accent1 2 5 4 2 3" xfId="37983"/>
    <cellStyle name="20% - Accent1 2 5 4 3" xfId="20191"/>
    <cellStyle name="20% - Accent1 2 5 4 3 2" xfId="49052"/>
    <cellStyle name="20% - Accent1 2 5 4 4" xfId="31942"/>
    <cellStyle name="20% - Accent1 2 5 5" xfId="6236"/>
    <cellStyle name="20% - Accent1 2 5 5 2" xfId="23283"/>
    <cellStyle name="20% - Accent1 2 5 5 2 2" xfId="52144"/>
    <cellStyle name="20% - Accent1 2 5 5 3" xfId="35097"/>
    <cellStyle name="20% - Accent1 2 5 6" xfId="13293"/>
    <cellStyle name="20% - Accent1 2 5 6 2" xfId="17614"/>
    <cellStyle name="20% - Accent1 2 5 6 2 2" xfId="46475"/>
    <cellStyle name="20% - Accent1 2 5 6 3" xfId="42154"/>
    <cellStyle name="20% - Accent1 2 5 7" xfId="14831"/>
    <cellStyle name="20% - Accent1 2 5 7 2" xfId="43692"/>
    <cellStyle name="20% - Accent1 2 5 8" xfId="29056"/>
    <cellStyle name="20% - Accent1 2 6" xfId="400"/>
    <cellStyle name="20% - Accent1 2 6 2" xfId="3287"/>
    <cellStyle name="20% - Accent1 2 6 2 2" xfId="9328"/>
    <cellStyle name="20% - Accent1 2 6 2 2 2" xfId="26375"/>
    <cellStyle name="20% - Accent1 2 6 2 2 2 2" xfId="55236"/>
    <cellStyle name="20% - Accent1 2 6 2 2 3" xfId="38189"/>
    <cellStyle name="20% - Accent1 2 6 2 3" xfId="20397"/>
    <cellStyle name="20% - Accent1 2 6 2 3 2" xfId="49258"/>
    <cellStyle name="20% - Accent1 2 6 2 4" xfId="32148"/>
    <cellStyle name="20% - Accent1 2 6 3" xfId="6442"/>
    <cellStyle name="20% - Accent1 2 6 3 2" xfId="23489"/>
    <cellStyle name="20% - Accent1 2 6 3 2 2" xfId="52350"/>
    <cellStyle name="20% - Accent1 2 6 3 3" xfId="35303"/>
    <cellStyle name="20% - Accent1 2 6 4" xfId="13766"/>
    <cellStyle name="20% - Accent1 2 6 4 2" xfId="17717"/>
    <cellStyle name="20% - Accent1 2 6 4 2 2" xfId="46578"/>
    <cellStyle name="20% - Accent1 2 6 4 3" xfId="42627"/>
    <cellStyle name="20% - Accent1 2 6 5" xfId="15037"/>
    <cellStyle name="20% - Accent1 2 6 5 2" xfId="43898"/>
    <cellStyle name="20% - Accent1 2 6 6" xfId="29262"/>
    <cellStyle name="20% - Accent1 2 7" xfId="709"/>
    <cellStyle name="20% - Accent1 2 7 2" xfId="3596"/>
    <cellStyle name="20% - Accent1 2 7 2 2" xfId="9637"/>
    <cellStyle name="20% - Accent1 2 7 2 2 2" xfId="26684"/>
    <cellStyle name="20% - Accent1 2 7 2 2 2 2" xfId="55545"/>
    <cellStyle name="20% - Accent1 2 7 2 2 3" xfId="38498"/>
    <cellStyle name="20% - Accent1 2 7 2 3" xfId="20706"/>
    <cellStyle name="20% - Accent1 2 7 2 3 2" xfId="49567"/>
    <cellStyle name="20% - Accent1 2 7 2 4" xfId="32457"/>
    <cellStyle name="20% - Accent1 2 7 3" xfId="6751"/>
    <cellStyle name="20% - Accent1 2 7 3 2" xfId="23798"/>
    <cellStyle name="20% - Accent1 2 7 3 2 2" xfId="52659"/>
    <cellStyle name="20% - Accent1 2 7 3 3" xfId="35612"/>
    <cellStyle name="20% - Accent1 2 7 4" xfId="12337"/>
    <cellStyle name="20% - Accent1 2 7 4 2" xfId="18026"/>
    <cellStyle name="20% - Accent1 2 7 4 2 2" xfId="46887"/>
    <cellStyle name="20% - Accent1 2 7 4 3" xfId="41198"/>
    <cellStyle name="20% - Accent1 2 7 5" xfId="15346"/>
    <cellStyle name="20% - Accent1 2 7 5 2" xfId="44207"/>
    <cellStyle name="20% - Accent1 2 7 6" xfId="29571"/>
    <cellStyle name="20% - Accent1 2 8" xfId="915"/>
    <cellStyle name="20% - Accent1 2 8 2" xfId="3802"/>
    <cellStyle name="20% - Accent1 2 8 2 2" xfId="9843"/>
    <cellStyle name="20% - Accent1 2 8 2 2 2" xfId="26890"/>
    <cellStyle name="20% - Accent1 2 8 2 2 2 2" xfId="55751"/>
    <cellStyle name="20% - Accent1 2 8 2 2 3" xfId="38704"/>
    <cellStyle name="20% - Accent1 2 8 2 3" xfId="20912"/>
    <cellStyle name="20% - Accent1 2 8 2 3 2" xfId="49773"/>
    <cellStyle name="20% - Accent1 2 8 2 4" xfId="32663"/>
    <cellStyle name="20% - Accent1 2 8 3" xfId="6957"/>
    <cellStyle name="20% - Accent1 2 8 3 2" xfId="24004"/>
    <cellStyle name="20% - Accent1 2 8 3 2 2" xfId="52865"/>
    <cellStyle name="20% - Accent1 2 8 3 3" xfId="35818"/>
    <cellStyle name="20% - Accent1 2 8 4" xfId="13187"/>
    <cellStyle name="20% - Accent1 2 8 4 2" xfId="18232"/>
    <cellStyle name="20% - Accent1 2 8 4 2 2" xfId="47093"/>
    <cellStyle name="20% - Accent1 2 8 4 3" xfId="42048"/>
    <cellStyle name="20% - Accent1 2 8 5" xfId="15552"/>
    <cellStyle name="20% - Accent1 2 8 5 2" xfId="44413"/>
    <cellStyle name="20% - Accent1 2 8 6" xfId="29777"/>
    <cellStyle name="20% - Accent1 2 9" xfId="1121"/>
    <cellStyle name="20% - Accent1 2 9 2" xfId="4008"/>
    <cellStyle name="20% - Accent1 2 9 2 2" xfId="10049"/>
    <cellStyle name="20% - Accent1 2 9 2 2 2" xfId="27096"/>
    <cellStyle name="20% - Accent1 2 9 2 2 2 2" xfId="55957"/>
    <cellStyle name="20% - Accent1 2 9 2 2 3" xfId="38910"/>
    <cellStyle name="20% - Accent1 2 9 2 3" xfId="21118"/>
    <cellStyle name="20% - Accent1 2 9 2 3 2" xfId="49979"/>
    <cellStyle name="20% - Accent1 2 9 2 4" xfId="32869"/>
    <cellStyle name="20% - Accent1 2 9 3" xfId="7163"/>
    <cellStyle name="20% - Accent1 2 9 3 2" xfId="24210"/>
    <cellStyle name="20% - Accent1 2 9 3 2 2" xfId="53071"/>
    <cellStyle name="20% - Accent1 2 9 3 3" xfId="36024"/>
    <cellStyle name="20% - Accent1 2 9 4" xfId="12201"/>
    <cellStyle name="20% - Accent1 2 9 4 2" xfId="18438"/>
    <cellStyle name="20% - Accent1 2 9 4 2 2" xfId="47299"/>
    <cellStyle name="20% - Accent1 2 9 4 3" xfId="41062"/>
    <cellStyle name="20% - Accent1 2 9 5" xfId="15758"/>
    <cellStyle name="20% - Accent1 2 9 5 2" xfId="44619"/>
    <cellStyle name="20% - Accent1 2 9 6" xfId="29983"/>
    <cellStyle name="20% - Accent1 20" xfId="5859"/>
    <cellStyle name="20% - Accent1 20 2" xfId="22960"/>
    <cellStyle name="20% - Accent1 20 2 2" xfId="51821"/>
    <cellStyle name="20% - Accent1 20 3" xfId="34720"/>
    <cellStyle name="20% - Accent1 21" xfId="6119"/>
    <cellStyle name="20% - Accent1 21 2" xfId="23166"/>
    <cellStyle name="20% - Accent1 21 2 2" xfId="52027"/>
    <cellStyle name="20% - Accent1 21 3" xfId="34980"/>
    <cellStyle name="20% - Accent1 22" xfId="14508"/>
    <cellStyle name="20% - Accent1 22 2" xfId="43369"/>
    <cellStyle name="20% - Accent1 23" xfId="28939"/>
    <cellStyle name="20% - Accent1 3" xfId="104"/>
    <cellStyle name="20% - Accent1 3 10" xfId="1752"/>
    <cellStyle name="20% - Accent1 3 10 2" xfId="4639"/>
    <cellStyle name="20% - Accent1 3 10 2 2" xfId="10680"/>
    <cellStyle name="20% - Accent1 3 10 2 2 2" xfId="27727"/>
    <cellStyle name="20% - Accent1 3 10 2 2 2 2" xfId="56588"/>
    <cellStyle name="20% - Accent1 3 10 2 2 3" xfId="39541"/>
    <cellStyle name="20% - Accent1 3 10 2 3" xfId="21749"/>
    <cellStyle name="20% - Accent1 3 10 2 3 2" xfId="50610"/>
    <cellStyle name="20% - Accent1 3 10 2 4" xfId="33500"/>
    <cellStyle name="20% - Accent1 3 10 3" xfId="7794"/>
    <cellStyle name="20% - Accent1 3 10 3 2" xfId="24841"/>
    <cellStyle name="20% - Accent1 3 10 3 2 2" xfId="53702"/>
    <cellStyle name="20% - Accent1 3 10 3 3" xfId="36655"/>
    <cellStyle name="20% - Accent1 3 10 4" xfId="11977"/>
    <cellStyle name="20% - Accent1 3 10 4 2" xfId="19069"/>
    <cellStyle name="20% - Accent1 3 10 4 2 2" xfId="47930"/>
    <cellStyle name="20% - Accent1 3 10 4 3" xfId="40838"/>
    <cellStyle name="20% - Accent1 3 10 5" xfId="16389"/>
    <cellStyle name="20% - Accent1 3 10 5 2" xfId="45250"/>
    <cellStyle name="20% - Accent1 3 10 6" xfId="30614"/>
    <cellStyle name="20% - Accent1 3 11" xfId="1958"/>
    <cellStyle name="20% - Accent1 3 11 2" xfId="4845"/>
    <cellStyle name="20% - Accent1 3 11 2 2" xfId="10886"/>
    <cellStyle name="20% - Accent1 3 11 2 2 2" xfId="27933"/>
    <cellStyle name="20% - Accent1 3 11 2 2 2 2" xfId="56794"/>
    <cellStyle name="20% - Accent1 3 11 2 2 3" xfId="39747"/>
    <cellStyle name="20% - Accent1 3 11 2 3" xfId="21955"/>
    <cellStyle name="20% - Accent1 3 11 2 3 2" xfId="50816"/>
    <cellStyle name="20% - Accent1 3 11 2 4" xfId="33706"/>
    <cellStyle name="20% - Accent1 3 11 3" xfId="8000"/>
    <cellStyle name="20% - Accent1 3 11 3 2" xfId="25047"/>
    <cellStyle name="20% - Accent1 3 11 3 2 2" xfId="53908"/>
    <cellStyle name="20% - Accent1 3 11 3 3" xfId="36861"/>
    <cellStyle name="20% - Accent1 3 11 4" xfId="12551"/>
    <cellStyle name="20% - Accent1 3 11 4 2" xfId="19275"/>
    <cellStyle name="20% - Accent1 3 11 4 2 2" xfId="48136"/>
    <cellStyle name="20% - Accent1 3 11 4 3" xfId="41412"/>
    <cellStyle name="20% - Accent1 3 11 5" xfId="16595"/>
    <cellStyle name="20% - Accent1 3 11 5 2" xfId="45456"/>
    <cellStyle name="20% - Accent1 3 11 6" xfId="30820"/>
    <cellStyle name="20% - Accent1 3 12" xfId="2370"/>
    <cellStyle name="20% - Accent1 3 12 2" xfId="5257"/>
    <cellStyle name="20% - Accent1 3 12 2 2" xfId="11298"/>
    <cellStyle name="20% - Accent1 3 12 2 2 2" xfId="28345"/>
    <cellStyle name="20% - Accent1 3 12 2 2 2 2" xfId="57206"/>
    <cellStyle name="20% - Accent1 3 12 2 2 3" xfId="40159"/>
    <cellStyle name="20% - Accent1 3 12 2 3" xfId="22367"/>
    <cellStyle name="20% - Accent1 3 12 2 3 2" xfId="51228"/>
    <cellStyle name="20% - Accent1 3 12 2 4" xfId="34118"/>
    <cellStyle name="20% - Accent1 3 12 3" xfId="8412"/>
    <cellStyle name="20% - Accent1 3 12 3 2" xfId="25459"/>
    <cellStyle name="20% - Accent1 3 12 3 2 2" xfId="54320"/>
    <cellStyle name="20% - Accent1 3 12 3 3" xfId="37273"/>
    <cellStyle name="20% - Accent1 3 12 4" xfId="14086"/>
    <cellStyle name="20% - Accent1 3 12 4 2" xfId="19687"/>
    <cellStyle name="20% - Accent1 3 12 4 2 2" xfId="48548"/>
    <cellStyle name="20% - Accent1 3 12 4 3" xfId="42947"/>
    <cellStyle name="20% - Accent1 3 12 5" xfId="17007"/>
    <cellStyle name="20% - Accent1 3 12 5 2" xfId="45868"/>
    <cellStyle name="20% - Accent1 3 12 6" xfId="31232"/>
    <cellStyle name="20% - Accent1 3 13" xfId="2579"/>
    <cellStyle name="20% - Accent1 3 13 2" xfId="5465"/>
    <cellStyle name="20% - Accent1 3 13 2 2" xfId="11506"/>
    <cellStyle name="20% - Accent1 3 13 2 2 2" xfId="28553"/>
    <cellStyle name="20% - Accent1 3 13 2 2 2 2" xfId="57414"/>
    <cellStyle name="20% - Accent1 3 13 2 2 3" xfId="40367"/>
    <cellStyle name="20% - Accent1 3 13 2 3" xfId="22575"/>
    <cellStyle name="20% - Accent1 3 13 2 3 2" xfId="51436"/>
    <cellStyle name="20% - Accent1 3 13 2 4" xfId="34326"/>
    <cellStyle name="20% - Accent1 3 13 3" xfId="8620"/>
    <cellStyle name="20% - Accent1 3 13 3 2" xfId="25667"/>
    <cellStyle name="20% - Accent1 3 13 3 2 2" xfId="54528"/>
    <cellStyle name="20% - Accent1 3 13 3 3" xfId="37481"/>
    <cellStyle name="20% - Accent1 3 13 4" xfId="13345"/>
    <cellStyle name="20% - Accent1 3 13 4 2" xfId="19895"/>
    <cellStyle name="20% - Accent1 3 13 4 2 2" xfId="48756"/>
    <cellStyle name="20% - Accent1 3 13 4 3" xfId="42206"/>
    <cellStyle name="20% - Accent1 3 13 5" xfId="17215"/>
    <cellStyle name="20% - Accent1 3 13 5 2" xfId="46076"/>
    <cellStyle name="20% - Accent1 3 13 6" xfId="31440"/>
    <cellStyle name="20% - Accent1 3 14" xfId="2991"/>
    <cellStyle name="20% - Accent1 3 14 2" xfId="9032"/>
    <cellStyle name="20% - Accent1 3 14 2 2" xfId="26079"/>
    <cellStyle name="20% - Accent1 3 14 2 2 2" xfId="54940"/>
    <cellStyle name="20% - Accent1 3 14 2 3" xfId="37893"/>
    <cellStyle name="20% - Accent1 3 14 3" xfId="12327"/>
    <cellStyle name="20% - Accent1 3 14 3 2" xfId="20101"/>
    <cellStyle name="20% - Accent1 3 14 3 2 2" xfId="48962"/>
    <cellStyle name="20% - Accent1 3 14 3 3" xfId="41188"/>
    <cellStyle name="20% - Accent1 3 14 4" xfId="14741"/>
    <cellStyle name="20% - Accent1 3 14 4 2" xfId="43602"/>
    <cellStyle name="20% - Accent1 3 14 5" xfId="31852"/>
    <cellStyle name="20% - Accent1 3 15" xfId="2785"/>
    <cellStyle name="20% - Accent1 3 15 2" xfId="8826"/>
    <cellStyle name="20% - Accent1 3 15 2 2" xfId="25873"/>
    <cellStyle name="20% - Accent1 3 15 2 2 2" xfId="54734"/>
    <cellStyle name="20% - Accent1 3 15 2 3" xfId="37687"/>
    <cellStyle name="20% - Accent1 3 15 3" xfId="17421"/>
    <cellStyle name="20% - Accent1 3 15 3 2" xfId="46282"/>
    <cellStyle name="20% - Accent1 3 15 4" xfId="31646"/>
    <cellStyle name="20% - Accent1 3 16" xfId="5671"/>
    <cellStyle name="20% - Accent1 3 16 2" xfId="11712"/>
    <cellStyle name="20% - Accent1 3 16 2 2" xfId="28759"/>
    <cellStyle name="20% - Accent1 3 16 2 2 2" xfId="57620"/>
    <cellStyle name="20% - Accent1 3 16 2 3" xfId="40573"/>
    <cellStyle name="20% - Accent1 3 16 3" xfId="22781"/>
    <cellStyle name="20% - Accent1 3 16 3 2" xfId="51642"/>
    <cellStyle name="20% - Accent1 3 16 4" xfId="34532"/>
    <cellStyle name="20% - Accent1 3 17" xfId="5888"/>
    <cellStyle name="20% - Accent1 3 17 2" xfId="22987"/>
    <cellStyle name="20% - Accent1 3 17 2 2" xfId="51848"/>
    <cellStyle name="20% - Accent1 3 17 3" xfId="34749"/>
    <cellStyle name="20% - Accent1 3 18" xfId="6146"/>
    <cellStyle name="20% - Accent1 3 18 2" xfId="23193"/>
    <cellStyle name="20% - Accent1 3 18 2 2" xfId="52054"/>
    <cellStyle name="20% - Accent1 3 18 3" xfId="35007"/>
    <cellStyle name="20% - Accent1 3 19" xfId="14535"/>
    <cellStyle name="20% - Accent1 3 19 2" xfId="43396"/>
    <cellStyle name="20% - Accent1 3 2" xfId="310"/>
    <cellStyle name="20% - Accent1 3 2 10" xfId="2473"/>
    <cellStyle name="20% - Accent1 3 2 10 2" xfId="5360"/>
    <cellStyle name="20% - Accent1 3 2 10 2 2" xfId="11401"/>
    <cellStyle name="20% - Accent1 3 2 10 2 2 2" xfId="28448"/>
    <cellStyle name="20% - Accent1 3 2 10 2 2 2 2" xfId="57309"/>
    <cellStyle name="20% - Accent1 3 2 10 2 2 3" xfId="40262"/>
    <cellStyle name="20% - Accent1 3 2 10 2 3" xfId="22470"/>
    <cellStyle name="20% - Accent1 3 2 10 2 3 2" xfId="51331"/>
    <cellStyle name="20% - Accent1 3 2 10 2 4" xfId="34221"/>
    <cellStyle name="20% - Accent1 3 2 10 3" xfId="8515"/>
    <cellStyle name="20% - Accent1 3 2 10 3 2" xfId="25562"/>
    <cellStyle name="20% - Accent1 3 2 10 3 2 2" xfId="54423"/>
    <cellStyle name="20% - Accent1 3 2 10 3 3" xfId="37376"/>
    <cellStyle name="20% - Accent1 3 2 10 4" xfId="13276"/>
    <cellStyle name="20% - Accent1 3 2 10 4 2" xfId="19790"/>
    <cellStyle name="20% - Accent1 3 2 10 4 2 2" xfId="48651"/>
    <cellStyle name="20% - Accent1 3 2 10 4 3" xfId="42137"/>
    <cellStyle name="20% - Accent1 3 2 10 5" xfId="17110"/>
    <cellStyle name="20% - Accent1 3 2 10 5 2" xfId="45971"/>
    <cellStyle name="20% - Accent1 3 2 10 6" xfId="31335"/>
    <cellStyle name="20% - Accent1 3 2 11" xfId="2682"/>
    <cellStyle name="20% - Accent1 3 2 11 2" xfId="5568"/>
    <cellStyle name="20% - Accent1 3 2 11 2 2" xfId="11609"/>
    <cellStyle name="20% - Accent1 3 2 11 2 2 2" xfId="28656"/>
    <cellStyle name="20% - Accent1 3 2 11 2 2 2 2" xfId="57517"/>
    <cellStyle name="20% - Accent1 3 2 11 2 2 3" xfId="40470"/>
    <cellStyle name="20% - Accent1 3 2 11 2 3" xfId="22678"/>
    <cellStyle name="20% - Accent1 3 2 11 2 3 2" xfId="51539"/>
    <cellStyle name="20% - Accent1 3 2 11 2 4" xfId="34429"/>
    <cellStyle name="20% - Accent1 3 2 11 3" xfId="8723"/>
    <cellStyle name="20% - Accent1 3 2 11 3 2" xfId="25770"/>
    <cellStyle name="20% - Accent1 3 2 11 3 2 2" xfId="54631"/>
    <cellStyle name="20% - Accent1 3 2 11 3 3" xfId="37584"/>
    <cellStyle name="20% - Accent1 3 2 11 4" xfId="13679"/>
    <cellStyle name="20% - Accent1 3 2 11 4 2" xfId="19998"/>
    <cellStyle name="20% - Accent1 3 2 11 4 2 2" xfId="48859"/>
    <cellStyle name="20% - Accent1 3 2 11 4 3" xfId="42540"/>
    <cellStyle name="20% - Accent1 3 2 11 5" xfId="17318"/>
    <cellStyle name="20% - Accent1 3 2 11 5 2" xfId="46179"/>
    <cellStyle name="20% - Accent1 3 2 11 6" xfId="31543"/>
    <cellStyle name="20% - Accent1 3 2 12" xfId="3197"/>
    <cellStyle name="20% - Accent1 3 2 12 2" xfId="9238"/>
    <cellStyle name="20% - Accent1 3 2 12 2 2" xfId="26285"/>
    <cellStyle name="20% - Accent1 3 2 12 2 2 2" xfId="55146"/>
    <cellStyle name="20% - Accent1 3 2 12 2 3" xfId="38099"/>
    <cellStyle name="20% - Accent1 3 2 12 3" xfId="12453"/>
    <cellStyle name="20% - Accent1 3 2 12 3 2" xfId="20307"/>
    <cellStyle name="20% - Accent1 3 2 12 3 2 2" xfId="49168"/>
    <cellStyle name="20% - Accent1 3 2 12 3 3" xfId="41314"/>
    <cellStyle name="20% - Accent1 3 2 12 4" xfId="14947"/>
    <cellStyle name="20% - Accent1 3 2 12 4 2" xfId="43808"/>
    <cellStyle name="20% - Accent1 3 2 12 5" xfId="32058"/>
    <cellStyle name="20% - Accent1 3 2 13" xfId="2888"/>
    <cellStyle name="20% - Accent1 3 2 13 2" xfId="8929"/>
    <cellStyle name="20% - Accent1 3 2 13 2 2" xfId="25976"/>
    <cellStyle name="20% - Accent1 3 2 13 2 2 2" xfId="54837"/>
    <cellStyle name="20% - Accent1 3 2 13 2 3" xfId="37790"/>
    <cellStyle name="20% - Accent1 3 2 13 3" xfId="17524"/>
    <cellStyle name="20% - Accent1 3 2 13 3 2" xfId="46385"/>
    <cellStyle name="20% - Accent1 3 2 13 4" xfId="31749"/>
    <cellStyle name="20% - Accent1 3 2 14" xfId="5774"/>
    <cellStyle name="20% - Accent1 3 2 14 2" xfId="11815"/>
    <cellStyle name="20% - Accent1 3 2 14 2 2" xfId="28862"/>
    <cellStyle name="20% - Accent1 3 2 14 2 2 2" xfId="57723"/>
    <cellStyle name="20% - Accent1 3 2 14 2 3" xfId="40676"/>
    <cellStyle name="20% - Accent1 3 2 14 3" xfId="22884"/>
    <cellStyle name="20% - Accent1 3 2 14 3 2" xfId="51745"/>
    <cellStyle name="20% - Accent1 3 2 14 4" xfId="34635"/>
    <cellStyle name="20% - Accent1 3 2 15" xfId="5991"/>
    <cellStyle name="20% - Accent1 3 2 15 2" xfId="23090"/>
    <cellStyle name="20% - Accent1 3 2 15 2 2" xfId="51951"/>
    <cellStyle name="20% - Accent1 3 2 15 3" xfId="34852"/>
    <cellStyle name="20% - Accent1 3 2 16" xfId="6352"/>
    <cellStyle name="20% - Accent1 3 2 16 2" xfId="23399"/>
    <cellStyle name="20% - Accent1 3 2 16 2 2" xfId="52260"/>
    <cellStyle name="20% - Accent1 3 2 16 3" xfId="35213"/>
    <cellStyle name="20% - Accent1 3 2 17" xfId="14638"/>
    <cellStyle name="20% - Accent1 3 2 17 2" xfId="43499"/>
    <cellStyle name="20% - Accent1 3 2 18" xfId="29172"/>
    <cellStyle name="20% - Accent1 3 2 2" xfId="516"/>
    <cellStyle name="20% - Accent1 3 2 2 2" xfId="2267"/>
    <cellStyle name="20% - Accent1 3 2 2 2 2" xfId="5154"/>
    <cellStyle name="20% - Accent1 3 2 2 2 2 2" xfId="11195"/>
    <cellStyle name="20% - Accent1 3 2 2 2 2 2 2" xfId="28242"/>
    <cellStyle name="20% - Accent1 3 2 2 2 2 2 2 2" xfId="57103"/>
    <cellStyle name="20% - Accent1 3 2 2 2 2 2 3" xfId="40056"/>
    <cellStyle name="20% - Accent1 3 2 2 2 2 3" xfId="22264"/>
    <cellStyle name="20% - Accent1 3 2 2 2 2 3 2" xfId="51125"/>
    <cellStyle name="20% - Accent1 3 2 2 2 2 4" xfId="34015"/>
    <cellStyle name="20% - Accent1 3 2 2 2 3" xfId="8309"/>
    <cellStyle name="20% - Accent1 3 2 2 2 3 2" xfId="25356"/>
    <cellStyle name="20% - Accent1 3 2 2 2 3 2 2" xfId="54217"/>
    <cellStyle name="20% - Accent1 3 2 2 2 3 3" xfId="37170"/>
    <cellStyle name="20% - Accent1 3 2 2 2 4" xfId="12492"/>
    <cellStyle name="20% - Accent1 3 2 2 2 4 2" xfId="19584"/>
    <cellStyle name="20% - Accent1 3 2 2 2 4 2 2" xfId="48445"/>
    <cellStyle name="20% - Accent1 3 2 2 2 4 3" xfId="41353"/>
    <cellStyle name="20% - Accent1 3 2 2 2 5" xfId="16904"/>
    <cellStyle name="20% - Accent1 3 2 2 2 5 2" xfId="45765"/>
    <cellStyle name="20% - Accent1 3 2 2 2 6" xfId="31129"/>
    <cellStyle name="20% - Accent1 3 2 2 3" xfId="3403"/>
    <cellStyle name="20% - Accent1 3 2 2 3 2" xfId="9444"/>
    <cellStyle name="20% - Accent1 3 2 2 3 2 2" xfId="26491"/>
    <cellStyle name="20% - Accent1 3 2 2 3 2 2 2" xfId="55352"/>
    <cellStyle name="20% - Accent1 3 2 2 3 2 3" xfId="38305"/>
    <cellStyle name="20% - Accent1 3 2 2 3 3" xfId="20513"/>
    <cellStyle name="20% - Accent1 3 2 2 3 3 2" xfId="49374"/>
    <cellStyle name="20% - Accent1 3 2 2 3 4" xfId="32264"/>
    <cellStyle name="20% - Accent1 3 2 2 4" xfId="6558"/>
    <cellStyle name="20% - Accent1 3 2 2 4 2" xfId="23605"/>
    <cellStyle name="20% - Accent1 3 2 2 4 2 2" xfId="52466"/>
    <cellStyle name="20% - Accent1 3 2 2 4 3" xfId="35419"/>
    <cellStyle name="20% - Accent1 3 2 2 5" xfId="12571"/>
    <cellStyle name="20% - Accent1 3 2 2 5 2" xfId="17833"/>
    <cellStyle name="20% - Accent1 3 2 2 5 2 2" xfId="46694"/>
    <cellStyle name="20% - Accent1 3 2 2 5 3" xfId="41432"/>
    <cellStyle name="20% - Accent1 3 2 2 6" xfId="15153"/>
    <cellStyle name="20% - Accent1 3 2 2 6 2" xfId="44014"/>
    <cellStyle name="20% - Accent1 3 2 2 7" xfId="29378"/>
    <cellStyle name="20% - Accent1 3 2 3" xfId="825"/>
    <cellStyle name="20% - Accent1 3 2 3 2" xfId="3712"/>
    <cellStyle name="20% - Accent1 3 2 3 2 2" xfId="9753"/>
    <cellStyle name="20% - Accent1 3 2 3 2 2 2" xfId="26800"/>
    <cellStyle name="20% - Accent1 3 2 3 2 2 2 2" xfId="55661"/>
    <cellStyle name="20% - Accent1 3 2 3 2 2 3" xfId="38614"/>
    <cellStyle name="20% - Accent1 3 2 3 2 3" xfId="20822"/>
    <cellStyle name="20% - Accent1 3 2 3 2 3 2" xfId="49683"/>
    <cellStyle name="20% - Accent1 3 2 3 2 4" xfId="32573"/>
    <cellStyle name="20% - Accent1 3 2 3 3" xfId="6867"/>
    <cellStyle name="20% - Accent1 3 2 3 3 2" xfId="23914"/>
    <cellStyle name="20% - Accent1 3 2 3 3 2 2" xfId="52775"/>
    <cellStyle name="20% - Accent1 3 2 3 3 3" xfId="35728"/>
    <cellStyle name="20% - Accent1 3 2 3 4" xfId="14307"/>
    <cellStyle name="20% - Accent1 3 2 3 4 2" xfId="18142"/>
    <cellStyle name="20% - Accent1 3 2 3 4 2 2" xfId="47003"/>
    <cellStyle name="20% - Accent1 3 2 3 4 3" xfId="43168"/>
    <cellStyle name="20% - Accent1 3 2 3 5" xfId="15462"/>
    <cellStyle name="20% - Accent1 3 2 3 5 2" xfId="44323"/>
    <cellStyle name="20% - Accent1 3 2 3 6" xfId="29687"/>
    <cellStyle name="20% - Accent1 3 2 4" xfId="1031"/>
    <cellStyle name="20% - Accent1 3 2 4 2" xfId="3918"/>
    <cellStyle name="20% - Accent1 3 2 4 2 2" xfId="9959"/>
    <cellStyle name="20% - Accent1 3 2 4 2 2 2" xfId="27006"/>
    <cellStyle name="20% - Accent1 3 2 4 2 2 2 2" xfId="55867"/>
    <cellStyle name="20% - Accent1 3 2 4 2 2 3" xfId="38820"/>
    <cellStyle name="20% - Accent1 3 2 4 2 3" xfId="21028"/>
    <cellStyle name="20% - Accent1 3 2 4 2 3 2" xfId="49889"/>
    <cellStyle name="20% - Accent1 3 2 4 2 4" xfId="32779"/>
    <cellStyle name="20% - Accent1 3 2 4 3" xfId="7073"/>
    <cellStyle name="20% - Accent1 3 2 4 3 2" xfId="24120"/>
    <cellStyle name="20% - Accent1 3 2 4 3 2 2" xfId="52981"/>
    <cellStyle name="20% - Accent1 3 2 4 3 3" xfId="35934"/>
    <cellStyle name="20% - Accent1 3 2 4 4" xfId="12928"/>
    <cellStyle name="20% - Accent1 3 2 4 4 2" xfId="18348"/>
    <cellStyle name="20% - Accent1 3 2 4 4 2 2" xfId="47209"/>
    <cellStyle name="20% - Accent1 3 2 4 4 3" xfId="41789"/>
    <cellStyle name="20% - Accent1 3 2 4 5" xfId="15668"/>
    <cellStyle name="20% - Accent1 3 2 4 5 2" xfId="44529"/>
    <cellStyle name="20% - Accent1 3 2 4 6" xfId="29893"/>
    <cellStyle name="20% - Accent1 3 2 5" xfId="1237"/>
    <cellStyle name="20% - Accent1 3 2 5 2" xfId="4124"/>
    <cellStyle name="20% - Accent1 3 2 5 2 2" xfId="10165"/>
    <cellStyle name="20% - Accent1 3 2 5 2 2 2" xfId="27212"/>
    <cellStyle name="20% - Accent1 3 2 5 2 2 2 2" xfId="56073"/>
    <cellStyle name="20% - Accent1 3 2 5 2 2 3" xfId="39026"/>
    <cellStyle name="20% - Accent1 3 2 5 2 3" xfId="21234"/>
    <cellStyle name="20% - Accent1 3 2 5 2 3 2" xfId="50095"/>
    <cellStyle name="20% - Accent1 3 2 5 2 4" xfId="32985"/>
    <cellStyle name="20% - Accent1 3 2 5 3" xfId="7279"/>
    <cellStyle name="20% - Accent1 3 2 5 3 2" xfId="24326"/>
    <cellStyle name="20% - Accent1 3 2 5 3 2 2" xfId="53187"/>
    <cellStyle name="20% - Accent1 3 2 5 3 3" xfId="36140"/>
    <cellStyle name="20% - Accent1 3 2 5 4" xfId="13518"/>
    <cellStyle name="20% - Accent1 3 2 5 4 2" xfId="18554"/>
    <cellStyle name="20% - Accent1 3 2 5 4 2 2" xfId="47415"/>
    <cellStyle name="20% - Accent1 3 2 5 4 3" xfId="42379"/>
    <cellStyle name="20% - Accent1 3 2 5 5" xfId="15874"/>
    <cellStyle name="20% - Accent1 3 2 5 5 2" xfId="44735"/>
    <cellStyle name="20% - Accent1 3 2 5 6" xfId="30099"/>
    <cellStyle name="20% - Accent1 3 2 6" xfId="1443"/>
    <cellStyle name="20% - Accent1 3 2 6 2" xfId="4330"/>
    <cellStyle name="20% - Accent1 3 2 6 2 2" xfId="10371"/>
    <cellStyle name="20% - Accent1 3 2 6 2 2 2" xfId="27418"/>
    <cellStyle name="20% - Accent1 3 2 6 2 2 2 2" xfId="56279"/>
    <cellStyle name="20% - Accent1 3 2 6 2 2 3" xfId="39232"/>
    <cellStyle name="20% - Accent1 3 2 6 2 3" xfId="21440"/>
    <cellStyle name="20% - Accent1 3 2 6 2 3 2" xfId="50301"/>
    <cellStyle name="20% - Accent1 3 2 6 2 4" xfId="33191"/>
    <cellStyle name="20% - Accent1 3 2 6 3" xfId="7485"/>
    <cellStyle name="20% - Accent1 3 2 6 3 2" xfId="24532"/>
    <cellStyle name="20% - Accent1 3 2 6 3 2 2" xfId="53393"/>
    <cellStyle name="20% - Accent1 3 2 6 3 3" xfId="36346"/>
    <cellStyle name="20% - Accent1 3 2 6 4" xfId="12658"/>
    <cellStyle name="20% - Accent1 3 2 6 4 2" xfId="18760"/>
    <cellStyle name="20% - Accent1 3 2 6 4 2 2" xfId="47621"/>
    <cellStyle name="20% - Accent1 3 2 6 4 3" xfId="41519"/>
    <cellStyle name="20% - Accent1 3 2 6 5" xfId="16080"/>
    <cellStyle name="20% - Accent1 3 2 6 5 2" xfId="44941"/>
    <cellStyle name="20% - Accent1 3 2 6 6" xfId="30305"/>
    <cellStyle name="20% - Accent1 3 2 7" xfId="1649"/>
    <cellStyle name="20% - Accent1 3 2 7 2" xfId="4536"/>
    <cellStyle name="20% - Accent1 3 2 7 2 2" xfId="10577"/>
    <cellStyle name="20% - Accent1 3 2 7 2 2 2" xfId="27624"/>
    <cellStyle name="20% - Accent1 3 2 7 2 2 2 2" xfId="56485"/>
    <cellStyle name="20% - Accent1 3 2 7 2 2 3" xfId="39438"/>
    <cellStyle name="20% - Accent1 3 2 7 2 3" xfId="21646"/>
    <cellStyle name="20% - Accent1 3 2 7 2 3 2" xfId="50507"/>
    <cellStyle name="20% - Accent1 3 2 7 2 4" xfId="33397"/>
    <cellStyle name="20% - Accent1 3 2 7 3" xfId="7691"/>
    <cellStyle name="20% - Accent1 3 2 7 3 2" xfId="24738"/>
    <cellStyle name="20% - Accent1 3 2 7 3 2 2" xfId="53599"/>
    <cellStyle name="20% - Accent1 3 2 7 3 3" xfId="36552"/>
    <cellStyle name="20% - Accent1 3 2 7 4" xfId="12969"/>
    <cellStyle name="20% - Accent1 3 2 7 4 2" xfId="18966"/>
    <cellStyle name="20% - Accent1 3 2 7 4 2 2" xfId="47827"/>
    <cellStyle name="20% - Accent1 3 2 7 4 3" xfId="41830"/>
    <cellStyle name="20% - Accent1 3 2 7 5" xfId="16286"/>
    <cellStyle name="20% - Accent1 3 2 7 5 2" xfId="45147"/>
    <cellStyle name="20% - Accent1 3 2 7 6" xfId="30511"/>
    <cellStyle name="20% - Accent1 3 2 8" xfId="1855"/>
    <cellStyle name="20% - Accent1 3 2 8 2" xfId="4742"/>
    <cellStyle name="20% - Accent1 3 2 8 2 2" xfId="10783"/>
    <cellStyle name="20% - Accent1 3 2 8 2 2 2" xfId="27830"/>
    <cellStyle name="20% - Accent1 3 2 8 2 2 2 2" xfId="56691"/>
    <cellStyle name="20% - Accent1 3 2 8 2 2 3" xfId="39644"/>
    <cellStyle name="20% - Accent1 3 2 8 2 3" xfId="21852"/>
    <cellStyle name="20% - Accent1 3 2 8 2 3 2" xfId="50713"/>
    <cellStyle name="20% - Accent1 3 2 8 2 4" xfId="33603"/>
    <cellStyle name="20% - Accent1 3 2 8 3" xfId="7897"/>
    <cellStyle name="20% - Accent1 3 2 8 3 2" xfId="24944"/>
    <cellStyle name="20% - Accent1 3 2 8 3 2 2" xfId="53805"/>
    <cellStyle name="20% - Accent1 3 2 8 3 3" xfId="36758"/>
    <cellStyle name="20% - Accent1 3 2 8 4" xfId="12825"/>
    <cellStyle name="20% - Accent1 3 2 8 4 2" xfId="19172"/>
    <cellStyle name="20% - Accent1 3 2 8 4 2 2" xfId="48033"/>
    <cellStyle name="20% - Accent1 3 2 8 4 3" xfId="41686"/>
    <cellStyle name="20% - Accent1 3 2 8 5" xfId="16492"/>
    <cellStyle name="20% - Accent1 3 2 8 5 2" xfId="45353"/>
    <cellStyle name="20% - Accent1 3 2 8 6" xfId="30717"/>
    <cellStyle name="20% - Accent1 3 2 9" xfId="2061"/>
    <cellStyle name="20% - Accent1 3 2 9 2" xfId="4948"/>
    <cellStyle name="20% - Accent1 3 2 9 2 2" xfId="10989"/>
    <cellStyle name="20% - Accent1 3 2 9 2 2 2" xfId="28036"/>
    <cellStyle name="20% - Accent1 3 2 9 2 2 2 2" xfId="56897"/>
    <cellStyle name="20% - Accent1 3 2 9 2 2 3" xfId="39850"/>
    <cellStyle name="20% - Accent1 3 2 9 2 3" xfId="22058"/>
    <cellStyle name="20% - Accent1 3 2 9 2 3 2" xfId="50919"/>
    <cellStyle name="20% - Accent1 3 2 9 2 4" xfId="33809"/>
    <cellStyle name="20% - Accent1 3 2 9 3" xfId="8103"/>
    <cellStyle name="20% - Accent1 3 2 9 3 2" xfId="25150"/>
    <cellStyle name="20% - Accent1 3 2 9 3 2 2" xfId="54011"/>
    <cellStyle name="20% - Accent1 3 2 9 3 3" xfId="36964"/>
    <cellStyle name="20% - Accent1 3 2 9 4" xfId="12814"/>
    <cellStyle name="20% - Accent1 3 2 9 4 2" xfId="19378"/>
    <cellStyle name="20% - Accent1 3 2 9 4 2 2" xfId="48239"/>
    <cellStyle name="20% - Accent1 3 2 9 4 3" xfId="41675"/>
    <cellStyle name="20% - Accent1 3 2 9 5" xfId="16698"/>
    <cellStyle name="20% - Accent1 3 2 9 5 2" xfId="45559"/>
    <cellStyle name="20% - Accent1 3 2 9 6" xfId="30923"/>
    <cellStyle name="20% - Accent1 3 20" xfId="28966"/>
    <cellStyle name="20% - Accent1 3 3" xfId="207"/>
    <cellStyle name="20% - Accent1 3 3 2" xfId="619"/>
    <cellStyle name="20% - Accent1 3 3 2 2" xfId="3506"/>
    <cellStyle name="20% - Accent1 3 3 2 2 2" xfId="9547"/>
    <cellStyle name="20% - Accent1 3 3 2 2 2 2" xfId="26594"/>
    <cellStyle name="20% - Accent1 3 3 2 2 2 2 2" xfId="55455"/>
    <cellStyle name="20% - Accent1 3 3 2 2 2 3" xfId="38408"/>
    <cellStyle name="20% - Accent1 3 3 2 2 3" xfId="20616"/>
    <cellStyle name="20% - Accent1 3 3 2 2 3 2" xfId="49477"/>
    <cellStyle name="20% - Accent1 3 3 2 2 4" xfId="32367"/>
    <cellStyle name="20% - Accent1 3 3 2 3" xfId="6661"/>
    <cellStyle name="20% - Accent1 3 3 2 3 2" xfId="23708"/>
    <cellStyle name="20% - Accent1 3 3 2 3 2 2" xfId="52569"/>
    <cellStyle name="20% - Accent1 3 3 2 3 3" xfId="35522"/>
    <cellStyle name="20% - Accent1 3 3 2 4" xfId="13919"/>
    <cellStyle name="20% - Accent1 3 3 2 4 2" xfId="17936"/>
    <cellStyle name="20% - Accent1 3 3 2 4 2 2" xfId="46797"/>
    <cellStyle name="20% - Accent1 3 3 2 4 3" xfId="42780"/>
    <cellStyle name="20% - Accent1 3 3 2 5" xfId="15256"/>
    <cellStyle name="20% - Accent1 3 3 2 5 2" xfId="44117"/>
    <cellStyle name="20% - Accent1 3 3 2 6" xfId="29481"/>
    <cellStyle name="20% - Accent1 3 3 3" xfId="2164"/>
    <cellStyle name="20% - Accent1 3 3 3 2" xfId="5051"/>
    <cellStyle name="20% - Accent1 3 3 3 2 2" xfId="11092"/>
    <cellStyle name="20% - Accent1 3 3 3 2 2 2" xfId="28139"/>
    <cellStyle name="20% - Accent1 3 3 3 2 2 2 2" xfId="57000"/>
    <cellStyle name="20% - Accent1 3 3 3 2 2 3" xfId="39953"/>
    <cellStyle name="20% - Accent1 3 3 3 2 3" xfId="22161"/>
    <cellStyle name="20% - Accent1 3 3 3 2 3 2" xfId="51022"/>
    <cellStyle name="20% - Accent1 3 3 3 2 4" xfId="33912"/>
    <cellStyle name="20% - Accent1 3 3 3 3" xfId="8206"/>
    <cellStyle name="20% - Accent1 3 3 3 3 2" xfId="25253"/>
    <cellStyle name="20% - Accent1 3 3 3 3 2 2" xfId="54114"/>
    <cellStyle name="20% - Accent1 3 3 3 3 3" xfId="37067"/>
    <cellStyle name="20% - Accent1 3 3 3 4" xfId="13150"/>
    <cellStyle name="20% - Accent1 3 3 3 4 2" xfId="19481"/>
    <cellStyle name="20% - Accent1 3 3 3 4 2 2" xfId="48342"/>
    <cellStyle name="20% - Accent1 3 3 3 4 3" xfId="42011"/>
    <cellStyle name="20% - Accent1 3 3 3 5" xfId="16801"/>
    <cellStyle name="20% - Accent1 3 3 3 5 2" xfId="45662"/>
    <cellStyle name="20% - Accent1 3 3 3 6" xfId="31026"/>
    <cellStyle name="20% - Accent1 3 3 4" xfId="3094"/>
    <cellStyle name="20% - Accent1 3 3 4 2" xfId="9135"/>
    <cellStyle name="20% - Accent1 3 3 4 2 2" xfId="26182"/>
    <cellStyle name="20% - Accent1 3 3 4 2 2 2" xfId="55043"/>
    <cellStyle name="20% - Accent1 3 3 4 2 3" xfId="37996"/>
    <cellStyle name="20% - Accent1 3 3 4 3" xfId="20204"/>
    <cellStyle name="20% - Accent1 3 3 4 3 2" xfId="49065"/>
    <cellStyle name="20% - Accent1 3 3 4 4" xfId="31955"/>
    <cellStyle name="20% - Accent1 3 3 5" xfId="6249"/>
    <cellStyle name="20% - Accent1 3 3 5 2" xfId="23296"/>
    <cellStyle name="20% - Accent1 3 3 5 2 2" xfId="52157"/>
    <cellStyle name="20% - Accent1 3 3 5 3" xfId="35110"/>
    <cellStyle name="20% - Accent1 3 3 6" xfId="12307"/>
    <cellStyle name="20% - Accent1 3 3 6 2" xfId="17627"/>
    <cellStyle name="20% - Accent1 3 3 6 2 2" xfId="46488"/>
    <cellStyle name="20% - Accent1 3 3 6 3" xfId="41168"/>
    <cellStyle name="20% - Accent1 3 3 7" xfId="14844"/>
    <cellStyle name="20% - Accent1 3 3 7 2" xfId="43705"/>
    <cellStyle name="20% - Accent1 3 3 8" xfId="29069"/>
    <cellStyle name="20% - Accent1 3 4" xfId="413"/>
    <cellStyle name="20% - Accent1 3 4 2" xfId="3300"/>
    <cellStyle name="20% - Accent1 3 4 2 2" xfId="9341"/>
    <cellStyle name="20% - Accent1 3 4 2 2 2" xfId="26388"/>
    <cellStyle name="20% - Accent1 3 4 2 2 2 2" xfId="55249"/>
    <cellStyle name="20% - Accent1 3 4 2 2 3" xfId="38202"/>
    <cellStyle name="20% - Accent1 3 4 2 3" xfId="20410"/>
    <cellStyle name="20% - Accent1 3 4 2 3 2" xfId="49271"/>
    <cellStyle name="20% - Accent1 3 4 2 4" xfId="32161"/>
    <cellStyle name="20% - Accent1 3 4 3" xfId="6455"/>
    <cellStyle name="20% - Accent1 3 4 3 2" xfId="23502"/>
    <cellStyle name="20% - Accent1 3 4 3 2 2" xfId="52363"/>
    <cellStyle name="20% - Accent1 3 4 3 3" xfId="35316"/>
    <cellStyle name="20% - Accent1 3 4 4" xfId="13315"/>
    <cellStyle name="20% - Accent1 3 4 4 2" xfId="17730"/>
    <cellStyle name="20% - Accent1 3 4 4 2 2" xfId="46591"/>
    <cellStyle name="20% - Accent1 3 4 4 3" xfId="42176"/>
    <cellStyle name="20% - Accent1 3 4 5" xfId="15050"/>
    <cellStyle name="20% - Accent1 3 4 5 2" xfId="43911"/>
    <cellStyle name="20% - Accent1 3 4 6" xfId="29275"/>
    <cellStyle name="20% - Accent1 3 5" xfId="722"/>
    <cellStyle name="20% - Accent1 3 5 2" xfId="3609"/>
    <cellStyle name="20% - Accent1 3 5 2 2" xfId="9650"/>
    <cellStyle name="20% - Accent1 3 5 2 2 2" xfId="26697"/>
    <cellStyle name="20% - Accent1 3 5 2 2 2 2" xfId="55558"/>
    <cellStyle name="20% - Accent1 3 5 2 2 3" xfId="38511"/>
    <cellStyle name="20% - Accent1 3 5 2 3" xfId="20719"/>
    <cellStyle name="20% - Accent1 3 5 2 3 2" xfId="49580"/>
    <cellStyle name="20% - Accent1 3 5 2 4" xfId="32470"/>
    <cellStyle name="20% - Accent1 3 5 3" xfId="6764"/>
    <cellStyle name="20% - Accent1 3 5 3 2" xfId="23811"/>
    <cellStyle name="20% - Accent1 3 5 3 2 2" xfId="52672"/>
    <cellStyle name="20% - Accent1 3 5 3 3" xfId="35625"/>
    <cellStyle name="20% - Accent1 3 5 4" xfId="14143"/>
    <cellStyle name="20% - Accent1 3 5 4 2" xfId="18039"/>
    <cellStyle name="20% - Accent1 3 5 4 2 2" xfId="46900"/>
    <cellStyle name="20% - Accent1 3 5 4 3" xfId="43004"/>
    <cellStyle name="20% - Accent1 3 5 5" xfId="15359"/>
    <cellStyle name="20% - Accent1 3 5 5 2" xfId="44220"/>
    <cellStyle name="20% - Accent1 3 5 6" xfId="29584"/>
    <cellStyle name="20% - Accent1 3 6" xfId="928"/>
    <cellStyle name="20% - Accent1 3 6 2" xfId="3815"/>
    <cellStyle name="20% - Accent1 3 6 2 2" xfId="9856"/>
    <cellStyle name="20% - Accent1 3 6 2 2 2" xfId="26903"/>
    <cellStyle name="20% - Accent1 3 6 2 2 2 2" xfId="55764"/>
    <cellStyle name="20% - Accent1 3 6 2 2 3" xfId="38717"/>
    <cellStyle name="20% - Accent1 3 6 2 3" xfId="20925"/>
    <cellStyle name="20% - Accent1 3 6 2 3 2" xfId="49786"/>
    <cellStyle name="20% - Accent1 3 6 2 4" xfId="32676"/>
    <cellStyle name="20% - Accent1 3 6 3" xfId="6970"/>
    <cellStyle name="20% - Accent1 3 6 3 2" xfId="24017"/>
    <cellStyle name="20% - Accent1 3 6 3 2 2" xfId="52878"/>
    <cellStyle name="20% - Accent1 3 6 3 3" xfId="35831"/>
    <cellStyle name="20% - Accent1 3 6 4" xfId="12014"/>
    <cellStyle name="20% - Accent1 3 6 4 2" xfId="18245"/>
    <cellStyle name="20% - Accent1 3 6 4 2 2" xfId="47106"/>
    <cellStyle name="20% - Accent1 3 6 4 3" xfId="40875"/>
    <cellStyle name="20% - Accent1 3 6 5" xfId="15565"/>
    <cellStyle name="20% - Accent1 3 6 5 2" xfId="44426"/>
    <cellStyle name="20% - Accent1 3 6 6" xfId="29790"/>
    <cellStyle name="20% - Accent1 3 7" xfId="1134"/>
    <cellStyle name="20% - Accent1 3 7 2" xfId="4021"/>
    <cellStyle name="20% - Accent1 3 7 2 2" xfId="10062"/>
    <cellStyle name="20% - Accent1 3 7 2 2 2" xfId="27109"/>
    <cellStyle name="20% - Accent1 3 7 2 2 2 2" xfId="55970"/>
    <cellStyle name="20% - Accent1 3 7 2 2 3" xfId="38923"/>
    <cellStyle name="20% - Accent1 3 7 2 3" xfId="21131"/>
    <cellStyle name="20% - Accent1 3 7 2 3 2" xfId="49992"/>
    <cellStyle name="20% - Accent1 3 7 2 4" xfId="32882"/>
    <cellStyle name="20% - Accent1 3 7 3" xfId="7176"/>
    <cellStyle name="20% - Accent1 3 7 3 2" xfId="24223"/>
    <cellStyle name="20% - Accent1 3 7 3 2 2" xfId="53084"/>
    <cellStyle name="20% - Accent1 3 7 3 3" xfId="36037"/>
    <cellStyle name="20% - Accent1 3 7 4" xfId="13743"/>
    <cellStyle name="20% - Accent1 3 7 4 2" xfId="18451"/>
    <cellStyle name="20% - Accent1 3 7 4 2 2" xfId="47312"/>
    <cellStyle name="20% - Accent1 3 7 4 3" xfId="42604"/>
    <cellStyle name="20% - Accent1 3 7 5" xfId="15771"/>
    <cellStyle name="20% - Accent1 3 7 5 2" xfId="44632"/>
    <cellStyle name="20% - Accent1 3 7 6" xfId="29996"/>
    <cellStyle name="20% - Accent1 3 8" xfId="1340"/>
    <cellStyle name="20% - Accent1 3 8 2" xfId="4227"/>
    <cellStyle name="20% - Accent1 3 8 2 2" xfId="10268"/>
    <cellStyle name="20% - Accent1 3 8 2 2 2" xfId="27315"/>
    <cellStyle name="20% - Accent1 3 8 2 2 2 2" xfId="56176"/>
    <cellStyle name="20% - Accent1 3 8 2 2 3" xfId="39129"/>
    <cellStyle name="20% - Accent1 3 8 2 3" xfId="21337"/>
    <cellStyle name="20% - Accent1 3 8 2 3 2" xfId="50198"/>
    <cellStyle name="20% - Accent1 3 8 2 4" xfId="33088"/>
    <cellStyle name="20% - Accent1 3 8 3" xfId="7382"/>
    <cellStyle name="20% - Accent1 3 8 3 2" xfId="24429"/>
    <cellStyle name="20% - Accent1 3 8 3 2 2" xfId="53290"/>
    <cellStyle name="20% - Accent1 3 8 3 3" xfId="36243"/>
    <cellStyle name="20% - Accent1 3 8 4" xfId="13651"/>
    <cellStyle name="20% - Accent1 3 8 4 2" xfId="18657"/>
    <cellStyle name="20% - Accent1 3 8 4 2 2" xfId="47518"/>
    <cellStyle name="20% - Accent1 3 8 4 3" xfId="42512"/>
    <cellStyle name="20% - Accent1 3 8 5" xfId="15977"/>
    <cellStyle name="20% - Accent1 3 8 5 2" xfId="44838"/>
    <cellStyle name="20% - Accent1 3 8 6" xfId="30202"/>
    <cellStyle name="20% - Accent1 3 9" xfId="1546"/>
    <cellStyle name="20% - Accent1 3 9 2" xfId="4433"/>
    <cellStyle name="20% - Accent1 3 9 2 2" xfId="10474"/>
    <cellStyle name="20% - Accent1 3 9 2 2 2" xfId="27521"/>
    <cellStyle name="20% - Accent1 3 9 2 2 2 2" xfId="56382"/>
    <cellStyle name="20% - Accent1 3 9 2 2 3" xfId="39335"/>
    <cellStyle name="20% - Accent1 3 9 2 3" xfId="21543"/>
    <cellStyle name="20% - Accent1 3 9 2 3 2" xfId="50404"/>
    <cellStyle name="20% - Accent1 3 9 2 4" xfId="33294"/>
    <cellStyle name="20% - Accent1 3 9 3" xfId="7588"/>
    <cellStyle name="20% - Accent1 3 9 3 2" xfId="24635"/>
    <cellStyle name="20% - Accent1 3 9 3 2 2" xfId="53496"/>
    <cellStyle name="20% - Accent1 3 9 3 3" xfId="36449"/>
    <cellStyle name="20% - Accent1 3 9 4" xfId="14220"/>
    <cellStyle name="20% - Accent1 3 9 4 2" xfId="18863"/>
    <cellStyle name="20% - Accent1 3 9 4 2 2" xfId="47724"/>
    <cellStyle name="20% - Accent1 3 9 4 3" xfId="43081"/>
    <cellStyle name="20% - Accent1 3 9 5" xfId="16183"/>
    <cellStyle name="20% - Accent1 3 9 5 2" xfId="45044"/>
    <cellStyle name="20% - Accent1 3 9 6" xfId="30408"/>
    <cellStyle name="20% - Accent1 4" xfId="130"/>
    <cellStyle name="20% - Accent1 4 10" xfId="1778"/>
    <cellStyle name="20% - Accent1 4 10 2" xfId="4665"/>
    <cellStyle name="20% - Accent1 4 10 2 2" xfId="10706"/>
    <cellStyle name="20% - Accent1 4 10 2 2 2" xfId="27753"/>
    <cellStyle name="20% - Accent1 4 10 2 2 2 2" xfId="56614"/>
    <cellStyle name="20% - Accent1 4 10 2 2 3" xfId="39567"/>
    <cellStyle name="20% - Accent1 4 10 2 3" xfId="21775"/>
    <cellStyle name="20% - Accent1 4 10 2 3 2" xfId="50636"/>
    <cellStyle name="20% - Accent1 4 10 2 4" xfId="33526"/>
    <cellStyle name="20% - Accent1 4 10 3" xfId="7820"/>
    <cellStyle name="20% - Accent1 4 10 3 2" xfId="24867"/>
    <cellStyle name="20% - Accent1 4 10 3 2 2" xfId="53728"/>
    <cellStyle name="20% - Accent1 4 10 3 3" xfId="36681"/>
    <cellStyle name="20% - Accent1 4 10 4" xfId="12503"/>
    <cellStyle name="20% - Accent1 4 10 4 2" xfId="19095"/>
    <cellStyle name="20% - Accent1 4 10 4 2 2" xfId="47956"/>
    <cellStyle name="20% - Accent1 4 10 4 3" xfId="41364"/>
    <cellStyle name="20% - Accent1 4 10 5" xfId="16415"/>
    <cellStyle name="20% - Accent1 4 10 5 2" xfId="45276"/>
    <cellStyle name="20% - Accent1 4 10 6" xfId="30640"/>
    <cellStyle name="20% - Accent1 4 11" xfId="1984"/>
    <cellStyle name="20% - Accent1 4 11 2" xfId="4871"/>
    <cellStyle name="20% - Accent1 4 11 2 2" xfId="10912"/>
    <cellStyle name="20% - Accent1 4 11 2 2 2" xfId="27959"/>
    <cellStyle name="20% - Accent1 4 11 2 2 2 2" xfId="56820"/>
    <cellStyle name="20% - Accent1 4 11 2 2 3" xfId="39773"/>
    <cellStyle name="20% - Accent1 4 11 2 3" xfId="21981"/>
    <cellStyle name="20% - Accent1 4 11 2 3 2" xfId="50842"/>
    <cellStyle name="20% - Accent1 4 11 2 4" xfId="33732"/>
    <cellStyle name="20% - Accent1 4 11 3" xfId="8026"/>
    <cellStyle name="20% - Accent1 4 11 3 2" xfId="25073"/>
    <cellStyle name="20% - Accent1 4 11 3 2 2" xfId="53934"/>
    <cellStyle name="20% - Accent1 4 11 3 3" xfId="36887"/>
    <cellStyle name="20% - Accent1 4 11 4" xfId="13107"/>
    <cellStyle name="20% - Accent1 4 11 4 2" xfId="19301"/>
    <cellStyle name="20% - Accent1 4 11 4 2 2" xfId="48162"/>
    <cellStyle name="20% - Accent1 4 11 4 3" xfId="41968"/>
    <cellStyle name="20% - Accent1 4 11 5" xfId="16621"/>
    <cellStyle name="20% - Accent1 4 11 5 2" xfId="45482"/>
    <cellStyle name="20% - Accent1 4 11 6" xfId="30846"/>
    <cellStyle name="20% - Accent1 4 12" xfId="2396"/>
    <cellStyle name="20% - Accent1 4 12 2" xfId="5283"/>
    <cellStyle name="20% - Accent1 4 12 2 2" xfId="11324"/>
    <cellStyle name="20% - Accent1 4 12 2 2 2" xfId="28371"/>
    <cellStyle name="20% - Accent1 4 12 2 2 2 2" xfId="57232"/>
    <cellStyle name="20% - Accent1 4 12 2 2 3" xfId="40185"/>
    <cellStyle name="20% - Accent1 4 12 2 3" xfId="22393"/>
    <cellStyle name="20% - Accent1 4 12 2 3 2" xfId="51254"/>
    <cellStyle name="20% - Accent1 4 12 2 4" xfId="34144"/>
    <cellStyle name="20% - Accent1 4 12 3" xfId="8438"/>
    <cellStyle name="20% - Accent1 4 12 3 2" xfId="25485"/>
    <cellStyle name="20% - Accent1 4 12 3 2 2" xfId="54346"/>
    <cellStyle name="20% - Accent1 4 12 3 3" xfId="37299"/>
    <cellStyle name="20% - Accent1 4 12 4" xfId="12113"/>
    <cellStyle name="20% - Accent1 4 12 4 2" xfId="19713"/>
    <cellStyle name="20% - Accent1 4 12 4 2 2" xfId="48574"/>
    <cellStyle name="20% - Accent1 4 12 4 3" xfId="40974"/>
    <cellStyle name="20% - Accent1 4 12 5" xfId="17033"/>
    <cellStyle name="20% - Accent1 4 12 5 2" xfId="45894"/>
    <cellStyle name="20% - Accent1 4 12 6" xfId="31258"/>
    <cellStyle name="20% - Accent1 4 13" xfId="2605"/>
    <cellStyle name="20% - Accent1 4 13 2" xfId="5491"/>
    <cellStyle name="20% - Accent1 4 13 2 2" xfId="11532"/>
    <cellStyle name="20% - Accent1 4 13 2 2 2" xfId="28579"/>
    <cellStyle name="20% - Accent1 4 13 2 2 2 2" xfId="57440"/>
    <cellStyle name="20% - Accent1 4 13 2 2 3" xfId="40393"/>
    <cellStyle name="20% - Accent1 4 13 2 3" xfId="22601"/>
    <cellStyle name="20% - Accent1 4 13 2 3 2" xfId="51462"/>
    <cellStyle name="20% - Accent1 4 13 2 4" xfId="34352"/>
    <cellStyle name="20% - Accent1 4 13 3" xfId="8646"/>
    <cellStyle name="20% - Accent1 4 13 3 2" xfId="25693"/>
    <cellStyle name="20% - Accent1 4 13 3 2 2" xfId="54554"/>
    <cellStyle name="20% - Accent1 4 13 3 3" xfId="37507"/>
    <cellStyle name="20% - Accent1 4 13 4" xfId="12602"/>
    <cellStyle name="20% - Accent1 4 13 4 2" xfId="19921"/>
    <cellStyle name="20% - Accent1 4 13 4 2 2" xfId="48782"/>
    <cellStyle name="20% - Accent1 4 13 4 3" xfId="41463"/>
    <cellStyle name="20% - Accent1 4 13 5" xfId="17241"/>
    <cellStyle name="20% - Accent1 4 13 5 2" xfId="46102"/>
    <cellStyle name="20% - Accent1 4 13 6" xfId="31466"/>
    <cellStyle name="20% - Accent1 4 14" xfId="3017"/>
    <cellStyle name="20% - Accent1 4 14 2" xfId="9058"/>
    <cellStyle name="20% - Accent1 4 14 2 2" xfId="26105"/>
    <cellStyle name="20% - Accent1 4 14 2 2 2" xfId="54966"/>
    <cellStyle name="20% - Accent1 4 14 2 3" xfId="37919"/>
    <cellStyle name="20% - Accent1 4 14 3" xfId="13492"/>
    <cellStyle name="20% - Accent1 4 14 3 2" xfId="20127"/>
    <cellStyle name="20% - Accent1 4 14 3 2 2" xfId="48988"/>
    <cellStyle name="20% - Accent1 4 14 3 3" xfId="42353"/>
    <cellStyle name="20% - Accent1 4 14 4" xfId="14767"/>
    <cellStyle name="20% - Accent1 4 14 4 2" xfId="43628"/>
    <cellStyle name="20% - Accent1 4 14 5" xfId="31878"/>
    <cellStyle name="20% - Accent1 4 15" xfId="2811"/>
    <cellStyle name="20% - Accent1 4 15 2" xfId="8852"/>
    <cellStyle name="20% - Accent1 4 15 2 2" xfId="25899"/>
    <cellStyle name="20% - Accent1 4 15 2 2 2" xfId="54760"/>
    <cellStyle name="20% - Accent1 4 15 2 3" xfId="37713"/>
    <cellStyle name="20% - Accent1 4 15 3" xfId="17447"/>
    <cellStyle name="20% - Accent1 4 15 3 2" xfId="46308"/>
    <cellStyle name="20% - Accent1 4 15 4" xfId="31672"/>
    <cellStyle name="20% - Accent1 4 16" xfId="5697"/>
    <cellStyle name="20% - Accent1 4 16 2" xfId="11738"/>
    <cellStyle name="20% - Accent1 4 16 2 2" xfId="28785"/>
    <cellStyle name="20% - Accent1 4 16 2 2 2" xfId="57646"/>
    <cellStyle name="20% - Accent1 4 16 2 3" xfId="40599"/>
    <cellStyle name="20% - Accent1 4 16 3" xfId="22807"/>
    <cellStyle name="20% - Accent1 4 16 3 2" xfId="51668"/>
    <cellStyle name="20% - Accent1 4 16 4" xfId="34558"/>
    <cellStyle name="20% - Accent1 4 17" xfId="5914"/>
    <cellStyle name="20% - Accent1 4 17 2" xfId="23013"/>
    <cellStyle name="20% - Accent1 4 17 2 2" xfId="51874"/>
    <cellStyle name="20% - Accent1 4 17 3" xfId="34775"/>
    <cellStyle name="20% - Accent1 4 18" xfId="6172"/>
    <cellStyle name="20% - Accent1 4 18 2" xfId="23219"/>
    <cellStyle name="20% - Accent1 4 18 2 2" xfId="52080"/>
    <cellStyle name="20% - Accent1 4 18 3" xfId="35033"/>
    <cellStyle name="20% - Accent1 4 19" xfId="14561"/>
    <cellStyle name="20% - Accent1 4 19 2" xfId="43422"/>
    <cellStyle name="20% - Accent1 4 2" xfId="336"/>
    <cellStyle name="20% - Accent1 4 2 10" xfId="2499"/>
    <cellStyle name="20% - Accent1 4 2 10 2" xfId="5386"/>
    <cellStyle name="20% - Accent1 4 2 10 2 2" xfId="11427"/>
    <cellStyle name="20% - Accent1 4 2 10 2 2 2" xfId="28474"/>
    <cellStyle name="20% - Accent1 4 2 10 2 2 2 2" xfId="57335"/>
    <cellStyle name="20% - Accent1 4 2 10 2 2 3" xfId="40288"/>
    <cellStyle name="20% - Accent1 4 2 10 2 3" xfId="22496"/>
    <cellStyle name="20% - Accent1 4 2 10 2 3 2" xfId="51357"/>
    <cellStyle name="20% - Accent1 4 2 10 2 4" xfId="34247"/>
    <cellStyle name="20% - Accent1 4 2 10 3" xfId="8541"/>
    <cellStyle name="20% - Accent1 4 2 10 3 2" xfId="25588"/>
    <cellStyle name="20% - Accent1 4 2 10 3 2 2" xfId="54449"/>
    <cellStyle name="20% - Accent1 4 2 10 3 3" xfId="37402"/>
    <cellStyle name="20% - Accent1 4 2 10 4" xfId="13369"/>
    <cellStyle name="20% - Accent1 4 2 10 4 2" xfId="19816"/>
    <cellStyle name="20% - Accent1 4 2 10 4 2 2" xfId="48677"/>
    <cellStyle name="20% - Accent1 4 2 10 4 3" xfId="42230"/>
    <cellStyle name="20% - Accent1 4 2 10 5" xfId="17136"/>
    <cellStyle name="20% - Accent1 4 2 10 5 2" xfId="45997"/>
    <cellStyle name="20% - Accent1 4 2 10 6" xfId="31361"/>
    <cellStyle name="20% - Accent1 4 2 11" xfId="2708"/>
    <cellStyle name="20% - Accent1 4 2 11 2" xfId="5594"/>
    <cellStyle name="20% - Accent1 4 2 11 2 2" xfId="11635"/>
    <cellStyle name="20% - Accent1 4 2 11 2 2 2" xfId="28682"/>
    <cellStyle name="20% - Accent1 4 2 11 2 2 2 2" xfId="57543"/>
    <cellStyle name="20% - Accent1 4 2 11 2 2 3" xfId="40496"/>
    <cellStyle name="20% - Accent1 4 2 11 2 3" xfId="22704"/>
    <cellStyle name="20% - Accent1 4 2 11 2 3 2" xfId="51565"/>
    <cellStyle name="20% - Accent1 4 2 11 2 4" xfId="34455"/>
    <cellStyle name="20% - Accent1 4 2 11 3" xfId="8749"/>
    <cellStyle name="20% - Accent1 4 2 11 3 2" xfId="25796"/>
    <cellStyle name="20% - Accent1 4 2 11 3 2 2" xfId="54657"/>
    <cellStyle name="20% - Accent1 4 2 11 3 3" xfId="37610"/>
    <cellStyle name="20% - Accent1 4 2 11 4" xfId="13473"/>
    <cellStyle name="20% - Accent1 4 2 11 4 2" xfId="20024"/>
    <cellStyle name="20% - Accent1 4 2 11 4 2 2" xfId="48885"/>
    <cellStyle name="20% - Accent1 4 2 11 4 3" xfId="42334"/>
    <cellStyle name="20% - Accent1 4 2 11 5" xfId="17344"/>
    <cellStyle name="20% - Accent1 4 2 11 5 2" xfId="46205"/>
    <cellStyle name="20% - Accent1 4 2 11 6" xfId="31569"/>
    <cellStyle name="20% - Accent1 4 2 12" xfId="3223"/>
    <cellStyle name="20% - Accent1 4 2 12 2" xfId="9264"/>
    <cellStyle name="20% - Accent1 4 2 12 2 2" xfId="26311"/>
    <cellStyle name="20% - Accent1 4 2 12 2 2 2" xfId="55172"/>
    <cellStyle name="20% - Accent1 4 2 12 2 3" xfId="38125"/>
    <cellStyle name="20% - Accent1 4 2 12 3" xfId="13804"/>
    <cellStyle name="20% - Accent1 4 2 12 3 2" xfId="20333"/>
    <cellStyle name="20% - Accent1 4 2 12 3 2 2" xfId="49194"/>
    <cellStyle name="20% - Accent1 4 2 12 3 3" xfId="42665"/>
    <cellStyle name="20% - Accent1 4 2 12 4" xfId="14973"/>
    <cellStyle name="20% - Accent1 4 2 12 4 2" xfId="43834"/>
    <cellStyle name="20% - Accent1 4 2 12 5" xfId="32084"/>
    <cellStyle name="20% - Accent1 4 2 13" xfId="2914"/>
    <cellStyle name="20% - Accent1 4 2 13 2" xfId="8955"/>
    <cellStyle name="20% - Accent1 4 2 13 2 2" xfId="26002"/>
    <cellStyle name="20% - Accent1 4 2 13 2 2 2" xfId="54863"/>
    <cellStyle name="20% - Accent1 4 2 13 2 3" xfId="37816"/>
    <cellStyle name="20% - Accent1 4 2 13 3" xfId="17550"/>
    <cellStyle name="20% - Accent1 4 2 13 3 2" xfId="46411"/>
    <cellStyle name="20% - Accent1 4 2 13 4" xfId="31775"/>
    <cellStyle name="20% - Accent1 4 2 14" xfId="5800"/>
    <cellStyle name="20% - Accent1 4 2 14 2" xfId="11841"/>
    <cellStyle name="20% - Accent1 4 2 14 2 2" xfId="28888"/>
    <cellStyle name="20% - Accent1 4 2 14 2 2 2" xfId="57749"/>
    <cellStyle name="20% - Accent1 4 2 14 2 3" xfId="40702"/>
    <cellStyle name="20% - Accent1 4 2 14 3" xfId="22910"/>
    <cellStyle name="20% - Accent1 4 2 14 3 2" xfId="51771"/>
    <cellStyle name="20% - Accent1 4 2 14 4" xfId="34661"/>
    <cellStyle name="20% - Accent1 4 2 15" xfId="6017"/>
    <cellStyle name="20% - Accent1 4 2 15 2" xfId="23116"/>
    <cellStyle name="20% - Accent1 4 2 15 2 2" xfId="51977"/>
    <cellStyle name="20% - Accent1 4 2 15 3" xfId="34878"/>
    <cellStyle name="20% - Accent1 4 2 16" xfId="6378"/>
    <cellStyle name="20% - Accent1 4 2 16 2" xfId="23425"/>
    <cellStyle name="20% - Accent1 4 2 16 2 2" xfId="52286"/>
    <cellStyle name="20% - Accent1 4 2 16 3" xfId="35239"/>
    <cellStyle name="20% - Accent1 4 2 17" xfId="14664"/>
    <cellStyle name="20% - Accent1 4 2 17 2" xfId="43525"/>
    <cellStyle name="20% - Accent1 4 2 18" xfId="29198"/>
    <cellStyle name="20% - Accent1 4 2 2" xfId="542"/>
    <cellStyle name="20% - Accent1 4 2 2 2" xfId="2293"/>
    <cellStyle name="20% - Accent1 4 2 2 2 2" xfId="5180"/>
    <cellStyle name="20% - Accent1 4 2 2 2 2 2" xfId="11221"/>
    <cellStyle name="20% - Accent1 4 2 2 2 2 2 2" xfId="28268"/>
    <cellStyle name="20% - Accent1 4 2 2 2 2 2 2 2" xfId="57129"/>
    <cellStyle name="20% - Accent1 4 2 2 2 2 2 3" xfId="40082"/>
    <cellStyle name="20% - Accent1 4 2 2 2 2 3" xfId="22290"/>
    <cellStyle name="20% - Accent1 4 2 2 2 2 3 2" xfId="51151"/>
    <cellStyle name="20% - Accent1 4 2 2 2 2 4" xfId="34041"/>
    <cellStyle name="20% - Accent1 4 2 2 2 3" xfId="8335"/>
    <cellStyle name="20% - Accent1 4 2 2 2 3 2" xfId="25382"/>
    <cellStyle name="20% - Accent1 4 2 2 2 3 2 2" xfId="54243"/>
    <cellStyle name="20% - Accent1 4 2 2 2 3 3" xfId="37196"/>
    <cellStyle name="20% - Accent1 4 2 2 2 4" xfId="13715"/>
    <cellStyle name="20% - Accent1 4 2 2 2 4 2" xfId="19610"/>
    <cellStyle name="20% - Accent1 4 2 2 2 4 2 2" xfId="48471"/>
    <cellStyle name="20% - Accent1 4 2 2 2 4 3" xfId="42576"/>
    <cellStyle name="20% - Accent1 4 2 2 2 5" xfId="16930"/>
    <cellStyle name="20% - Accent1 4 2 2 2 5 2" xfId="45791"/>
    <cellStyle name="20% - Accent1 4 2 2 2 6" xfId="31155"/>
    <cellStyle name="20% - Accent1 4 2 2 3" xfId="3429"/>
    <cellStyle name="20% - Accent1 4 2 2 3 2" xfId="9470"/>
    <cellStyle name="20% - Accent1 4 2 2 3 2 2" xfId="26517"/>
    <cellStyle name="20% - Accent1 4 2 2 3 2 2 2" xfId="55378"/>
    <cellStyle name="20% - Accent1 4 2 2 3 2 3" xfId="38331"/>
    <cellStyle name="20% - Accent1 4 2 2 3 3" xfId="20539"/>
    <cellStyle name="20% - Accent1 4 2 2 3 3 2" xfId="49400"/>
    <cellStyle name="20% - Accent1 4 2 2 3 4" xfId="32290"/>
    <cellStyle name="20% - Accent1 4 2 2 4" xfId="6584"/>
    <cellStyle name="20% - Accent1 4 2 2 4 2" xfId="23631"/>
    <cellStyle name="20% - Accent1 4 2 2 4 2 2" xfId="52492"/>
    <cellStyle name="20% - Accent1 4 2 2 4 3" xfId="35445"/>
    <cellStyle name="20% - Accent1 4 2 2 5" xfId="13830"/>
    <cellStyle name="20% - Accent1 4 2 2 5 2" xfId="17859"/>
    <cellStyle name="20% - Accent1 4 2 2 5 2 2" xfId="46720"/>
    <cellStyle name="20% - Accent1 4 2 2 5 3" xfId="42691"/>
    <cellStyle name="20% - Accent1 4 2 2 6" xfId="15179"/>
    <cellStyle name="20% - Accent1 4 2 2 6 2" xfId="44040"/>
    <cellStyle name="20% - Accent1 4 2 2 7" xfId="29404"/>
    <cellStyle name="20% - Accent1 4 2 3" xfId="851"/>
    <cellStyle name="20% - Accent1 4 2 3 2" xfId="3738"/>
    <cellStyle name="20% - Accent1 4 2 3 2 2" xfId="9779"/>
    <cellStyle name="20% - Accent1 4 2 3 2 2 2" xfId="26826"/>
    <cellStyle name="20% - Accent1 4 2 3 2 2 2 2" xfId="55687"/>
    <cellStyle name="20% - Accent1 4 2 3 2 2 3" xfId="38640"/>
    <cellStyle name="20% - Accent1 4 2 3 2 3" xfId="20848"/>
    <cellStyle name="20% - Accent1 4 2 3 2 3 2" xfId="49709"/>
    <cellStyle name="20% - Accent1 4 2 3 2 4" xfId="32599"/>
    <cellStyle name="20% - Accent1 4 2 3 3" xfId="6893"/>
    <cellStyle name="20% - Accent1 4 2 3 3 2" xfId="23940"/>
    <cellStyle name="20% - Accent1 4 2 3 3 2 2" xfId="52801"/>
    <cellStyle name="20% - Accent1 4 2 3 3 3" xfId="35754"/>
    <cellStyle name="20% - Accent1 4 2 3 4" xfId="11994"/>
    <cellStyle name="20% - Accent1 4 2 3 4 2" xfId="18168"/>
    <cellStyle name="20% - Accent1 4 2 3 4 2 2" xfId="47029"/>
    <cellStyle name="20% - Accent1 4 2 3 4 3" xfId="40855"/>
    <cellStyle name="20% - Accent1 4 2 3 5" xfId="15488"/>
    <cellStyle name="20% - Accent1 4 2 3 5 2" xfId="44349"/>
    <cellStyle name="20% - Accent1 4 2 3 6" xfId="29713"/>
    <cellStyle name="20% - Accent1 4 2 4" xfId="1057"/>
    <cellStyle name="20% - Accent1 4 2 4 2" xfId="3944"/>
    <cellStyle name="20% - Accent1 4 2 4 2 2" xfId="9985"/>
    <cellStyle name="20% - Accent1 4 2 4 2 2 2" xfId="27032"/>
    <cellStyle name="20% - Accent1 4 2 4 2 2 2 2" xfId="55893"/>
    <cellStyle name="20% - Accent1 4 2 4 2 2 3" xfId="38846"/>
    <cellStyle name="20% - Accent1 4 2 4 2 3" xfId="21054"/>
    <cellStyle name="20% - Accent1 4 2 4 2 3 2" xfId="49915"/>
    <cellStyle name="20% - Accent1 4 2 4 2 4" xfId="32805"/>
    <cellStyle name="20% - Accent1 4 2 4 3" xfId="7099"/>
    <cellStyle name="20% - Accent1 4 2 4 3 2" xfId="24146"/>
    <cellStyle name="20% - Accent1 4 2 4 3 2 2" xfId="53007"/>
    <cellStyle name="20% - Accent1 4 2 4 3 3" xfId="35960"/>
    <cellStyle name="20% - Accent1 4 2 4 4" xfId="12210"/>
    <cellStyle name="20% - Accent1 4 2 4 4 2" xfId="18374"/>
    <cellStyle name="20% - Accent1 4 2 4 4 2 2" xfId="47235"/>
    <cellStyle name="20% - Accent1 4 2 4 4 3" xfId="41071"/>
    <cellStyle name="20% - Accent1 4 2 4 5" xfId="15694"/>
    <cellStyle name="20% - Accent1 4 2 4 5 2" xfId="44555"/>
    <cellStyle name="20% - Accent1 4 2 4 6" xfId="29919"/>
    <cellStyle name="20% - Accent1 4 2 5" xfId="1263"/>
    <cellStyle name="20% - Accent1 4 2 5 2" xfId="4150"/>
    <cellStyle name="20% - Accent1 4 2 5 2 2" xfId="10191"/>
    <cellStyle name="20% - Accent1 4 2 5 2 2 2" xfId="27238"/>
    <cellStyle name="20% - Accent1 4 2 5 2 2 2 2" xfId="56099"/>
    <cellStyle name="20% - Accent1 4 2 5 2 2 3" xfId="39052"/>
    <cellStyle name="20% - Accent1 4 2 5 2 3" xfId="21260"/>
    <cellStyle name="20% - Accent1 4 2 5 2 3 2" xfId="50121"/>
    <cellStyle name="20% - Accent1 4 2 5 2 4" xfId="33011"/>
    <cellStyle name="20% - Accent1 4 2 5 3" xfId="7305"/>
    <cellStyle name="20% - Accent1 4 2 5 3 2" xfId="24352"/>
    <cellStyle name="20% - Accent1 4 2 5 3 2 2" xfId="53213"/>
    <cellStyle name="20% - Accent1 4 2 5 3 3" xfId="36166"/>
    <cellStyle name="20% - Accent1 4 2 5 4" xfId="13682"/>
    <cellStyle name="20% - Accent1 4 2 5 4 2" xfId="18580"/>
    <cellStyle name="20% - Accent1 4 2 5 4 2 2" xfId="47441"/>
    <cellStyle name="20% - Accent1 4 2 5 4 3" xfId="42543"/>
    <cellStyle name="20% - Accent1 4 2 5 5" xfId="15900"/>
    <cellStyle name="20% - Accent1 4 2 5 5 2" xfId="44761"/>
    <cellStyle name="20% - Accent1 4 2 5 6" xfId="30125"/>
    <cellStyle name="20% - Accent1 4 2 6" xfId="1469"/>
    <cellStyle name="20% - Accent1 4 2 6 2" xfId="4356"/>
    <cellStyle name="20% - Accent1 4 2 6 2 2" xfId="10397"/>
    <cellStyle name="20% - Accent1 4 2 6 2 2 2" xfId="27444"/>
    <cellStyle name="20% - Accent1 4 2 6 2 2 2 2" xfId="56305"/>
    <cellStyle name="20% - Accent1 4 2 6 2 2 3" xfId="39258"/>
    <cellStyle name="20% - Accent1 4 2 6 2 3" xfId="21466"/>
    <cellStyle name="20% - Accent1 4 2 6 2 3 2" xfId="50327"/>
    <cellStyle name="20% - Accent1 4 2 6 2 4" xfId="33217"/>
    <cellStyle name="20% - Accent1 4 2 6 3" xfId="7511"/>
    <cellStyle name="20% - Accent1 4 2 6 3 2" xfId="24558"/>
    <cellStyle name="20% - Accent1 4 2 6 3 2 2" xfId="53419"/>
    <cellStyle name="20% - Accent1 4 2 6 3 3" xfId="36372"/>
    <cellStyle name="20% - Accent1 4 2 6 4" xfId="13022"/>
    <cellStyle name="20% - Accent1 4 2 6 4 2" xfId="18786"/>
    <cellStyle name="20% - Accent1 4 2 6 4 2 2" xfId="47647"/>
    <cellStyle name="20% - Accent1 4 2 6 4 3" xfId="41883"/>
    <cellStyle name="20% - Accent1 4 2 6 5" xfId="16106"/>
    <cellStyle name="20% - Accent1 4 2 6 5 2" xfId="44967"/>
    <cellStyle name="20% - Accent1 4 2 6 6" xfId="30331"/>
    <cellStyle name="20% - Accent1 4 2 7" xfId="1675"/>
    <cellStyle name="20% - Accent1 4 2 7 2" xfId="4562"/>
    <cellStyle name="20% - Accent1 4 2 7 2 2" xfId="10603"/>
    <cellStyle name="20% - Accent1 4 2 7 2 2 2" xfId="27650"/>
    <cellStyle name="20% - Accent1 4 2 7 2 2 2 2" xfId="56511"/>
    <cellStyle name="20% - Accent1 4 2 7 2 2 3" xfId="39464"/>
    <cellStyle name="20% - Accent1 4 2 7 2 3" xfId="21672"/>
    <cellStyle name="20% - Accent1 4 2 7 2 3 2" xfId="50533"/>
    <cellStyle name="20% - Accent1 4 2 7 2 4" xfId="33423"/>
    <cellStyle name="20% - Accent1 4 2 7 3" xfId="7717"/>
    <cellStyle name="20% - Accent1 4 2 7 3 2" xfId="24764"/>
    <cellStyle name="20% - Accent1 4 2 7 3 2 2" xfId="53625"/>
    <cellStyle name="20% - Accent1 4 2 7 3 3" xfId="36578"/>
    <cellStyle name="20% - Accent1 4 2 7 4" xfId="12743"/>
    <cellStyle name="20% - Accent1 4 2 7 4 2" xfId="18992"/>
    <cellStyle name="20% - Accent1 4 2 7 4 2 2" xfId="47853"/>
    <cellStyle name="20% - Accent1 4 2 7 4 3" xfId="41604"/>
    <cellStyle name="20% - Accent1 4 2 7 5" xfId="16312"/>
    <cellStyle name="20% - Accent1 4 2 7 5 2" xfId="45173"/>
    <cellStyle name="20% - Accent1 4 2 7 6" xfId="30537"/>
    <cellStyle name="20% - Accent1 4 2 8" xfId="1881"/>
    <cellStyle name="20% - Accent1 4 2 8 2" xfId="4768"/>
    <cellStyle name="20% - Accent1 4 2 8 2 2" xfId="10809"/>
    <cellStyle name="20% - Accent1 4 2 8 2 2 2" xfId="27856"/>
    <cellStyle name="20% - Accent1 4 2 8 2 2 2 2" xfId="56717"/>
    <cellStyle name="20% - Accent1 4 2 8 2 2 3" xfId="39670"/>
    <cellStyle name="20% - Accent1 4 2 8 2 3" xfId="21878"/>
    <cellStyle name="20% - Accent1 4 2 8 2 3 2" xfId="50739"/>
    <cellStyle name="20% - Accent1 4 2 8 2 4" xfId="33629"/>
    <cellStyle name="20% - Accent1 4 2 8 3" xfId="7923"/>
    <cellStyle name="20% - Accent1 4 2 8 3 2" xfId="24970"/>
    <cellStyle name="20% - Accent1 4 2 8 3 2 2" xfId="53831"/>
    <cellStyle name="20% - Accent1 4 2 8 3 3" xfId="36784"/>
    <cellStyle name="20% - Accent1 4 2 8 4" xfId="13120"/>
    <cellStyle name="20% - Accent1 4 2 8 4 2" xfId="19198"/>
    <cellStyle name="20% - Accent1 4 2 8 4 2 2" xfId="48059"/>
    <cellStyle name="20% - Accent1 4 2 8 4 3" xfId="41981"/>
    <cellStyle name="20% - Accent1 4 2 8 5" xfId="16518"/>
    <cellStyle name="20% - Accent1 4 2 8 5 2" xfId="45379"/>
    <cellStyle name="20% - Accent1 4 2 8 6" xfId="30743"/>
    <cellStyle name="20% - Accent1 4 2 9" xfId="2087"/>
    <cellStyle name="20% - Accent1 4 2 9 2" xfId="4974"/>
    <cellStyle name="20% - Accent1 4 2 9 2 2" xfId="11015"/>
    <cellStyle name="20% - Accent1 4 2 9 2 2 2" xfId="28062"/>
    <cellStyle name="20% - Accent1 4 2 9 2 2 2 2" xfId="56923"/>
    <cellStyle name="20% - Accent1 4 2 9 2 2 3" xfId="39876"/>
    <cellStyle name="20% - Accent1 4 2 9 2 3" xfId="22084"/>
    <cellStyle name="20% - Accent1 4 2 9 2 3 2" xfId="50945"/>
    <cellStyle name="20% - Accent1 4 2 9 2 4" xfId="33835"/>
    <cellStyle name="20% - Accent1 4 2 9 3" xfId="8129"/>
    <cellStyle name="20% - Accent1 4 2 9 3 2" xfId="25176"/>
    <cellStyle name="20% - Accent1 4 2 9 3 2 2" xfId="54037"/>
    <cellStyle name="20% - Accent1 4 2 9 3 3" xfId="36990"/>
    <cellStyle name="20% - Accent1 4 2 9 4" xfId="11895"/>
    <cellStyle name="20% - Accent1 4 2 9 4 2" xfId="19404"/>
    <cellStyle name="20% - Accent1 4 2 9 4 2 2" xfId="48265"/>
    <cellStyle name="20% - Accent1 4 2 9 4 3" xfId="40756"/>
    <cellStyle name="20% - Accent1 4 2 9 5" xfId="16724"/>
    <cellStyle name="20% - Accent1 4 2 9 5 2" xfId="45585"/>
    <cellStyle name="20% - Accent1 4 2 9 6" xfId="30949"/>
    <cellStyle name="20% - Accent1 4 20" xfId="28992"/>
    <cellStyle name="20% - Accent1 4 3" xfId="233"/>
    <cellStyle name="20% - Accent1 4 3 2" xfId="645"/>
    <cellStyle name="20% - Accent1 4 3 2 2" xfId="3532"/>
    <cellStyle name="20% - Accent1 4 3 2 2 2" xfId="9573"/>
    <cellStyle name="20% - Accent1 4 3 2 2 2 2" xfId="26620"/>
    <cellStyle name="20% - Accent1 4 3 2 2 2 2 2" xfId="55481"/>
    <cellStyle name="20% - Accent1 4 3 2 2 2 3" xfId="38434"/>
    <cellStyle name="20% - Accent1 4 3 2 2 3" xfId="20642"/>
    <cellStyle name="20% - Accent1 4 3 2 2 3 2" xfId="49503"/>
    <cellStyle name="20% - Accent1 4 3 2 2 4" xfId="32393"/>
    <cellStyle name="20% - Accent1 4 3 2 3" xfId="6687"/>
    <cellStyle name="20% - Accent1 4 3 2 3 2" xfId="23734"/>
    <cellStyle name="20% - Accent1 4 3 2 3 2 2" xfId="52595"/>
    <cellStyle name="20% - Accent1 4 3 2 3 3" xfId="35548"/>
    <cellStyle name="20% - Accent1 4 3 2 4" xfId="14317"/>
    <cellStyle name="20% - Accent1 4 3 2 4 2" xfId="17962"/>
    <cellStyle name="20% - Accent1 4 3 2 4 2 2" xfId="46823"/>
    <cellStyle name="20% - Accent1 4 3 2 4 3" xfId="43178"/>
    <cellStyle name="20% - Accent1 4 3 2 5" xfId="15282"/>
    <cellStyle name="20% - Accent1 4 3 2 5 2" xfId="44143"/>
    <cellStyle name="20% - Accent1 4 3 2 6" xfId="29507"/>
    <cellStyle name="20% - Accent1 4 3 3" xfId="2190"/>
    <cellStyle name="20% - Accent1 4 3 3 2" xfId="5077"/>
    <cellStyle name="20% - Accent1 4 3 3 2 2" xfId="11118"/>
    <cellStyle name="20% - Accent1 4 3 3 2 2 2" xfId="28165"/>
    <cellStyle name="20% - Accent1 4 3 3 2 2 2 2" xfId="57026"/>
    <cellStyle name="20% - Accent1 4 3 3 2 2 3" xfId="39979"/>
    <cellStyle name="20% - Accent1 4 3 3 2 3" xfId="22187"/>
    <cellStyle name="20% - Accent1 4 3 3 2 3 2" xfId="51048"/>
    <cellStyle name="20% - Accent1 4 3 3 2 4" xfId="33938"/>
    <cellStyle name="20% - Accent1 4 3 3 3" xfId="8232"/>
    <cellStyle name="20% - Accent1 4 3 3 3 2" xfId="25279"/>
    <cellStyle name="20% - Accent1 4 3 3 3 2 2" xfId="54140"/>
    <cellStyle name="20% - Accent1 4 3 3 3 3" xfId="37093"/>
    <cellStyle name="20% - Accent1 4 3 3 4" xfId="12889"/>
    <cellStyle name="20% - Accent1 4 3 3 4 2" xfId="19507"/>
    <cellStyle name="20% - Accent1 4 3 3 4 2 2" xfId="48368"/>
    <cellStyle name="20% - Accent1 4 3 3 4 3" xfId="41750"/>
    <cellStyle name="20% - Accent1 4 3 3 5" xfId="16827"/>
    <cellStyle name="20% - Accent1 4 3 3 5 2" xfId="45688"/>
    <cellStyle name="20% - Accent1 4 3 3 6" xfId="31052"/>
    <cellStyle name="20% - Accent1 4 3 4" xfId="3120"/>
    <cellStyle name="20% - Accent1 4 3 4 2" xfId="9161"/>
    <cellStyle name="20% - Accent1 4 3 4 2 2" xfId="26208"/>
    <cellStyle name="20% - Accent1 4 3 4 2 2 2" xfId="55069"/>
    <cellStyle name="20% - Accent1 4 3 4 2 3" xfId="38022"/>
    <cellStyle name="20% - Accent1 4 3 4 3" xfId="20230"/>
    <cellStyle name="20% - Accent1 4 3 4 3 2" xfId="49091"/>
    <cellStyle name="20% - Accent1 4 3 4 4" xfId="31981"/>
    <cellStyle name="20% - Accent1 4 3 5" xfId="6275"/>
    <cellStyle name="20% - Accent1 4 3 5 2" xfId="23322"/>
    <cellStyle name="20% - Accent1 4 3 5 2 2" xfId="52183"/>
    <cellStyle name="20% - Accent1 4 3 5 3" xfId="35136"/>
    <cellStyle name="20% - Accent1 4 3 6" xfId="12584"/>
    <cellStyle name="20% - Accent1 4 3 6 2" xfId="17653"/>
    <cellStyle name="20% - Accent1 4 3 6 2 2" xfId="46514"/>
    <cellStyle name="20% - Accent1 4 3 6 3" xfId="41445"/>
    <cellStyle name="20% - Accent1 4 3 7" xfId="14870"/>
    <cellStyle name="20% - Accent1 4 3 7 2" xfId="43731"/>
    <cellStyle name="20% - Accent1 4 3 8" xfId="29095"/>
    <cellStyle name="20% - Accent1 4 4" xfId="439"/>
    <cellStyle name="20% - Accent1 4 4 2" xfId="3326"/>
    <cellStyle name="20% - Accent1 4 4 2 2" xfId="9367"/>
    <cellStyle name="20% - Accent1 4 4 2 2 2" xfId="26414"/>
    <cellStyle name="20% - Accent1 4 4 2 2 2 2" xfId="55275"/>
    <cellStyle name="20% - Accent1 4 4 2 2 3" xfId="38228"/>
    <cellStyle name="20% - Accent1 4 4 2 3" xfId="20436"/>
    <cellStyle name="20% - Accent1 4 4 2 3 2" xfId="49297"/>
    <cellStyle name="20% - Accent1 4 4 2 4" xfId="32187"/>
    <cellStyle name="20% - Accent1 4 4 3" xfId="6481"/>
    <cellStyle name="20% - Accent1 4 4 3 2" xfId="23528"/>
    <cellStyle name="20% - Accent1 4 4 3 2 2" xfId="52389"/>
    <cellStyle name="20% - Accent1 4 4 3 3" xfId="35342"/>
    <cellStyle name="20% - Accent1 4 4 4" xfId="14081"/>
    <cellStyle name="20% - Accent1 4 4 4 2" xfId="17756"/>
    <cellStyle name="20% - Accent1 4 4 4 2 2" xfId="46617"/>
    <cellStyle name="20% - Accent1 4 4 4 3" xfId="42942"/>
    <cellStyle name="20% - Accent1 4 4 5" xfId="15076"/>
    <cellStyle name="20% - Accent1 4 4 5 2" xfId="43937"/>
    <cellStyle name="20% - Accent1 4 4 6" xfId="29301"/>
    <cellStyle name="20% - Accent1 4 5" xfId="748"/>
    <cellStyle name="20% - Accent1 4 5 2" xfId="3635"/>
    <cellStyle name="20% - Accent1 4 5 2 2" xfId="9676"/>
    <cellStyle name="20% - Accent1 4 5 2 2 2" xfId="26723"/>
    <cellStyle name="20% - Accent1 4 5 2 2 2 2" xfId="55584"/>
    <cellStyle name="20% - Accent1 4 5 2 2 3" xfId="38537"/>
    <cellStyle name="20% - Accent1 4 5 2 3" xfId="20745"/>
    <cellStyle name="20% - Accent1 4 5 2 3 2" xfId="49606"/>
    <cellStyle name="20% - Accent1 4 5 2 4" xfId="32496"/>
    <cellStyle name="20% - Accent1 4 5 3" xfId="6790"/>
    <cellStyle name="20% - Accent1 4 5 3 2" xfId="23837"/>
    <cellStyle name="20% - Accent1 4 5 3 2 2" xfId="52698"/>
    <cellStyle name="20% - Accent1 4 5 3 3" xfId="35651"/>
    <cellStyle name="20% - Accent1 4 5 4" xfId="12690"/>
    <cellStyle name="20% - Accent1 4 5 4 2" xfId="18065"/>
    <cellStyle name="20% - Accent1 4 5 4 2 2" xfId="46926"/>
    <cellStyle name="20% - Accent1 4 5 4 3" xfId="41551"/>
    <cellStyle name="20% - Accent1 4 5 5" xfId="15385"/>
    <cellStyle name="20% - Accent1 4 5 5 2" xfId="44246"/>
    <cellStyle name="20% - Accent1 4 5 6" xfId="29610"/>
    <cellStyle name="20% - Accent1 4 6" xfId="954"/>
    <cellStyle name="20% - Accent1 4 6 2" xfId="3841"/>
    <cellStyle name="20% - Accent1 4 6 2 2" xfId="9882"/>
    <cellStyle name="20% - Accent1 4 6 2 2 2" xfId="26929"/>
    <cellStyle name="20% - Accent1 4 6 2 2 2 2" xfId="55790"/>
    <cellStyle name="20% - Accent1 4 6 2 2 3" xfId="38743"/>
    <cellStyle name="20% - Accent1 4 6 2 3" xfId="20951"/>
    <cellStyle name="20% - Accent1 4 6 2 3 2" xfId="49812"/>
    <cellStyle name="20% - Accent1 4 6 2 4" xfId="32702"/>
    <cellStyle name="20% - Accent1 4 6 3" xfId="6996"/>
    <cellStyle name="20% - Accent1 4 6 3 2" xfId="24043"/>
    <cellStyle name="20% - Accent1 4 6 3 2 2" xfId="52904"/>
    <cellStyle name="20% - Accent1 4 6 3 3" xfId="35857"/>
    <cellStyle name="20% - Accent1 4 6 4" xfId="13757"/>
    <cellStyle name="20% - Accent1 4 6 4 2" xfId="18271"/>
    <cellStyle name="20% - Accent1 4 6 4 2 2" xfId="47132"/>
    <cellStyle name="20% - Accent1 4 6 4 3" xfId="42618"/>
    <cellStyle name="20% - Accent1 4 6 5" xfId="15591"/>
    <cellStyle name="20% - Accent1 4 6 5 2" xfId="44452"/>
    <cellStyle name="20% - Accent1 4 6 6" xfId="29816"/>
    <cellStyle name="20% - Accent1 4 7" xfId="1160"/>
    <cellStyle name="20% - Accent1 4 7 2" xfId="4047"/>
    <cellStyle name="20% - Accent1 4 7 2 2" xfId="10088"/>
    <cellStyle name="20% - Accent1 4 7 2 2 2" xfId="27135"/>
    <cellStyle name="20% - Accent1 4 7 2 2 2 2" xfId="55996"/>
    <cellStyle name="20% - Accent1 4 7 2 2 3" xfId="38949"/>
    <cellStyle name="20% - Accent1 4 7 2 3" xfId="21157"/>
    <cellStyle name="20% - Accent1 4 7 2 3 2" xfId="50018"/>
    <cellStyle name="20% - Accent1 4 7 2 4" xfId="32908"/>
    <cellStyle name="20% - Accent1 4 7 3" xfId="7202"/>
    <cellStyle name="20% - Accent1 4 7 3 2" xfId="24249"/>
    <cellStyle name="20% - Accent1 4 7 3 2 2" xfId="53110"/>
    <cellStyle name="20% - Accent1 4 7 3 3" xfId="36063"/>
    <cellStyle name="20% - Accent1 4 7 4" xfId="14233"/>
    <cellStyle name="20% - Accent1 4 7 4 2" xfId="18477"/>
    <cellStyle name="20% - Accent1 4 7 4 2 2" xfId="47338"/>
    <cellStyle name="20% - Accent1 4 7 4 3" xfId="43094"/>
    <cellStyle name="20% - Accent1 4 7 5" xfId="15797"/>
    <cellStyle name="20% - Accent1 4 7 5 2" xfId="44658"/>
    <cellStyle name="20% - Accent1 4 7 6" xfId="30022"/>
    <cellStyle name="20% - Accent1 4 8" xfId="1366"/>
    <cellStyle name="20% - Accent1 4 8 2" xfId="4253"/>
    <cellStyle name="20% - Accent1 4 8 2 2" xfId="10294"/>
    <cellStyle name="20% - Accent1 4 8 2 2 2" xfId="27341"/>
    <cellStyle name="20% - Accent1 4 8 2 2 2 2" xfId="56202"/>
    <cellStyle name="20% - Accent1 4 8 2 2 3" xfId="39155"/>
    <cellStyle name="20% - Accent1 4 8 2 3" xfId="21363"/>
    <cellStyle name="20% - Accent1 4 8 2 3 2" xfId="50224"/>
    <cellStyle name="20% - Accent1 4 8 2 4" xfId="33114"/>
    <cellStyle name="20% - Accent1 4 8 3" xfId="7408"/>
    <cellStyle name="20% - Accent1 4 8 3 2" xfId="24455"/>
    <cellStyle name="20% - Accent1 4 8 3 2 2" xfId="53316"/>
    <cellStyle name="20% - Accent1 4 8 3 3" xfId="36269"/>
    <cellStyle name="20% - Accent1 4 8 4" xfId="12368"/>
    <cellStyle name="20% - Accent1 4 8 4 2" xfId="18683"/>
    <cellStyle name="20% - Accent1 4 8 4 2 2" xfId="47544"/>
    <cellStyle name="20% - Accent1 4 8 4 3" xfId="41229"/>
    <cellStyle name="20% - Accent1 4 8 5" xfId="16003"/>
    <cellStyle name="20% - Accent1 4 8 5 2" xfId="44864"/>
    <cellStyle name="20% - Accent1 4 8 6" xfId="30228"/>
    <cellStyle name="20% - Accent1 4 9" xfId="1572"/>
    <cellStyle name="20% - Accent1 4 9 2" xfId="4459"/>
    <cellStyle name="20% - Accent1 4 9 2 2" xfId="10500"/>
    <cellStyle name="20% - Accent1 4 9 2 2 2" xfId="27547"/>
    <cellStyle name="20% - Accent1 4 9 2 2 2 2" xfId="56408"/>
    <cellStyle name="20% - Accent1 4 9 2 2 3" xfId="39361"/>
    <cellStyle name="20% - Accent1 4 9 2 3" xfId="21569"/>
    <cellStyle name="20% - Accent1 4 9 2 3 2" xfId="50430"/>
    <cellStyle name="20% - Accent1 4 9 2 4" xfId="33320"/>
    <cellStyle name="20% - Accent1 4 9 3" xfId="7614"/>
    <cellStyle name="20% - Accent1 4 9 3 2" xfId="24661"/>
    <cellStyle name="20% - Accent1 4 9 3 2 2" xfId="53522"/>
    <cellStyle name="20% - Accent1 4 9 3 3" xfId="36475"/>
    <cellStyle name="20% - Accent1 4 9 4" xfId="12145"/>
    <cellStyle name="20% - Accent1 4 9 4 2" xfId="18889"/>
    <cellStyle name="20% - Accent1 4 9 4 2 2" xfId="47750"/>
    <cellStyle name="20% - Accent1 4 9 4 3" xfId="41006"/>
    <cellStyle name="20% - Accent1 4 9 5" xfId="16209"/>
    <cellStyle name="20% - Accent1 4 9 5 2" xfId="45070"/>
    <cellStyle name="20% - Accent1 4 9 6" xfId="30434"/>
    <cellStyle name="20% - Accent1 5" xfId="283"/>
    <cellStyle name="20% - Accent1 5 10" xfId="2446"/>
    <cellStyle name="20% - Accent1 5 10 2" xfId="5333"/>
    <cellStyle name="20% - Accent1 5 10 2 2" xfId="11374"/>
    <cellStyle name="20% - Accent1 5 10 2 2 2" xfId="28421"/>
    <cellStyle name="20% - Accent1 5 10 2 2 2 2" xfId="57282"/>
    <cellStyle name="20% - Accent1 5 10 2 2 3" xfId="40235"/>
    <cellStyle name="20% - Accent1 5 10 2 3" xfId="22443"/>
    <cellStyle name="20% - Accent1 5 10 2 3 2" xfId="51304"/>
    <cellStyle name="20% - Accent1 5 10 2 4" xfId="34194"/>
    <cellStyle name="20% - Accent1 5 10 3" xfId="8488"/>
    <cellStyle name="20% - Accent1 5 10 3 2" xfId="25535"/>
    <cellStyle name="20% - Accent1 5 10 3 2 2" xfId="54396"/>
    <cellStyle name="20% - Accent1 5 10 3 3" xfId="37349"/>
    <cellStyle name="20% - Accent1 5 10 4" xfId="11972"/>
    <cellStyle name="20% - Accent1 5 10 4 2" xfId="19763"/>
    <cellStyle name="20% - Accent1 5 10 4 2 2" xfId="48624"/>
    <cellStyle name="20% - Accent1 5 10 4 3" xfId="40833"/>
    <cellStyle name="20% - Accent1 5 10 5" xfId="17083"/>
    <cellStyle name="20% - Accent1 5 10 5 2" xfId="45944"/>
    <cellStyle name="20% - Accent1 5 10 6" xfId="31308"/>
    <cellStyle name="20% - Accent1 5 11" xfId="2655"/>
    <cellStyle name="20% - Accent1 5 11 2" xfId="5541"/>
    <cellStyle name="20% - Accent1 5 11 2 2" xfId="11582"/>
    <cellStyle name="20% - Accent1 5 11 2 2 2" xfId="28629"/>
    <cellStyle name="20% - Accent1 5 11 2 2 2 2" xfId="57490"/>
    <cellStyle name="20% - Accent1 5 11 2 2 3" xfId="40443"/>
    <cellStyle name="20% - Accent1 5 11 2 3" xfId="22651"/>
    <cellStyle name="20% - Accent1 5 11 2 3 2" xfId="51512"/>
    <cellStyle name="20% - Accent1 5 11 2 4" xfId="34402"/>
    <cellStyle name="20% - Accent1 5 11 3" xfId="8696"/>
    <cellStyle name="20% - Accent1 5 11 3 2" xfId="25743"/>
    <cellStyle name="20% - Accent1 5 11 3 2 2" xfId="54604"/>
    <cellStyle name="20% - Accent1 5 11 3 3" xfId="37557"/>
    <cellStyle name="20% - Accent1 5 11 4" xfId="12021"/>
    <cellStyle name="20% - Accent1 5 11 4 2" xfId="19971"/>
    <cellStyle name="20% - Accent1 5 11 4 2 2" xfId="48832"/>
    <cellStyle name="20% - Accent1 5 11 4 3" xfId="40882"/>
    <cellStyle name="20% - Accent1 5 11 5" xfId="17291"/>
    <cellStyle name="20% - Accent1 5 11 5 2" xfId="46152"/>
    <cellStyle name="20% - Accent1 5 11 6" xfId="31516"/>
    <cellStyle name="20% - Accent1 5 12" xfId="3170"/>
    <cellStyle name="20% - Accent1 5 12 2" xfId="9211"/>
    <cellStyle name="20% - Accent1 5 12 2 2" xfId="26258"/>
    <cellStyle name="20% - Accent1 5 12 2 2 2" xfId="55119"/>
    <cellStyle name="20% - Accent1 5 12 2 3" xfId="38072"/>
    <cellStyle name="20% - Accent1 5 12 3" xfId="14300"/>
    <cellStyle name="20% - Accent1 5 12 3 2" xfId="20280"/>
    <cellStyle name="20% - Accent1 5 12 3 2 2" xfId="49141"/>
    <cellStyle name="20% - Accent1 5 12 3 3" xfId="43161"/>
    <cellStyle name="20% - Accent1 5 12 4" xfId="14920"/>
    <cellStyle name="20% - Accent1 5 12 4 2" xfId="43781"/>
    <cellStyle name="20% - Accent1 5 12 5" xfId="32031"/>
    <cellStyle name="20% - Accent1 5 13" xfId="2861"/>
    <cellStyle name="20% - Accent1 5 13 2" xfId="8902"/>
    <cellStyle name="20% - Accent1 5 13 2 2" xfId="25949"/>
    <cellStyle name="20% - Accent1 5 13 2 2 2" xfId="54810"/>
    <cellStyle name="20% - Accent1 5 13 2 3" xfId="37763"/>
    <cellStyle name="20% - Accent1 5 13 3" xfId="17497"/>
    <cellStyle name="20% - Accent1 5 13 3 2" xfId="46358"/>
    <cellStyle name="20% - Accent1 5 13 4" xfId="31722"/>
    <cellStyle name="20% - Accent1 5 14" xfId="5747"/>
    <cellStyle name="20% - Accent1 5 14 2" xfId="11788"/>
    <cellStyle name="20% - Accent1 5 14 2 2" xfId="28835"/>
    <cellStyle name="20% - Accent1 5 14 2 2 2" xfId="57696"/>
    <cellStyle name="20% - Accent1 5 14 2 3" xfId="40649"/>
    <cellStyle name="20% - Accent1 5 14 3" xfId="22857"/>
    <cellStyle name="20% - Accent1 5 14 3 2" xfId="51718"/>
    <cellStyle name="20% - Accent1 5 14 4" xfId="34608"/>
    <cellStyle name="20% - Accent1 5 15" xfId="5964"/>
    <cellStyle name="20% - Accent1 5 15 2" xfId="23063"/>
    <cellStyle name="20% - Accent1 5 15 2 2" xfId="51924"/>
    <cellStyle name="20% - Accent1 5 15 3" xfId="34825"/>
    <cellStyle name="20% - Accent1 5 16" xfId="6325"/>
    <cellStyle name="20% - Accent1 5 16 2" xfId="23372"/>
    <cellStyle name="20% - Accent1 5 16 2 2" xfId="52233"/>
    <cellStyle name="20% - Accent1 5 16 3" xfId="35186"/>
    <cellStyle name="20% - Accent1 5 17" xfId="14611"/>
    <cellStyle name="20% - Accent1 5 17 2" xfId="43472"/>
    <cellStyle name="20% - Accent1 5 18" xfId="29145"/>
    <cellStyle name="20% - Accent1 5 2" xfId="489"/>
    <cellStyle name="20% - Accent1 5 2 2" xfId="2240"/>
    <cellStyle name="20% - Accent1 5 2 2 2" xfId="5127"/>
    <cellStyle name="20% - Accent1 5 2 2 2 2" xfId="11168"/>
    <cellStyle name="20% - Accent1 5 2 2 2 2 2" xfId="28215"/>
    <cellStyle name="20% - Accent1 5 2 2 2 2 2 2" xfId="57076"/>
    <cellStyle name="20% - Accent1 5 2 2 2 2 3" xfId="40029"/>
    <cellStyle name="20% - Accent1 5 2 2 2 3" xfId="22237"/>
    <cellStyle name="20% - Accent1 5 2 2 2 3 2" xfId="51098"/>
    <cellStyle name="20% - Accent1 5 2 2 2 4" xfId="33988"/>
    <cellStyle name="20% - Accent1 5 2 2 3" xfId="8282"/>
    <cellStyle name="20% - Accent1 5 2 2 3 2" xfId="25329"/>
    <cellStyle name="20% - Accent1 5 2 2 3 2 2" xfId="54190"/>
    <cellStyle name="20% - Accent1 5 2 2 3 3" xfId="37143"/>
    <cellStyle name="20% - Accent1 5 2 2 4" xfId="11954"/>
    <cellStyle name="20% - Accent1 5 2 2 4 2" xfId="19557"/>
    <cellStyle name="20% - Accent1 5 2 2 4 2 2" xfId="48418"/>
    <cellStyle name="20% - Accent1 5 2 2 4 3" xfId="40815"/>
    <cellStyle name="20% - Accent1 5 2 2 5" xfId="16877"/>
    <cellStyle name="20% - Accent1 5 2 2 5 2" xfId="45738"/>
    <cellStyle name="20% - Accent1 5 2 2 6" xfId="31102"/>
    <cellStyle name="20% - Accent1 5 2 3" xfId="3376"/>
    <cellStyle name="20% - Accent1 5 2 3 2" xfId="9417"/>
    <cellStyle name="20% - Accent1 5 2 3 2 2" xfId="26464"/>
    <cellStyle name="20% - Accent1 5 2 3 2 2 2" xfId="55325"/>
    <cellStyle name="20% - Accent1 5 2 3 2 3" xfId="38278"/>
    <cellStyle name="20% - Accent1 5 2 3 3" xfId="20486"/>
    <cellStyle name="20% - Accent1 5 2 3 3 2" xfId="49347"/>
    <cellStyle name="20% - Accent1 5 2 3 4" xfId="32237"/>
    <cellStyle name="20% - Accent1 5 2 4" xfId="6531"/>
    <cellStyle name="20% - Accent1 5 2 4 2" xfId="23578"/>
    <cellStyle name="20% - Accent1 5 2 4 2 2" xfId="52439"/>
    <cellStyle name="20% - Accent1 5 2 4 3" xfId="35392"/>
    <cellStyle name="20% - Accent1 5 2 5" xfId="12729"/>
    <cellStyle name="20% - Accent1 5 2 5 2" xfId="17806"/>
    <cellStyle name="20% - Accent1 5 2 5 2 2" xfId="46667"/>
    <cellStyle name="20% - Accent1 5 2 5 3" xfId="41590"/>
    <cellStyle name="20% - Accent1 5 2 6" xfId="15126"/>
    <cellStyle name="20% - Accent1 5 2 6 2" xfId="43987"/>
    <cellStyle name="20% - Accent1 5 2 7" xfId="29351"/>
    <cellStyle name="20% - Accent1 5 3" xfId="798"/>
    <cellStyle name="20% - Accent1 5 3 2" xfId="3685"/>
    <cellStyle name="20% - Accent1 5 3 2 2" xfId="9726"/>
    <cellStyle name="20% - Accent1 5 3 2 2 2" xfId="26773"/>
    <cellStyle name="20% - Accent1 5 3 2 2 2 2" xfId="55634"/>
    <cellStyle name="20% - Accent1 5 3 2 2 3" xfId="38587"/>
    <cellStyle name="20% - Accent1 5 3 2 3" xfId="20795"/>
    <cellStyle name="20% - Accent1 5 3 2 3 2" xfId="49656"/>
    <cellStyle name="20% - Accent1 5 3 2 4" xfId="32546"/>
    <cellStyle name="20% - Accent1 5 3 3" xfId="6840"/>
    <cellStyle name="20% - Accent1 5 3 3 2" xfId="23887"/>
    <cellStyle name="20% - Accent1 5 3 3 2 2" xfId="52748"/>
    <cellStyle name="20% - Accent1 5 3 3 3" xfId="35701"/>
    <cellStyle name="20% - Accent1 5 3 4" xfId="12660"/>
    <cellStyle name="20% - Accent1 5 3 4 2" xfId="18115"/>
    <cellStyle name="20% - Accent1 5 3 4 2 2" xfId="46976"/>
    <cellStyle name="20% - Accent1 5 3 4 3" xfId="41521"/>
    <cellStyle name="20% - Accent1 5 3 5" xfId="15435"/>
    <cellStyle name="20% - Accent1 5 3 5 2" xfId="44296"/>
    <cellStyle name="20% - Accent1 5 3 6" xfId="29660"/>
    <cellStyle name="20% - Accent1 5 4" xfId="1004"/>
    <cellStyle name="20% - Accent1 5 4 2" xfId="3891"/>
    <cellStyle name="20% - Accent1 5 4 2 2" xfId="9932"/>
    <cellStyle name="20% - Accent1 5 4 2 2 2" xfId="26979"/>
    <cellStyle name="20% - Accent1 5 4 2 2 2 2" xfId="55840"/>
    <cellStyle name="20% - Accent1 5 4 2 2 3" xfId="38793"/>
    <cellStyle name="20% - Accent1 5 4 2 3" xfId="21001"/>
    <cellStyle name="20% - Accent1 5 4 2 3 2" xfId="49862"/>
    <cellStyle name="20% - Accent1 5 4 2 4" xfId="32752"/>
    <cellStyle name="20% - Accent1 5 4 3" xfId="7046"/>
    <cellStyle name="20% - Accent1 5 4 3 2" xfId="24093"/>
    <cellStyle name="20% - Accent1 5 4 3 2 2" xfId="52954"/>
    <cellStyle name="20% - Accent1 5 4 3 3" xfId="35907"/>
    <cellStyle name="20% - Accent1 5 4 4" xfId="11890"/>
    <cellStyle name="20% - Accent1 5 4 4 2" xfId="18321"/>
    <cellStyle name="20% - Accent1 5 4 4 2 2" xfId="47182"/>
    <cellStyle name="20% - Accent1 5 4 4 3" xfId="40751"/>
    <cellStyle name="20% - Accent1 5 4 5" xfId="15641"/>
    <cellStyle name="20% - Accent1 5 4 5 2" xfId="44502"/>
    <cellStyle name="20% - Accent1 5 4 6" xfId="29866"/>
    <cellStyle name="20% - Accent1 5 5" xfId="1210"/>
    <cellStyle name="20% - Accent1 5 5 2" xfId="4097"/>
    <cellStyle name="20% - Accent1 5 5 2 2" xfId="10138"/>
    <cellStyle name="20% - Accent1 5 5 2 2 2" xfId="27185"/>
    <cellStyle name="20% - Accent1 5 5 2 2 2 2" xfId="56046"/>
    <cellStyle name="20% - Accent1 5 5 2 2 3" xfId="38999"/>
    <cellStyle name="20% - Accent1 5 5 2 3" xfId="21207"/>
    <cellStyle name="20% - Accent1 5 5 2 3 2" xfId="50068"/>
    <cellStyle name="20% - Accent1 5 5 2 4" xfId="32958"/>
    <cellStyle name="20% - Accent1 5 5 3" xfId="7252"/>
    <cellStyle name="20% - Accent1 5 5 3 2" xfId="24299"/>
    <cellStyle name="20% - Accent1 5 5 3 2 2" xfId="53160"/>
    <cellStyle name="20% - Accent1 5 5 3 3" xfId="36113"/>
    <cellStyle name="20% - Accent1 5 5 4" xfId="14271"/>
    <cellStyle name="20% - Accent1 5 5 4 2" xfId="18527"/>
    <cellStyle name="20% - Accent1 5 5 4 2 2" xfId="47388"/>
    <cellStyle name="20% - Accent1 5 5 4 3" xfId="43132"/>
    <cellStyle name="20% - Accent1 5 5 5" xfId="15847"/>
    <cellStyle name="20% - Accent1 5 5 5 2" xfId="44708"/>
    <cellStyle name="20% - Accent1 5 5 6" xfId="30072"/>
    <cellStyle name="20% - Accent1 5 6" xfId="1416"/>
    <cellStyle name="20% - Accent1 5 6 2" xfId="4303"/>
    <cellStyle name="20% - Accent1 5 6 2 2" xfId="10344"/>
    <cellStyle name="20% - Accent1 5 6 2 2 2" xfId="27391"/>
    <cellStyle name="20% - Accent1 5 6 2 2 2 2" xfId="56252"/>
    <cellStyle name="20% - Accent1 5 6 2 2 3" xfId="39205"/>
    <cellStyle name="20% - Accent1 5 6 2 3" xfId="21413"/>
    <cellStyle name="20% - Accent1 5 6 2 3 2" xfId="50274"/>
    <cellStyle name="20% - Accent1 5 6 2 4" xfId="33164"/>
    <cellStyle name="20% - Accent1 5 6 3" xfId="7458"/>
    <cellStyle name="20% - Accent1 5 6 3 2" xfId="24505"/>
    <cellStyle name="20% - Accent1 5 6 3 2 2" xfId="53366"/>
    <cellStyle name="20% - Accent1 5 6 3 3" xfId="36319"/>
    <cellStyle name="20% - Accent1 5 6 4" xfId="13560"/>
    <cellStyle name="20% - Accent1 5 6 4 2" xfId="18733"/>
    <cellStyle name="20% - Accent1 5 6 4 2 2" xfId="47594"/>
    <cellStyle name="20% - Accent1 5 6 4 3" xfId="42421"/>
    <cellStyle name="20% - Accent1 5 6 5" xfId="16053"/>
    <cellStyle name="20% - Accent1 5 6 5 2" xfId="44914"/>
    <cellStyle name="20% - Accent1 5 6 6" xfId="30278"/>
    <cellStyle name="20% - Accent1 5 7" xfId="1622"/>
    <cellStyle name="20% - Accent1 5 7 2" xfId="4509"/>
    <cellStyle name="20% - Accent1 5 7 2 2" xfId="10550"/>
    <cellStyle name="20% - Accent1 5 7 2 2 2" xfId="27597"/>
    <cellStyle name="20% - Accent1 5 7 2 2 2 2" xfId="56458"/>
    <cellStyle name="20% - Accent1 5 7 2 2 3" xfId="39411"/>
    <cellStyle name="20% - Accent1 5 7 2 3" xfId="21619"/>
    <cellStyle name="20% - Accent1 5 7 2 3 2" xfId="50480"/>
    <cellStyle name="20% - Accent1 5 7 2 4" xfId="33370"/>
    <cellStyle name="20% - Accent1 5 7 3" xfId="7664"/>
    <cellStyle name="20% - Accent1 5 7 3 2" xfId="24711"/>
    <cellStyle name="20% - Accent1 5 7 3 2 2" xfId="53572"/>
    <cellStyle name="20% - Accent1 5 7 3 3" xfId="36525"/>
    <cellStyle name="20% - Accent1 5 7 4" xfId="6086"/>
    <cellStyle name="20% - Accent1 5 7 4 2" xfId="18939"/>
    <cellStyle name="20% - Accent1 5 7 4 2 2" xfId="47800"/>
    <cellStyle name="20% - Accent1 5 7 4 3" xfId="34947"/>
    <cellStyle name="20% - Accent1 5 7 5" xfId="16259"/>
    <cellStyle name="20% - Accent1 5 7 5 2" xfId="45120"/>
    <cellStyle name="20% - Accent1 5 7 6" xfId="30484"/>
    <cellStyle name="20% - Accent1 5 8" xfId="1828"/>
    <cellStyle name="20% - Accent1 5 8 2" xfId="4715"/>
    <cellStyle name="20% - Accent1 5 8 2 2" xfId="10756"/>
    <cellStyle name="20% - Accent1 5 8 2 2 2" xfId="27803"/>
    <cellStyle name="20% - Accent1 5 8 2 2 2 2" xfId="56664"/>
    <cellStyle name="20% - Accent1 5 8 2 2 3" xfId="39617"/>
    <cellStyle name="20% - Accent1 5 8 2 3" xfId="21825"/>
    <cellStyle name="20% - Accent1 5 8 2 3 2" xfId="50686"/>
    <cellStyle name="20% - Accent1 5 8 2 4" xfId="33576"/>
    <cellStyle name="20% - Accent1 5 8 3" xfId="7870"/>
    <cellStyle name="20% - Accent1 5 8 3 2" xfId="24917"/>
    <cellStyle name="20% - Accent1 5 8 3 2 2" xfId="53778"/>
    <cellStyle name="20% - Accent1 5 8 3 3" xfId="36731"/>
    <cellStyle name="20% - Accent1 5 8 4" xfId="12219"/>
    <cellStyle name="20% - Accent1 5 8 4 2" xfId="19145"/>
    <cellStyle name="20% - Accent1 5 8 4 2 2" xfId="48006"/>
    <cellStyle name="20% - Accent1 5 8 4 3" xfId="41080"/>
    <cellStyle name="20% - Accent1 5 8 5" xfId="16465"/>
    <cellStyle name="20% - Accent1 5 8 5 2" xfId="45326"/>
    <cellStyle name="20% - Accent1 5 8 6" xfId="30690"/>
    <cellStyle name="20% - Accent1 5 9" xfId="2034"/>
    <cellStyle name="20% - Accent1 5 9 2" xfId="4921"/>
    <cellStyle name="20% - Accent1 5 9 2 2" xfId="10962"/>
    <cellStyle name="20% - Accent1 5 9 2 2 2" xfId="28009"/>
    <cellStyle name="20% - Accent1 5 9 2 2 2 2" xfId="56870"/>
    <cellStyle name="20% - Accent1 5 9 2 2 3" xfId="39823"/>
    <cellStyle name="20% - Accent1 5 9 2 3" xfId="22031"/>
    <cellStyle name="20% - Accent1 5 9 2 3 2" xfId="50892"/>
    <cellStyle name="20% - Accent1 5 9 2 4" xfId="33782"/>
    <cellStyle name="20% - Accent1 5 9 3" xfId="8076"/>
    <cellStyle name="20% - Accent1 5 9 3 2" xfId="25123"/>
    <cellStyle name="20% - Accent1 5 9 3 2 2" xfId="53984"/>
    <cellStyle name="20% - Accent1 5 9 3 3" xfId="36937"/>
    <cellStyle name="20% - Accent1 5 9 4" xfId="13967"/>
    <cellStyle name="20% - Accent1 5 9 4 2" xfId="19351"/>
    <cellStyle name="20% - Accent1 5 9 4 2 2" xfId="48212"/>
    <cellStyle name="20% - Accent1 5 9 4 3" xfId="42828"/>
    <cellStyle name="20% - Accent1 5 9 5" xfId="16671"/>
    <cellStyle name="20% - Accent1 5 9 5 2" xfId="45532"/>
    <cellStyle name="20% - Accent1 5 9 6" xfId="30896"/>
    <cellStyle name="20% - Accent1 6" xfId="180"/>
    <cellStyle name="20% - Accent1 6 2" xfId="592"/>
    <cellStyle name="20% - Accent1 6 2 2" xfId="3479"/>
    <cellStyle name="20% - Accent1 6 2 2 2" xfId="9520"/>
    <cellStyle name="20% - Accent1 6 2 2 2 2" xfId="26567"/>
    <cellStyle name="20% - Accent1 6 2 2 2 2 2" xfId="55428"/>
    <cellStyle name="20% - Accent1 6 2 2 2 3" xfId="38381"/>
    <cellStyle name="20% - Accent1 6 2 2 3" xfId="20589"/>
    <cellStyle name="20% - Accent1 6 2 2 3 2" xfId="49450"/>
    <cellStyle name="20% - Accent1 6 2 2 4" xfId="32340"/>
    <cellStyle name="20% - Accent1 6 2 3" xfId="6634"/>
    <cellStyle name="20% - Accent1 6 2 3 2" xfId="23681"/>
    <cellStyle name="20% - Accent1 6 2 3 2 2" xfId="52542"/>
    <cellStyle name="20% - Accent1 6 2 3 3" xfId="35495"/>
    <cellStyle name="20% - Accent1 6 2 4" xfId="12744"/>
    <cellStyle name="20% - Accent1 6 2 4 2" xfId="17909"/>
    <cellStyle name="20% - Accent1 6 2 4 2 2" xfId="46770"/>
    <cellStyle name="20% - Accent1 6 2 4 3" xfId="41605"/>
    <cellStyle name="20% - Accent1 6 2 5" xfId="15229"/>
    <cellStyle name="20% - Accent1 6 2 5 2" xfId="44090"/>
    <cellStyle name="20% - Accent1 6 2 6" xfId="29454"/>
    <cellStyle name="20% - Accent1 6 3" xfId="2137"/>
    <cellStyle name="20% - Accent1 6 3 2" xfId="5024"/>
    <cellStyle name="20% - Accent1 6 3 2 2" xfId="11065"/>
    <cellStyle name="20% - Accent1 6 3 2 2 2" xfId="28112"/>
    <cellStyle name="20% - Accent1 6 3 2 2 2 2" xfId="56973"/>
    <cellStyle name="20% - Accent1 6 3 2 2 3" xfId="39926"/>
    <cellStyle name="20% - Accent1 6 3 2 3" xfId="22134"/>
    <cellStyle name="20% - Accent1 6 3 2 3 2" xfId="50995"/>
    <cellStyle name="20% - Accent1 6 3 2 4" xfId="33885"/>
    <cellStyle name="20% - Accent1 6 3 3" xfId="8179"/>
    <cellStyle name="20% - Accent1 6 3 3 2" xfId="25226"/>
    <cellStyle name="20% - Accent1 6 3 3 2 2" xfId="54087"/>
    <cellStyle name="20% - Accent1 6 3 3 3" xfId="37040"/>
    <cellStyle name="20% - Accent1 6 3 4" xfId="13568"/>
    <cellStyle name="20% - Accent1 6 3 4 2" xfId="19454"/>
    <cellStyle name="20% - Accent1 6 3 4 2 2" xfId="48315"/>
    <cellStyle name="20% - Accent1 6 3 4 3" xfId="42429"/>
    <cellStyle name="20% - Accent1 6 3 5" xfId="16774"/>
    <cellStyle name="20% - Accent1 6 3 5 2" xfId="45635"/>
    <cellStyle name="20% - Accent1 6 3 6" xfId="30999"/>
    <cellStyle name="20% - Accent1 6 4" xfId="3067"/>
    <cellStyle name="20% - Accent1 6 4 2" xfId="9108"/>
    <cellStyle name="20% - Accent1 6 4 2 2" xfId="26155"/>
    <cellStyle name="20% - Accent1 6 4 2 2 2" xfId="55016"/>
    <cellStyle name="20% - Accent1 6 4 2 3" xfId="37969"/>
    <cellStyle name="20% - Accent1 6 4 3" xfId="20177"/>
    <cellStyle name="20% - Accent1 6 4 3 2" xfId="49038"/>
    <cellStyle name="20% - Accent1 6 4 4" xfId="31928"/>
    <cellStyle name="20% - Accent1 6 5" xfId="6222"/>
    <cellStyle name="20% - Accent1 6 5 2" xfId="23269"/>
    <cellStyle name="20% - Accent1 6 5 2 2" xfId="52130"/>
    <cellStyle name="20% - Accent1 6 5 3" xfId="35083"/>
    <cellStyle name="20% - Accent1 6 6" xfId="12805"/>
    <cellStyle name="20% - Accent1 6 6 2" xfId="17600"/>
    <cellStyle name="20% - Accent1 6 6 2 2" xfId="46461"/>
    <cellStyle name="20% - Accent1 6 6 3" xfId="41666"/>
    <cellStyle name="20% - Accent1 6 7" xfId="14817"/>
    <cellStyle name="20% - Accent1 6 7 2" xfId="43678"/>
    <cellStyle name="20% - Accent1 6 8" xfId="29042"/>
    <cellStyle name="20% - Accent1 7" xfId="386"/>
    <cellStyle name="20% - Accent1 7 2" xfId="3273"/>
    <cellStyle name="20% - Accent1 7 2 2" xfId="9314"/>
    <cellStyle name="20% - Accent1 7 2 2 2" xfId="26361"/>
    <cellStyle name="20% - Accent1 7 2 2 2 2" xfId="55222"/>
    <cellStyle name="20% - Accent1 7 2 2 3" xfId="38175"/>
    <cellStyle name="20% - Accent1 7 2 3" xfId="20383"/>
    <cellStyle name="20% - Accent1 7 2 3 2" xfId="49244"/>
    <cellStyle name="20% - Accent1 7 2 4" xfId="32134"/>
    <cellStyle name="20% - Accent1 7 3" xfId="6428"/>
    <cellStyle name="20% - Accent1 7 3 2" xfId="23475"/>
    <cellStyle name="20% - Accent1 7 3 2 2" xfId="52336"/>
    <cellStyle name="20% - Accent1 7 3 3" xfId="35289"/>
    <cellStyle name="20% - Accent1 7 4" xfId="13784"/>
    <cellStyle name="20% - Accent1 7 4 2" xfId="17703"/>
    <cellStyle name="20% - Accent1 7 4 2 2" xfId="46564"/>
    <cellStyle name="20% - Accent1 7 4 3" xfId="42645"/>
    <cellStyle name="20% - Accent1 7 5" xfId="15023"/>
    <cellStyle name="20% - Accent1 7 5 2" xfId="43884"/>
    <cellStyle name="20% - Accent1 7 6" xfId="29248"/>
    <cellStyle name="20% - Accent1 8" xfId="695"/>
    <cellStyle name="20% - Accent1 8 2" xfId="3582"/>
    <cellStyle name="20% - Accent1 8 2 2" xfId="9623"/>
    <cellStyle name="20% - Accent1 8 2 2 2" xfId="26670"/>
    <cellStyle name="20% - Accent1 8 2 2 2 2" xfId="55531"/>
    <cellStyle name="20% - Accent1 8 2 2 3" xfId="38484"/>
    <cellStyle name="20% - Accent1 8 2 3" xfId="20692"/>
    <cellStyle name="20% - Accent1 8 2 3 2" xfId="49553"/>
    <cellStyle name="20% - Accent1 8 2 4" xfId="32443"/>
    <cellStyle name="20% - Accent1 8 3" xfId="6737"/>
    <cellStyle name="20% - Accent1 8 3 2" xfId="23784"/>
    <cellStyle name="20% - Accent1 8 3 2 2" xfId="52645"/>
    <cellStyle name="20% - Accent1 8 3 3" xfId="35598"/>
    <cellStyle name="20% - Accent1 8 4" xfId="14359"/>
    <cellStyle name="20% - Accent1 8 4 2" xfId="18012"/>
    <cellStyle name="20% - Accent1 8 4 2 2" xfId="46873"/>
    <cellStyle name="20% - Accent1 8 4 3" xfId="43220"/>
    <cellStyle name="20% - Accent1 8 5" xfId="15332"/>
    <cellStyle name="20% - Accent1 8 5 2" xfId="44193"/>
    <cellStyle name="20% - Accent1 8 6" xfId="29557"/>
    <cellStyle name="20% - Accent1 9" xfId="901"/>
    <cellStyle name="20% - Accent1 9 2" xfId="3788"/>
    <cellStyle name="20% - Accent1 9 2 2" xfId="9829"/>
    <cellStyle name="20% - Accent1 9 2 2 2" xfId="26876"/>
    <cellStyle name="20% - Accent1 9 2 2 2 2" xfId="55737"/>
    <cellStyle name="20% - Accent1 9 2 2 3" xfId="38690"/>
    <cellStyle name="20% - Accent1 9 2 3" xfId="20898"/>
    <cellStyle name="20% - Accent1 9 2 3 2" xfId="49759"/>
    <cellStyle name="20% - Accent1 9 2 4" xfId="32649"/>
    <cellStyle name="20% - Accent1 9 3" xfId="6943"/>
    <cellStyle name="20% - Accent1 9 3 2" xfId="23990"/>
    <cellStyle name="20% - Accent1 9 3 2 2" xfId="52851"/>
    <cellStyle name="20% - Accent1 9 3 3" xfId="35804"/>
    <cellStyle name="20% - Accent1 9 4" xfId="12190"/>
    <cellStyle name="20% - Accent1 9 4 2" xfId="18218"/>
    <cellStyle name="20% - Accent1 9 4 2 2" xfId="47079"/>
    <cellStyle name="20% - Accent1 9 4 3" xfId="41051"/>
    <cellStyle name="20% - Accent1 9 5" xfId="15538"/>
    <cellStyle name="20% - Accent1 9 5 2" xfId="44399"/>
    <cellStyle name="20% - Accent1 9 6" xfId="29763"/>
    <cellStyle name="20% - Accent2" xfId="70" builtinId="34" customBuiltin="1"/>
    <cellStyle name="20% - Accent2 10" xfId="1109"/>
    <cellStyle name="20% - Accent2 10 2" xfId="3996"/>
    <cellStyle name="20% - Accent2 10 2 2" xfId="10037"/>
    <cellStyle name="20% - Accent2 10 2 2 2" xfId="27084"/>
    <cellStyle name="20% - Accent2 10 2 2 2 2" xfId="55945"/>
    <cellStyle name="20% - Accent2 10 2 2 3" xfId="38898"/>
    <cellStyle name="20% - Accent2 10 2 3" xfId="21106"/>
    <cellStyle name="20% - Accent2 10 2 3 2" xfId="49967"/>
    <cellStyle name="20% - Accent2 10 2 4" xfId="32857"/>
    <cellStyle name="20% - Accent2 10 3" xfId="7151"/>
    <cellStyle name="20% - Accent2 10 3 2" xfId="24198"/>
    <cellStyle name="20% - Accent2 10 3 2 2" xfId="53059"/>
    <cellStyle name="20% - Accent2 10 3 3" xfId="36012"/>
    <cellStyle name="20% - Accent2 10 4" xfId="13740"/>
    <cellStyle name="20% - Accent2 10 4 2" xfId="18426"/>
    <cellStyle name="20% - Accent2 10 4 2 2" xfId="47287"/>
    <cellStyle name="20% - Accent2 10 4 3" xfId="42601"/>
    <cellStyle name="20% - Accent2 10 5" xfId="15746"/>
    <cellStyle name="20% - Accent2 10 5 2" xfId="44607"/>
    <cellStyle name="20% - Accent2 10 6" xfId="29971"/>
    <cellStyle name="20% - Accent2 11" xfId="1315"/>
    <cellStyle name="20% - Accent2 11 2" xfId="4202"/>
    <cellStyle name="20% - Accent2 11 2 2" xfId="10243"/>
    <cellStyle name="20% - Accent2 11 2 2 2" xfId="27290"/>
    <cellStyle name="20% - Accent2 11 2 2 2 2" xfId="56151"/>
    <cellStyle name="20% - Accent2 11 2 2 3" xfId="39104"/>
    <cellStyle name="20% - Accent2 11 2 3" xfId="21312"/>
    <cellStyle name="20% - Accent2 11 2 3 2" xfId="50173"/>
    <cellStyle name="20% - Accent2 11 2 4" xfId="33063"/>
    <cellStyle name="20% - Accent2 11 3" xfId="7357"/>
    <cellStyle name="20% - Accent2 11 3 2" xfId="24404"/>
    <cellStyle name="20% - Accent2 11 3 2 2" xfId="53265"/>
    <cellStyle name="20% - Accent2 11 3 3" xfId="36218"/>
    <cellStyle name="20% - Accent2 11 4" xfId="13665"/>
    <cellStyle name="20% - Accent2 11 4 2" xfId="18632"/>
    <cellStyle name="20% - Accent2 11 4 2 2" xfId="47493"/>
    <cellStyle name="20% - Accent2 11 4 3" xfId="42526"/>
    <cellStyle name="20% - Accent2 11 5" xfId="15952"/>
    <cellStyle name="20% - Accent2 11 5 2" xfId="44813"/>
    <cellStyle name="20% - Accent2 11 6" xfId="30177"/>
    <cellStyle name="20% - Accent2 12" xfId="1521"/>
    <cellStyle name="20% - Accent2 12 2" xfId="4408"/>
    <cellStyle name="20% - Accent2 12 2 2" xfId="10449"/>
    <cellStyle name="20% - Accent2 12 2 2 2" xfId="27496"/>
    <cellStyle name="20% - Accent2 12 2 2 2 2" xfId="56357"/>
    <cellStyle name="20% - Accent2 12 2 2 3" xfId="39310"/>
    <cellStyle name="20% - Accent2 12 2 3" xfId="21518"/>
    <cellStyle name="20% - Accent2 12 2 3 2" xfId="50379"/>
    <cellStyle name="20% - Accent2 12 2 4" xfId="33269"/>
    <cellStyle name="20% - Accent2 12 3" xfId="7563"/>
    <cellStyle name="20% - Accent2 12 3 2" xfId="24610"/>
    <cellStyle name="20% - Accent2 12 3 2 2" xfId="53471"/>
    <cellStyle name="20% - Accent2 12 3 3" xfId="36424"/>
    <cellStyle name="20% - Accent2 12 4" xfId="11912"/>
    <cellStyle name="20% - Accent2 12 4 2" xfId="18838"/>
    <cellStyle name="20% - Accent2 12 4 2 2" xfId="47699"/>
    <cellStyle name="20% - Accent2 12 4 3" xfId="40773"/>
    <cellStyle name="20% - Accent2 12 5" xfId="16158"/>
    <cellStyle name="20% - Accent2 12 5 2" xfId="45019"/>
    <cellStyle name="20% - Accent2 12 6" xfId="30383"/>
    <cellStyle name="20% - Accent2 13" xfId="1727"/>
    <cellStyle name="20% - Accent2 13 2" xfId="4614"/>
    <cellStyle name="20% - Accent2 13 2 2" xfId="10655"/>
    <cellStyle name="20% - Accent2 13 2 2 2" xfId="27702"/>
    <cellStyle name="20% - Accent2 13 2 2 2 2" xfId="56563"/>
    <cellStyle name="20% - Accent2 13 2 2 3" xfId="39516"/>
    <cellStyle name="20% - Accent2 13 2 3" xfId="21724"/>
    <cellStyle name="20% - Accent2 13 2 3 2" xfId="50585"/>
    <cellStyle name="20% - Accent2 13 2 4" xfId="33475"/>
    <cellStyle name="20% - Accent2 13 3" xfId="7769"/>
    <cellStyle name="20% - Accent2 13 3 2" xfId="24816"/>
    <cellStyle name="20% - Accent2 13 3 2 2" xfId="53677"/>
    <cellStyle name="20% - Accent2 13 3 3" xfId="36630"/>
    <cellStyle name="20% - Accent2 13 4" xfId="13443"/>
    <cellStyle name="20% - Accent2 13 4 2" xfId="19044"/>
    <cellStyle name="20% - Accent2 13 4 2 2" xfId="47905"/>
    <cellStyle name="20% - Accent2 13 4 3" xfId="42304"/>
    <cellStyle name="20% - Accent2 13 5" xfId="16364"/>
    <cellStyle name="20% - Accent2 13 5 2" xfId="45225"/>
    <cellStyle name="20% - Accent2 13 6" xfId="30589"/>
    <cellStyle name="20% - Accent2 14" xfId="1933"/>
    <cellStyle name="20% - Accent2 14 2" xfId="4820"/>
    <cellStyle name="20% - Accent2 14 2 2" xfId="10861"/>
    <cellStyle name="20% - Accent2 14 2 2 2" xfId="27908"/>
    <cellStyle name="20% - Accent2 14 2 2 2 2" xfId="56769"/>
    <cellStyle name="20% - Accent2 14 2 2 3" xfId="39722"/>
    <cellStyle name="20% - Accent2 14 2 3" xfId="21930"/>
    <cellStyle name="20% - Accent2 14 2 3 2" xfId="50791"/>
    <cellStyle name="20% - Accent2 14 2 4" xfId="33681"/>
    <cellStyle name="20% - Accent2 14 3" xfId="7975"/>
    <cellStyle name="20% - Accent2 14 3 2" xfId="25022"/>
    <cellStyle name="20% - Accent2 14 3 2 2" xfId="53883"/>
    <cellStyle name="20% - Accent2 14 3 3" xfId="36836"/>
    <cellStyle name="20% - Accent2 14 4" xfId="12229"/>
    <cellStyle name="20% - Accent2 14 4 2" xfId="19250"/>
    <cellStyle name="20% - Accent2 14 4 2 2" xfId="48111"/>
    <cellStyle name="20% - Accent2 14 4 3" xfId="41090"/>
    <cellStyle name="20% - Accent2 14 5" xfId="16570"/>
    <cellStyle name="20% - Accent2 14 5 2" xfId="45431"/>
    <cellStyle name="20% - Accent2 14 6" xfId="30795"/>
    <cellStyle name="20% - Accent2 15" xfId="2345"/>
    <cellStyle name="20% - Accent2 15 2" xfId="5232"/>
    <cellStyle name="20% - Accent2 15 2 2" xfId="11273"/>
    <cellStyle name="20% - Accent2 15 2 2 2" xfId="28320"/>
    <cellStyle name="20% - Accent2 15 2 2 2 2" xfId="57181"/>
    <cellStyle name="20% - Accent2 15 2 2 3" xfId="40134"/>
    <cellStyle name="20% - Accent2 15 2 3" xfId="22342"/>
    <cellStyle name="20% - Accent2 15 2 3 2" xfId="51203"/>
    <cellStyle name="20% - Accent2 15 2 4" xfId="34093"/>
    <cellStyle name="20% - Accent2 15 3" xfId="8387"/>
    <cellStyle name="20% - Accent2 15 3 2" xfId="25434"/>
    <cellStyle name="20% - Accent2 15 3 2 2" xfId="54295"/>
    <cellStyle name="20% - Accent2 15 3 3" xfId="37248"/>
    <cellStyle name="20% - Accent2 15 4" xfId="11965"/>
    <cellStyle name="20% - Accent2 15 4 2" xfId="19662"/>
    <cellStyle name="20% - Accent2 15 4 2 2" xfId="48523"/>
    <cellStyle name="20% - Accent2 15 4 3" xfId="40826"/>
    <cellStyle name="20% - Accent2 15 5" xfId="16982"/>
    <cellStyle name="20% - Accent2 15 5 2" xfId="45843"/>
    <cellStyle name="20% - Accent2 15 6" xfId="31207"/>
    <cellStyle name="20% - Accent2 16" xfId="2554"/>
    <cellStyle name="20% - Accent2 16 2" xfId="5440"/>
    <cellStyle name="20% - Accent2 16 2 2" xfId="11481"/>
    <cellStyle name="20% - Accent2 16 2 2 2" xfId="28528"/>
    <cellStyle name="20% - Accent2 16 2 2 2 2" xfId="57389"/>
    <cellStyle name="20% - Accent2 16 2 2 3" xfId="40342"/>
    <cellStyle name="20% - Accent2 16 2 3" xfId="22550"/>
    <cellStyle name="20% - Accent2 16 2 3 2" xfId="51411"/>
    <cellStyle name="20% - Accent2 16 2 4" xfId="34301"/>
    <cellStyle name="20% - Accent2 16 3" xfId="8595"/>
    <cellStyle name="20% - Accent2 16 3 2" xfId="25642"/>
    <cellStyle name="20% - Accent2 16 3 2 2" xfId="54503"/>
    <cellStyle name="20% - Accent2 16 3 3" xfId="37456"/>
    <cellStyle name="20% - Accent2 16 4" xfId="14289"/>
    <cellStyle name="20% - Accent2 16 4 2" xfId="19870"/>
    <cellStyle name="20% - Accent2 16 4 2 2" xfId="48731"/>
    <cellStyle name="20% - Accent2 16 4 3" xfId="43150"/>
    <cellStyle name="20% - Accent2 16 5" xfId="17190"/>
    <cellStyle name="20% - Accent2 16 5 2" xfId="46051"/>
    <cellStyle name="20% - Accent2 16 6" xfId="31415"/>
    <cellStyle name="20% - Accent2 17" xfId="2966"/>
    <cellStyle name="20% - Accent2 17 2" xfId="9007"/>
    <cellStyle name="20% - Accent2 17 2 2" xfId="26054"/>
    <cellStyle name="20% - Accent2 17 2 2 2" xfId="54915"/>
    <cellStyle name="20% - Accent2 17 2 3" xfId="37868"/>
    <cellStyle name="20% - Accent2 17 3" xfId="13368"/>
    <cellStyle name="20% - Accent2 17 3 2" xfId="20076"/>
    <cellStyle name="20% - Accent2 17 3 2 2" xfId="48937"/>
    <cellStyle name="20% - Accent2 17 3 3" xfId="42229"/>
    <cellStyle name="20% - Accent2 17 4" xfId="14716"/>
    <cellStyle name="20% - Accent2 17 4 2" xfId="43577"/>
    <cellStyle name="20% - Accent2 17 5" xfId="31827"/>
    <cellStyle name="20% - Accent2 18" xfId="2760"/>
    <cellStyle name="20% - Accent2 18 2" xfId="8801"/>
    <cellStyle name="20% - Accent2 18 2 2" xfId="25848"/>
    <cellStyle name="20% - Accent2 18 2 2 2" xfId="54709"/>
    <cellStyle name="20% - Accent2 18 2 3" xfId="37662"/>
    <cellStyle name="20% - Accent2 18 3" xfId="17396"/>
    <cellStyle name="20% - Accent2 18 3 2" xfId="46257"/>
    <cellStyle name="20% - Accent2 18 4" xfId="31621"/>
    <cellStyle name="20% - Accent2 19" xfId="5646"/>
    <cellStyle name="20% - Accent2 19 2" xfId="11687"/>
    <cellStyle name="20% - Accent2 19 2 2" xfId="28734"/>
    <cellStyle name="20% - Accent2 19 2 2 2" xfId="57595"/>
    <cellStyle name="20% - Accent2 19 2 3" xfId="40548"/>
    <cellStyle name="20% - Accent2 19 3" xfId="22756"/>
    <cellStyle name="20% - Accent2 19 3 2" xfId="51617"/>
    <cellStyle name="20% - Accent2 19 4" xfId="34507"/>
    <cellStyle name="20% - Accent2 2" xfId="93"/>
    <cellStyle name="20% - Accent2 2 10" xfId="1329"/>
    <cellStyle name="20% - Accent2 2 10 2" xfId="4216"/>
    <cellStyle name="20% - Accent2 2 10 2 2" xfId="10257"/>
    <cellStyle name="20% - Accent2 2 10 2 2 2" xfId="27304"/>
    <cellStyle name="20% - Accent2 2 10 2 2 2 2" xfId="56165"/>
    <cellStyle name="20% - Accent2 2 10 2 2 3" xfId="39118"/>
    <cellStyle name="20% - Accent2 2 10 2 3" xfId="21326"/>
    <cellStyle name="20% - Accent2 2 10 2 3 2" xfId="50187"/>
    <cellStyle name="20% - Accent2 2 10 2 4" xfId="33077"/>
    <cellStyle name="20% - Accent2 2 10 3" xfId="7371"/>
    <cellStyle name="20% - Accent2 2 10 3 2" xfId="24418"/>
    <cellStyle name="20% - Accent2 2 10 3 2 2" xfId="53279"/>
    <cellStyle name="20% - Accent2 2 10 3 3" xfId="36232"/>
    <cellStyle name="20% - Accent2 2 10 4" xfId="12215"/>
    <cellStyle name="20% - Accent2 2 10 4 2" xfId="18646"/>
    <cellStyle name="20% - Accent2 2 10 4 2 2" xfId="47507"/>
    <cellStyle name="20% - Accent2 2 10 4 3" xfId="41076"/>
    <cellStyle name="20% - Accent2 2 10 5" xfId="15966"/>
    <cellStyle name="20% - Accent2 2 10 5 2" xfId="44827"/>
    <cellStyle name="20% - Accent2 2 10 6" xfId="30191"/>
    <cellStyle name="20% - Accent2 2 11" xfId="1535"/>
    <cellStyle name="20% - Accent2 2 11 2" xfId="4422"/>
    <cellStyle name="20% - Accent2 2 11 2 2" xfId="10463"/>
    <cellStyle name="20% - Accent2 2 11 2 2 2" xfId="27510"/>
    <cellStyle name="20% - Accent2 2 11 2 2 2 2" xfId="56371"/>
    <cellStyle name="20% - Accent2 2 11 2 2 3" xfId="39324"/>
    <cellStyle name="20% - Accent2 2 11 2 3" xfId="21532"/>
    <cellStyle name="20% - Accent2 2 11 2 3 2" xfId="50393"/>
    <cellStyle name="20% - Accent2 2 11 2 4" xfId="33283"/>
    <cellStyle name="20% - Accent2 2 11 3" xfId="7577"/>
    <cellStyle name="20% - Accent2 2 11 3 2" xfId="24624"/>
    <cellStyle name="20% - Accent2 2 11 3 2 2" xfId="53485"/>
    <cellStyle name="20% - Accent2 2 11 3 3" xfId="36438"/>
    <cellStyle name="20% - Accent2 2 11 4" xfId="13565"/>
    <cellStyle name="20% - Accent2 2 11 4 2" xfId="18852"/>
    <cellStyle name="20% - Accent2 2 11 4 2 2" xfId="47713"/>
    <cellStyle name="20% - Accent2 2 11 4 3" xfId="42426"/>
    <cellStyle name="20% - Accent2 2 11 5" xfId="16172"/>
    <cellStyle name="20% - Accent2 2 11 5 2" xfId="45033"/>
    <cellStyle name="20% - Accent2 2 11 6" xfId="30397"/>
    <cellStyle name="20% - Accent2 2 12" xfId="1741"/>
    <cellStyle name="20% - Accent2 2 12 2" xfId="4628"/>
    <cellStyle name="20% - Accent2 2 12 2 2" xfId="10669"/>
    <cellStyle name="20% - Accent2 2 12 2 2 2" xfId="27716"/>
    <cellStyle name="20% - Accent2 2 12 2 2 2 2" xfId="56577"/>
    <cellStyle name="20% - Accent2 2 12 2 2 3" xfId="39530"/>
    <cellStyle name="20% - Accent2 2 12 2 3" xfId="21738"/>
    <cellStyle name="20% - Accent2 2 12 2 3 2" xfId="50599"/>
    <cellStyle name="20% - Accent2 2 12 2 4" xfId="33489"/>
    <cellStyle name="20% - Accent2 2 12 3" xfId="7783"/>
    <cellStyle name="20% - Accent2 2 12 3 2" xfId="24830"/>
    <cellStyle name="20% - Accent2 2 12 3 2 2" xfId="53691"/>
    <cellStyle name="20% - Accent2 2 12 3 3" xfId="36644"/>
    <cellStyle name="20% - Accent2 2 12 4" xfId="12395"/>
    <cellStyle name="20% - Accent2 2 12 4 2" xfId="19058"/>
    <cellStyle name="20% - Accent2 2 12 4 2 2" xfId="47919"/>
    <cellStyle name="20% - Accent2 2 12 4 3" xfId="41256"/>
    <cellStyle name="20% - Accent2 2 12 5" xfId="16378"/>
    <cellStyle name="20% - Accent2 2 12 5 2" xfId="45239"/>
    <cellStyle name="20% - Accent2 2 12 6" xfId="30603"/>
    <cellStyle name="20% - Accent2 2 13" xfId="1947"/>
    <cellStyle name="20% - Accent2 2 13 2" xfId="4834"/>
    <cellStyle name="20% - Accent2 2 13 2 2" xfId="10875"/>
    <cellStyle name="20% - Accent2 2 13 2 2 2" xfId="27922"/>
    <cellStyle name="20% - Accent2 2 13 2 2 2 2" xfId="56783"/>
    <cellStyle name="20% - Accent2 2 13 2 2 3" xfId="39736"/>
    <cellStyle name="20% - Accent2 2 13 2 3" xfId="21944"/>
    <cellStyle name="20% - Accent2 2 13 2 3 2" xfId="50805"/>
    <cellStyle name="20% - Accent2 2 13 2 4" xfId="33695"/>
    <cellStyle name="20% - Accent2 2 13 3" xfId="7989"/>
    <cellStyle name="20% - Accent2 2 13 3 2" xfId="25036"/>
    <cellStyle name="20% - Accent2 2 13 3 2 2" xfId="53897"/>
    <cellStyle name="20% - Accent2 2 13 3 3" xfId="36850"/>
    <cellStyle name="20% - Accent2 2 13 4" xfId="12684"/>
    <cellStyle name="20% - Accent2 2 13 4 2" xfId="19264"/>
    <cellStyle name="20% - Accent2 2 13 4 2 2" xfId="48125"/>
    <cellStyle name="20% - Accent2 2 13 4 3" xfId="41545"/>
    <cellStyle name="20% - Accent2 2 13 5" xfId="16584"/>
    <cellStyle name="20% - Accent2 2 13 5 2" xfId="45445"/>
    <cellStyle name="20% - Accent2 2 13 6" xfId="30809"/>
    <cellStyle name="20% - Accent2 2 14" xfId="2359"/>
    <cellStyle name="20% - Accent2 2 14 2" xfId="5246"/>
    <cellStyle name="20% - Accent2 2 14 2 2" xfId="11287"/>
    <cellStyle name="20% - Accent2 2 14 2 2 2" xfId="28334"/>
    <cellStyle name="20% - Accent2 2 14 2 2 2 2" xfId="57195"/>
    <cellStyle name="20% - Accent2 2 14 2 2 3" xfId="40148"/>
    <cellStyle name="20% - Accent2 2 14 2 3" xfId="22356"/>
    <cellStyle name="20% - Accent2 2 14 2 3 2" xfId="51217"/>
    <cellStyle name="20% - Accent2 2 14 2 4" xfId="34107"/>
    <cellStyle name="20% - Accent2 2 14 3" xfId="8401"/>
    <cellStyle name="20% - Accent2 2 14 3 2" xfId="25448"/>
    <cellStyle name="20% - Accent2 2 14 3 2 2" xfId="54309"/>
    <cellStyle name="20% - Accent2 2 14 3 3" xfId="37262"/>
    <cellStyle name="20% - Accent2 2 14 4" xfId="13354"/>
    <cellStyle name="20% - Accent2 2 14 4 2" xfId="19676"/>
    <cellStyle name="20% - Accent2 2 14 4 2 2" xfId="48537"/>
    <cellStyle name="20% - Accent2 2 14 4 3" xfId="42215"/>
    <cellStyle name="20% - Accent2 2 14 5" xfId="16996"/>
    <cellStyle name="20% - Accent2 2 14 5 2" xfId="45857"/>
    <cellStyle name="20% - Accent2 2 14 6" xfId="31221"/>
    <cellStyle name="20% - Accent2 2 15" xfId="2568"/>
    <cellStyle name="20% - Accent2 2 15 2" xfId="5454"/>
    <cellStyle name="20% - Accent2 2 15 2 2" xfId="11495"/>
    <cellStyle name="20% - Accent2 2 15 2 2 2" xfId="28542"/>
    <cellStyle name="20% - Accent2 2 15 2 2 2 2" xfId="57403"/>
    <cellStyle name="20% - Accent2 2 15 2 2 3" xfId="40356"/>
    <cellStyle name="20% - Accent2 2 15 2 3" xfId="22564"/>
    <cellStyle name="20% - Accent2 2 15 2 3 2" xfId="51425"/>
    <cellStyle name="20% - Accent2 2 15 2 4" xfId="34315"/>
    <cellStyle name="20% - Accent2 2 15 3" xfId="8609"/>
    <cellStyle name="20% - Accent2 2 15 3 2" xfId="25656"/>
    <cellStyle name="20% - Accent2 2 15 3 2 2" xfId="54517"/>
    <cellStyle name="20% - Accent2 2 15 3 3" xfId="37470"/>
    <cellStyle name="20% - Accent2 2 15 4" xfId="13685"/>
    <cellStyle name="20% - Accent2 2 15 4 2" xfId="19884"/>
    <cellStyle name="20% - Accent2 2 15 4 2 2" xfId="48745"/>
    <cellStyle name="20% - Accent2 2 15 4 3" xfId="42546"/>
    <cellStyle name="20% - Accent2 2 15 5" xfId="17204"/>
    <cellStyle name="20% - Accent2 2 15 5 2" xfId="46065"/>
    <cellStyle name="20% - Accent2 2 15 6" xfId="31429"/>
    <cellStyle name="20% - Accent2 2 16" xfId="2980"/>
    <cellStyle name="20% - Accent2 2 16 2" xfId="9021"/>
    <cellStyle name="20% - Accent2 2 16 2 2" xfId="26068"/>
    <cellStyle name="20% - Accent2 2 16 2 2 2" xfId="54929"/>
    <cellStyle name="20% - Accent2 2 16 2 3" xfId="37882"/>
    <cellStyle name="20% - Accent2 2 16 3" xfId="13924"/>
    <cellStyle name="20% - Accent2 2 16 3 2" xfId="20090"/>
    <cellStyle name="20% - Accent2 2 16 3 2 2" xfId="48951"/>
    <cellStyle name="20% - Accent2 2 16 3 3" xfId="42785"/>
    <cellStyle name="20% - Accent2 2 16 4" xfId="14730"/>
    <cellStyle name="20% - Accent2 2 16 4 2" xfId="43591"/>
    <cellStyle name="20% - Accent2 2 16 5" xfId="31841"/>
    <cellStyle name="20% - Accent2 2 17" xfId="2774"/>
    <cellStyle name="20% - Accent2 2 17 2" xfId="8815"/>
    <cellStyle name="20% - Accent2 2 17 2 2" xfId="25862"/>
    <cellStyle name="20% - Accent2 2 17 2 2 2" xfId="54723"/>
    <cellStyle name="20% - Accent2 2 17 2 3" xfId="37676"/>
    <cellStyle name="20% - Accent2 2 17 3" xfId="17410"/>
    <cellStyle name="20% - Accent2 2 17 3 2" xfId="46271"/>
    <cellStyle name="20% - Accent2 2 17 4" xfId="31635"/>
    <cellStyle name="20% - Accent2 2 18" xfId="5660"/>
    <cellStyle name="20% - Accent2 2 18 2" xfId="11701"/>
    <cellStyle name="20% - Accent2 2 18 2 2" xfId="28748"/>
    <cellStyle name="20% - Accent2 2 18 2 2 2" xfId="57609"/>
    <cellStyle name="20% - Accent2 2 18 2 3" xfId="40562"/>
    <cellStyle name="20% - Accent2 2 18 3" xfId="22770"/>
    <cellStyle name="20% - Accent2 2 18 3 2" xfId="51631"/>
    <cellStyle name="20% - Accent2 2 18 4" xfId="34521"/>
    <cellStyle name="20% - Accent2 2 19" xfId="5877"/>
    <cellStyle name="20% - Accent2 2 19 2" xfId="22976"/>
    <cellStyle name="20% - Accent2 2 19 2 2" xfId="51837"/>
    <cellStyle name="20% - Accent2 2 19 3" xfId="34738"/>
    <cellStyle name="20% - Accent2 2 2" xfId="119"/>
    <cellStyle name="20% - Accent2 2 2 10" xfId="1767"/>
    <cellStyle name="20% - Accent2 2 2 10 2" xfId="4654"/>
    <cellStyle name="20% - Accent2 2 2 10 2 2" xfId="10695"/>
    <cellStyle name="20% - Accent2 2 2 10 2 2 2" xfId="27742"/>
    <cellStyle name="20% - Accent2 2 2 10 2 2 2 2" xfId="56603"/>
    <cellStyle name="20% - Accent2 2 2 10 2 2 3" xfId="39556"/>
    <cellStyle name="20% - Accent2 2 2 10 2 3" xfId="21764"/>
    <cellStyle name="20% - Accent2 2 2 10 2 3 2" xfId="50625"/>
    <cellStyle name="20% - Accent2 2 2 10 2 4" xfId="33515"/>
    <cellStyle name="20% - Accent2 2 2 10 3" xfId="7809"/>
    <cellStyle name="20% - Accent2 2 2 10 3 2" xfId="24856"/>
    <cellStyle name="20% - Accent2 2 2 10 3 2 2" xfId="53717"/>
    <cellStyle name="20% - Accent2 2 2 10 3 3" xfId="36670"/>
    <cellStyle name="20% - Accent2 2 2 10 4" xfId="12659"/>
    <cellStyle name="20% - Accent2 2 2 10 4 2" xfId="19084"/>
    <cellStyle name="20% - Accent2 2 2 10 4 2 2" xfId="47945"/>
    <cellStyle name="20% - Accent2 2 2 10 4 3" xfId="41520"/>
    <cellStyle name="20% - Accent2 2 2 10 5" xfId="16404"/>
    <cellStyle name="20% - Accent2 2 2 10 5 2" xfId="45265"/>
    <cellStyle name="20% - Accent2 2 2 10 6" xfId="30629"/>
    <cellStyle name="20% - Accent2 2 2 11" xfId="1973"/>
    <cellStyle name="20% - Accent2 2 2 11 2" xfId="4860"/>
    <cellStyle name="20% - Accent2 2 2 11 2 2" xfId="10901"/>
    <cellStyle name="20% - Accent2 2 2 11 2 2 2" xfId="27948"/>
    <cellStyle name="20% - Accent2 2 2 11 2 2 2 2" xfId="56809"/>
    <cellStyle name="20% - Accent2 2 2 11 2 2 3" xfId="39762"/>
    <cellStyle name="20% - Accent2 2 2 11 2 3" xfId="21970"/>
    <cellStyle name="20% - Accent2 2 2 11 2 3 2" xfId="50831"/>
    <cellStyle name="20% - Accent2 2 2 11 2 4" xfId="33721"/>
    <cellStyle name="20% - Accent2 2 2 11 3" xfId="8015"/>
    <cellStyle name="20% - Accent2 2 2 11 3 2" xfId="25062"/>
    <cellStyle name="20% - Accent2 2 2 11 3 2 2" xfId="53923"/>
    <cellStyle name="20% - Accent2 2 2 11 3 3" xfId="36876"/>
    <cellStyle name="20% - Accent2 2 2 11 4" xfId="12421"/>
    <cellStyle name="20% - Accent2 2 2 11 4 2" xfId="19290"/>
    <cellStyle name="20% - Accent2 2 2 11 4 2 2" xfId="48151"/>
    <cellStyle name="20% - Accent2 2 2 11 4 3" xfId="41282"/>
    <cellStyle name="20% - Accent2 2 2 11 5" xfId="16610"/>
    <cellStyle name="20% - Accent2 2 2 11 5 2" xfId="45471"/>
    <cellStyle name="20% - Accent2 2 2 11 6" xfId="30835"/>
    <cellStyle name="20% - Accent2 2 2 12" xfId="2385"/>
    <cellStyle name="20% - Accent2 2 2 12 2" xfId="5272"/>
    <cellStyle name="20% - Accent2 2 2 12 2 2" xfId="11313"/>
    <cellStyle name="20% - Accent2 2 2 12 2 2 2" xfId="28360"/>
    <cellStyle name="20% - Accent2 2 2 12 2 2 2 2" xfId="57221"/>
    <cellStyle name="20% - Accent2 2 2 12 2 2 3" xfId="40174"/>
    <cellStyle name="20% - Accent2 2 2 12 2 3" xfId="22382"/>
    <cellStyle name="20% - Accent2 2 2 12 2 3 2" xfId="51243"/>
    <cellStyle name="20% - Accent2 2 2 12 2 4" xfId="34133"/>
    <cellStyle name="20% - Accent2 2 2 12 3" xfId="8427"/>
    <cellStyle name="20% - Accent2 2 2 12 3 2" xfId="25474"/>
    <cellStyle name="20% - Accent2 2 2 12 3 2 2" xfId="54335"/>
    <cellStyle name="20% - Accent2 2 2 12 3 3" xfId="37288"/>
    <cellStyle name="20% - Accent2 2 2 12 4" xfId="12549"/>
    <cellStyle name="20% - Accent2 2 2 12 4 2" xfId="19702"/>
    <cellStyle name="20% - Accent2 2 2 12 4 2 2" xfId="48563"/>
    <cellStyle name="20% - Accent2 2 2 12 4 3" xfId="41410"/>
    <cellStyle name="20% - Accent2 2 2 12 5" xfId="17022"/>
    <cellStyle name="20% - Accent2 2 2 12 5 2" xfId="45883"/>
    <cellStyle name="20% - Accent2 2 2 12 6" xfId="31247"/>
    <cellStyle name="20% - Accent2 2 2 13" xfId="2594"/>
    <cellStyle name="20% - Accent2 2 2 13 2" xfId="5480"/>
    <cellStyle name="20% - Accent2 2 2 13 2 2" xfId="11521"/>
    <cellStyle name="20% - Accent2 2 2 13 2 2 2" xfId="28568"/>
    <cellStyle name="20% - Accent2 2 2 13 2 2 2 2" xfId="57429"/>
    <cellStyle name="20% - Accent2 2 2 13 2 2 3" xfId="40382"/>
    <cellStyle name="20% - Accent2 2 2 13 2 3" xfId="22590"/>
    <cellStyle name="20% - Accent2 2 2 13 2 3 2" xfId="51451"/>
    <cellStyle name="20% - Accent2 2 2 13 2 4" xfId="34341"/>
    <cellStyle name="20% - Accent2 2 2 13 3" xfId="8635"/>
    <cellStyle name="20% - Accent2 2 2 13 3 2" xfId="25682"/>
    <cellStyle name="20% - Accent2 2 2 13 3 2 2" xfId="54543"/>
    <cellStyle name="20% - Accent2 2 2 13 3 3" xfId="37496"/>
    <cellStyle name="20% - Accent2 2 2 13 4" xfId="14315"/>
    <cellStyle name="20% - Accent2 2 2 13 4 2" xfId="19910"/>
    <cellStyle name="20% - Accent2 2 2 13 4 2 2" xfId="48771"/>
    <cellStyle name="20% - Accent2 2 2 13 4 3" xfId="43176"/>
    <cellStyle name="20% - Accent2 2 2 13 5" xfId="17230"/>
    <cellStyle name="20% - Accent2 2 2 13 5 2" xfId="46091"/>
    <cellStyle name="20% - Accent2 2 2 13 6" xfId="31455"/>
    <cellStyle name="20% - Accent2 2 2 14" xfId="3006"/>
    <cellStyle name="20% - Accent2 2 2 14 2" xfId="9047"/>
    <cellStyle name="20% - Accent2 2 2 14 2 2" xfId="26094"/>
    <cellStyle name="20% - Accent2 2 2 14 2 2 2" xfId="54955"/>
    <cellStyle name="20% - Accent2 2 2 14 2 3" xfId="37908"/>
    <cellStyle name="20% - Accent2 2 2 14 3" xfId="14303"/>
    <cellStyle name="20% - Accent2 2 2 14 3 2" xfId="20116"/>
    <cellStyle name="20% - Accent2 2 2 14 3 2 2" xfId="48977"/>
    <cellStyle name="20% - Accent2 2 2 14 3 3" xfId="43164"/>
    <cellStyle name="20% - Accent2 2 2 14 4" xfId="14756"/>
    <cellStyle name="20% - Accent2 2 2 14 4 2" xfId="43617"/>
    <cellStyle name="20% - Accent2 2 2 14 5" xfId="31867"/>
    <cellStyle name="20% - Accent2 2 2 15" xfId="2800"/>
    <cellStyle name="20% - Accent2 2 2 15 2" xfId="8841"/>
    <cellStyle name="20% - Accent2 2 2 15 2 2" xfId="25888"/>
    <cellStyle name="20% - Accent2 2 2 15 2 2 2" xfId="54749"/>
    <cellStyle name="20% - Accent2 2 2 15 2 3" xfId="37702"/>
    <cellStyle name="20% - Accent2 2 2 15 3" xfId="17436"/>
    <cellStyle name="20% - Accent2 2 2 15 3 2" xfId="46297"/>
    <cellStyle name="20% - Accent2 2 2 15 4" xfId="31661"/>
    <cellStyle name="20% - Accent2 2 2 16" xfId="5686"/>
    <cellStyle name="20% - Accent2 2 2 16 2" xfId="11727"/>
    <cellStyle name="20% - Accent2 2 2 16 2 2" xfId="28774"/>
    <cellStyle name="20% - Accent2 2 2 16 2 2 2" xfId="57635"/>
    <cellStyle name="20% - Accent2 2 2 16 2 3" xfId="40588"/>
    <cellStyle name="20% - Accent2 2 2 16 3" xfId="22796"/>
    <cellStyle name="20% - Accent2 2 2 16 3 2" xfId="51657"/>
    <cellStyle name="20% - Accent2 2 2 16 4" xfId="34547"/>
    <cellStyle name="20% - Accent2 2 2 17" xfId="5903"/>
    <cellStyle name="20% - Accent2 2 2 17 2" xfId="23002"/>
    <cellStyle name="20% - Accent2 2 2 17 2 2" xfId="51863"/>
    <cellStyle name="20% - Accent2 2 2 17 3" xfId="34764"/>
    <cellStyle name="20% - Accent2 2 2 18" xfId="6161"/>
    <cellStyle name="20% - Accent2 2 2 18 2" xfId="23208"/>
    <cellStyle name="20% - Accent2 2 2 18 2 2" xfId="52069"/>
    <cellStyle name="20% - Accent2 2 2 18 3" xfId="35022"/>
    <cellStyle name="20% - Accent2 2 2 19" xfId="14550"/>
    <cellStyle name="20% - Accent2 2 2 19 2" xfId="43411"/>
    <cellStyle name="20% - Accent2 2 2 2" xfId="325"/>
    <cellStyle name="20% - Accent2 2 2 2 10" xfId="2488"/>
    <cellStyle name="20% - Accent2 2 2 2 10 2" xfId="5375"/>
    <cellStyle name="20% - Accent2 2 2 2 10 2 2" xfId="11416"/>
    <cellStyle name="20% - Accent2 2 2 2 10 2 2 2" xfId="28463"/>
    <cellStyle name="20% - Accent2 2 2 2 10 2 2 2 2" xfId="57324"/>
    <cellStyle name="20% - Accent2 2 2 2 10 2 2 3" xfId="40277"/>
    <cellStyle name="20% - Accent2 2 2 2 10 2 3" xfId="22485"/>
    <cellStyle name="20% - Accent2 2 2 2 10 2 3 2" xfId="51346"/>
    <cellStyle name="20% - Accent2 2 2 2 10 2 4" xfId="34236"/>
    <cellStyle name="20% - Accent2 2 2 2 10 3" xfId="8530"/>
    <cellStyle name="20% - Accent2 2 2 2 10 3 2" xfId="25577"/>
    <cellStyle name="20% - Accent2 2 2 2 10 3 2 2" xfId="54438"/>
    <cellStyle name="20% - Accent2 2 2 2 10 3 3" xfId="37391"/>
    <cellStyle name="20% - Accent2 2 2 2 10 4" xfId="14287"/>
    <cellStyle name="20% - Accent2 2 2 2 10 4 2" xfId="19805"/>
    <cellStyle name="20% - Accent2 2 2 2 10 4 2 2" xfId="48666"/>
    <cellStyle name="20% - Accent2 2 2 2 10 4 3" xfId="43148"/>
    <cellStyle name="20% - Accent2 2 2 2 10 5" xfId="17125"/>
    <cellStyle name="20% - Accent2 2 2 2 10 5 2" xfId="45986"/>
    <cellStyle name="20% - Accent2 2 2 2 10 6" xfId="31350"/>
    <cellStyle name="20% - Accent2 2 2 2 11" xfId="2697"/>
    <cellStyle name="20% - Accent2 2 2 2 11 2" xfId="5583"/>
    <cellStyle name="20% - Accent2 2 2 2 11 2 2" xfId="11624"/>
    <cellStyle name="20% - Accent2 2 2 2 11 2 2 2" xfId="28671"/>
    <cellStyle name="20% - Accent2 2 2 2 11 2 2 2 2" xfId="57532"/>
    <cellStyle name="20% - Accent2 2 2 2 11 2 2 3" xfId="40485"/>
    <cellStyle name="20% - Accent2 2 2 2 11 2 3" xfId="22693"/>
    <cellStyle name="20% - Accent2 2 2 2 11 2 3 2" xfId="51554"/>
    <cellStyle name="20% - Accent2 2 2 2 11 2 4" xfId="34444"/>
    <cellStyle name="20% - Accent2 2 2 2 11 3" xfId="8738"/>
    <cellStyle name="20% - Accent2 2 2 2 11 3 2" xfId="25785"/>
    <cellStyle name="20% - Accent2 2 2 2 11 3 2 2" xfId="54646"/>
    <cellStyle name="20% - Accent2 2 2 2 11 3 3" xfId="37599"/>
    <cellStyle name="20% - Accent2 2 2 2 11 4" xfId="14305"/>
    <cellStyle name="20% - Accent2 2 2 2 11 4 2" xfId="20013"/>
    <cellStyle name="20% - Accent2 2 2 2 11 4 2 2" xfId="48874"/>
    <cellStyle name="20% - Accent2 2 2 2 11 4 3" xfId="43166"/>
    <cellStyle name="20% - Accent2 2 2 2 11 5" xfId="17333"/>
    <cellStyle name="20% - Accent2 2 2 2 11 5 2" xfId="46194"/>
    <cellStyle name="20% - Accent2 2 2 2 11 6" xfId="31558"/>
    <cellStyle name="20% - Accent2 2 2 2 12" xfId="3212"/>
    <cellStyle name="20% - Accent2 2 2 2 12 2" xfId="9253"/>
    <cellStyle name="20% - Accent2 2 2 2 12 2 2" xfId="26300"/>
    <cellStyle name="20% - Accent2 2 2 2 12 2 2 2" xfId="55161"/>
    <cellStyle name="20% - Accent2 2 2 2 12 2 3" xfId="38114"/>
    <cellStyle name="20% - Accent2 2 2 2 12 3" xfId="12981"/>
    <cellStyle name="20% - Accent2 2 2 2 12 3 2" xfId="20322"/>
    <cellStyle name="20% - Accent2 2 2 2 12 3 2 2" xfId="49183"/>
    <cellStyle name="20% - Accent2 2 2 2 12 3 3" xfId="41842"/>
    <cellStyle name="20% - Accent2 2 2 2 12 4" xfId="14962"/>
    <cellStyle name="20% - Accent2 2 2 2 12 4 2" xfId="43823"/>
    <cellStyle name="20% - Accent2 2 2 2 12 5" xfId="32073"/>
    <cellStyle name="20% - Accent2 2 2 2 13" xfId="2903"/>
    <cellStyle name="20% - Accent2 2 2 2 13 2" xfId="8944"/>
    <cellStyle name="20% - Accent2 2 2 2 13 2 2" xfId="25991"/>
    <cellStyle name="20% - Accent2 2 2 2 13 2 2 2" xfId="54852"/>
    <cellStyle name="20% - Accent2 2 2 2 13 2 3" xfId="37805"/>
    <cellStyle name="20% - Accent2 2 2 2 13 3" xfId="17539"/>
    <cellStyle name="20% - Accent2 2 2 2 13 3 2" xfId="46400"/>
    <cellStyle name="20% - Accent2 2 2 2 13 4" xfId="31764"/>
    <cellStyle name="20% - Accent2 2 2 2 14" xfId="5789"/>
    <cellStyle name="20% - Accent2 2 2 2 14 2" xfId="11830"/>
    <cellStyle name="20% - Accent2 2 2 2 14 2 2" xfId="28877"/>
    <cellStyle name="20% - Accent2 2 2 2 14 2 2 2" xfId="57738"/>
    <cellStyle name="20% - Accent2 2 2 2 14 2 3" xfId="40691"/>
    <cellStyle name="20% - Accent2 2 2 2 14 3" xfId="22899"/>
    <cellStyle name="20% - Accent2 2 2 2 14 3 2" xfId="51760"/>
    <cellStyle name="20% - Accent2 2 2 2 14 4" xfId="34650"/>
    <cellStyle name="20% - Accent2 2 2 2 15" xfId="6006"/>
    <cellStyle name="20% - Accent2 2 2 2 15 2" xfId="23105"/>
    <cellStyle name="20% - Accent2 2 2 2 15 2 2" xfId="51966"/>
    <cellStyle name="20% - Accent2 2 2 2 15 3" xfId="34867"/>
    <cellStyle name="20% - Accent2 2 2 2 16" xfId="6367"/>
    <cellStyle name="20% - Accent2 2 2 2 16 2" xfId="23414"/>
    <cellStyle name="20% - Accent2 2 2 2 16 2 2" xfId="52275"/>
    <cellStyle name="20% - Accent2 2 2 2 16 3" xfId="35228"/>
    <cellStyle name="20% - Accent2 2 2 2 17" xfId="14653"/>
    <cellStyle name="20% - Accent2 2 2 2 17 2" xfId="43514"/>
    <cellStyle name="20% - Accent2 2 2 2 18" xfId="29187"/>
    <cellStyle name="20% - Accent2 2 2 2 2" xfId="531"/>
    <cellStyle name="20% - Accent2 2 2 2 2 2" xfId="2282"/>
    <cellStyle name="20% - Accent2 2 2 2 2 2 2" xfId="5169"/>
    <cellStyle name="20% - Accent2 2 2 2 2 2 2 2" xfId="11210"/>
    <cellStyle name="20% - Accent2 2 2 2 2 2 2 2 2" xfId="28257"/>
    <cellStyle name="20% - Accent2 2 2 2 2 2 2 2 2 2" xfId="57118"/>
    <cellStyle name="20% - Accent2 2 2 2 2 2 2 2 3" xfId="40071"/>
    <cellStyle name="20% - Accent2 2 2 2 2 2 2 3" xfId="22279"/>
    <cellStyle name="20% - Accent2 2 2 2 2 2 2 3 2" xfId="51140"/>
    <cellStyle name="20% - Accent2 2 2 2 2 2 2 4" xfId="34030"/>
    <cellStyle name="20% - Accent2 2 2 2 2 2 3" xfId="8324"/>
    <cellStyle name="20% - Accent2 2 2 2 2 2 3 2" xfId="25371"/>
    <cellStyle name="20% - Accent2 2 2 2 2 2 3 2 2" xfId="54232"/>
    <cellStyle name="20% - Accent2 2 2 2 2 2 3 3" xfId="37185"/>
    <cellStyle name="20% - Accent2 2 2 2 2 2 4" xfId="14376"/>
    <cellStyle name="20% - Accent2 2 2 2 2 2 4 2" xfId="19599"/>
    <cellStyle name="20% - Accent2 2 2 2 2 2 4 2 2" xfId="48460"/>
    <cellStyle name="20% - Accent2 2 2 2 2 2 4 3" xfId="43237"/>
    <cellStyle name="20% - Accent2 2 2 2 2 2 5" xfId="16919"/>
    <cellStyle name="20% - Accent2 2 2 2 2 2 5 2" xfId="45780"/>
    <cellStyle name="20% - Accent2 2 2 2 2 2 6" xfId="31144"/>
    <cellStyle name="20% - Accent2 2 2 2 2 3" xfId="3418"/>
    <cellStyle name="20% - Accent2 2 2 2 2 3 2" xfId="9459"/>
    <cellStyle name="20% - Accent2 2 2 2 2 3 2 2" xfId="26506"/>
    <cellStyle name="20% - Accent2 2 2 2 2 3 2 2 2" xfId="55367"/>
    <cellStyle name="20% - Accent2 2 2 2 2 3 2 3" xfId="38320"/>
    <cellStyle name="20% - Accent2 2 2 2 2 3 3" xfId="20528"/>
    <cellStyle name="20% - Accent2 2 2 2 2 3 3 2" xfId="49389"/>
    <cellStyle name="20% - Accent2 2 2 2 2 3 4" xfId="32279"/>
    <cellStyle name="20% - Accent2 2 2 2 2 4" xfId="6573"/>
    <cellStyle name="20% - Accent2 2 2 2 2 4 2" xfId="23620"/>
    <cellStyle name="20% - Accent2 2 2 2 2 4 2 2" xfId="52481"/>
    <cellStyle name="20% - Accent2 2 2 2 2 4 3" xfId="35434"/>
    <cellStyle name="20% - Accent2 2 2 2 2 5" xfId="13514"/>
    <cellStyle name="20% - Accent2 2 2 2 2 5 2" xfId="17848"/>
    <cellStyle name="20% - Accent2 2 2 2 2 5 2 2" xfId="46709"/>
    <cellStyle name="20% - Accent2 2 2 2 2 5 3" xfId="42375"/>
    <cellStyle name="20% - Accent2 2 2 2 2 6" xfId="15168"/>
    <cellStyle name="20% - Accent2 2 2 2 2 6 2" xfId="44029"/>
    <cellStyle name="20% - Accent2 2 2 2 2 7" xfId="29393"/>
    <cellStyle name="20% - Accent2 2 2 2 3" xfId="840"/>
    <cellStyle name="20% - Accent2 2 2 2 3 2" xfId="3727"/>
    <cellStyle name="20% - Accent2 2 2 2 3 2 2" xfId="9768"/>
    <cellStyle name="20% - Accent2 2 2 2 3 2 2 2" xfId="26815"/>
    <cellStyle name="20% - Accent2 2 2 2 3 2 2 2 2" xfId="55676"/>
    <cellStyle name="20% - Accent2 2 2 2 3 2 2 3" xfId="38629"/>
    <cellStyle name="20% - Accent2 2 2 2 3 2 3" xfId="20837"/>
    <cellStyle name="20% - Accent2 2 2 2 3 2 3 2" xfId="49698"/>
    <cellStyle name="20% - Accent2 2 2 2 3 2 4" xfId="32588"/>
    <cellStyle name="20% - Accent2 2 2 2 3 3" xfId="6882"/>
    <cellStyle name="20% - Accent2 2 2 2 3 3 2" xfId="23929"/>
    <cellStyle name="20% - Accent2 2 2 2 3 3 2 2" xfId="52790"/>
    <cellStyle name="20% - Accent2 2 2 2 3 3 3" xfId="35743"/>
    <cellStyle name="20% - Accent2 2 2 2 3 4" xfId="11900"/>
    <cellStyle name="20% - Accent2 2 2 2 3 4 2" xfId="18157"/>
    <cellStyle name="20% - Accent2 2 2 2 3 4 2 2" xfId="47018"/>
    <cellStyle name="20% - Accent2 2 2 2 3 4 3" xfId="40761"/>
    <cellStyle name="20% - Accent2 2 2 2 3 5" xfId="15477"/>
    <cellStyle name="20% - Accent2 2 2 2 3 5 2" xfId="44338"/>
    <cellStyle name="20% - Accent2 2 2 2 3 6" xfId="29702"/>
    <cellStyle name="20% - Accent2 2 2 2 4" xfId="1046"/>
    <cellStyle name="20% - Accent2 2 2 2 4 2" xfId="3933"/>
    <cellStyle name="20% - Accent2 2 2 2 4 2 2" xfId="9974"/>
    <cellStyle name="20% - Accent2 2 2 2 4 2 2 2" xfId="27021"/>
    <cellStyle name="20% - Accent2 2 2 2 4 2 2 2 2" xfId="55882"/>
    <cellStyle name="20% - Accent2 2 2 2 4 2 2 3" xfId="38835"/>
    <cellStyle name="20% - Accent2 2 2 2 4 2 3" xfId="21043"/>
    <cellStyle name="20% - Accent2 2 2 2 4 2 3 2" xfId="49904"/>
    <cellStyle name="20% - Accent2 2 2 2 4 2 4" xfId="32794"/>
    <cellStyle name="20% - Accent2 2 2 2 4 3" xfId="7088"/>
    <cellStyle name="20% - Accent2 2 2 2 4 3 2" xfId="24135"/>
    <cellStyle name="20% - Accent2 2 2 2 4 3 2 2" xfId="52996"/>
    <cellStyle name="20% - Accent2 2 2 2 4 3 3" xfId="35949"/>
    <cellStyle name="20% - Accent2 2 2 2 4 4" xfId="13501"/>
    <cellStyle name="20% - Accent2 2 2 2 4 4 2" xfId="18363"/>
    <cellStyle name="20% - Accent2 2 2 2 4 4 2 2" xfId="47224"/>
    <cellStyle name="20% - Accent2 2 2 2 4 4 3" xfId="42362"/>
    <cellStyle name="20% - Accent2 2 2 2 4 5" xfId="15683"/>
    <cellStyle name="20% - Accent2 2 2 2 4 5 2" xfId="44544"/>
    <cellStyle name="20% - Accent2 2 2 2 4 6" xfId="29908"/>
    <cellStyle name="20% - Accent2 2 2 2 5" xfId="1252"/>
    <cellStyle name="20% - Accent2 2 2 2 5 2" xfId="4139"/>
    <cellStyle name="20% - Accent2 2 2 2 5 2 2" xfId="10180"/>
    <cellStyle name="20% - Accent2 2 2 2 5 2 2 2" xfId="27227"/>
    <cellStyle name="20% - Accent2 2 2 2 5 2 2 2 2" xfId="56088"/>
    <cellStyle name="20% - Accent2 2 2 2 5 2 2 3" xfId="39041"/>
    <cellStyle name="20% - Accent2 2 2 2 5 2 3" xfId="21249"/>
    <cellStyle name="20% - Accent2 2 2 2 5 2 3 2" xfId="50110"/>
    <cellStyle name="20% - Accent2 2 2 2 5 2 4" xfId="33000"/>
    <cellStyle name="20% - Accent2 2 2 2 5 3" xfId="7294"/>
    <cellStyle name="20% - Accent2 2 2 2 5 3 2" xfId="24341"/>
    <cellStyle name="20% - Accent2 2 2 2 5 3 2 2" xfId="53202"/>
    <cellStyle name="20% - Accent2 2 2 2 5 3 3" xfId="36155"/>
    <cellStyle name="20% - Accent2 2 2 2 5 4" xfId="13313"/>
    <cellStyle name="20% - Accent2 2 2 2 5 4 2" xfId="18569"/>
    <cellStyle name="20% - Accent2 2 2 2 5 4 2 2" xfId="47430"/>
    <cellStyle name="20% - Accent2 2 2 2 5 4 3" xfId="42174"/>
    <cellStyle name="20% - Accent2 2 2 2 5 5" xfId="15889"/>
    <cellStyle name="20% - Accent2 2 2 2 5 5 2" xfId="44750"/>
    <cellStyle name="20% - Accent2 2 2 2 5 6" xfId="30114"/>
    <cellStyle name="20% - Accent2 2 2 2 6" xfId="1458"/>
    <cellStyle name="20% - Accent2 2 2 2 6 2" xfId="4345"/>
    <cellStyle name="20% - Accent2 2 2 2 6 2 2" xfId="10386"/>
    <cellStyle name="20% - Accent2 2 2 2 6 2 2 2" xfId="27433"/>
    <cellStyle name="20% - Accent2 2 2 2 6 2 2 2 2" xfId="56294"/>
    <cellStyle name="20% - Accent2 2 2 2 6 2 2 3" xfId="39247"/>
    <cellStyle name="20% - Accent2 2 2 2 6 2 3" xfId="21455"/>
    <cellStyle name="20% - Accent2 2 2 2 6 2 3 2" xfId="50316"/>
    <cellStyle name="20% - Accent2 2 2 2 6 2 4" xfId="33206"/>
    <cellStyle name="20% - Accent2 2 2 2 6 3" xfId="7500"/>
    <cellStyle name="20% - Accent2 2 2 2 6 3 2" xfId="24547"/>
    <cellStyle name="20% - Accent2 2 2 2 6 3 2 2" xfId="53408"/>
    <cellStyle name="20% - Accent2 2 2 2 6 3 3" xfId="36361"/>
    <cellStyle name="20% - Accent2 2 2 2 6 4" xfId="12848"/>
    <cellStyle name="20% - Accent2 2 2 2 6 4 2" xfId="18775"/>
    <cellStyle name="20% - Accent2 2 2 2 6 4 2 2" xfId="47636"/>
    <cellStyle name="20% - Accent2 2 2 2 6 4 3" xfId="41709"/>
    <cellStyle name="20% - Accent2 2 2 2 6 5" xfId="16095"/>
    <cellStyle name="20% - Accent2 2 2 2 6 5 2" xfId="44956"/>
    <cellStyle name="20% - Accent2 2 2 2 6 6" xfId="30320"/>
    <cellStyle name="20% - Accent2 2 2 2 7" xfId="1664"/>
    <cellStyle name="20% - Accent2 2 2 2 7 2" xfId="4551"/>
    <cellStyle name="20% - Accent2 2 2 2 7 2 2" xfId="10592"/>
    <cellStyle name="20% - Accent2 2 2 2 7 2 2 2" xfId="27639"/>
    <cellStyle name="20% - Accent2 2 2 2 7 2 2 2 2" xfId="56500"/>
    <cellStyle name="20% - Accent2 2 2 2 7 2 2 3" xfId="39453"/>
    <cellStyle name="20% - Accent2 2 2 2 7 2 3" xfId="21661"/>
    <cellStyle name="20% - Accent2 2 2 2 7 2 3 2" xfId="50522"/>
    <cellStyle name="20% - Accent2 2 2 2 7 2 4" xfId="33412"/>
    <cellStyle name="20% - Accent2 2 2 2 7 3" xfId="7706"/>
    <cellStyle name="20% - Accent2 2 2 2 7 3 2" xfId="24753"/>
    <cellStyle name="20% - Accent2 2 2 2 7 3 2 2" xfId="53614"/>
    <cellStyle name="20% - Accent2 2 2 2 7 3 3" xfId="36567"/>
    <cellStyle name="20% - Accent2 2 2 2 7 4" xfId="14097"/>
    <cellStyle name="20% - Accent2 2 2 2 7 4 2" xfId="18981"/>
    <cellStyle name="20% - Accent2 2 2 2 7 4 2 2" xfId="47842"/>
    <cellStyle name="20% - Accent2 2 2 2 7 4 3" xfId="42958"/>
    <cellStyle name="20% - Accent2 2 2 2 7 5" xfId="16301"/>
    <cellStyle name="20% - Accent2 2 2 2 7 5 2" xfId="45162"/>
    <cellStyle name="20% - Accent2 2 2 2 7 6" xfId="30526"/>
    <cellStyle name="20% - Accent2 2 2 2 8" xfId="1870"/>
    <cellStyle name="20% - Accent2 2 2 2 8 2" xfId="4757"/>
    <cellStyle name="20% - Accent2 2 2 2 8 2 2" xfId="10798"/>
    <cellStyle name="20% - Accent2 2 2 2 8 2 2 2" xfId="27845"/>
    <cellStyle name="20% - Accent2 2 2 2 8 2 2 2 2" xfId="56706"/>
    <cellStyle name="20% - Accent2 2 2 2 8 2 2 3" xfId="39659"/>
    <cellStyle name="20% - Accent2 2 2 2 8 2 3" xfId="21867"/>
    <cellStyle name="20% - Accent2 2 2 2 8 2 3 2" xfId="50728"/>
    <cellStyle name="20% - Accent2 2 2 2 8 2 4" xfId="33618"/>
    <cellStyle name="20% - Accent2 2 2 2 8 3" xfId="7912"/>
    <cellStyle name="20% - Accent2 2 2 2 8 3 2" xfId="24959"/>
    <cellStyle name="20% - Accent2 2 2 2 8 3 2 2" xfId="53820"/>
    <cellStyle name="20% - Accent2 2 2 2 8 3 3" xfId="36773"/>
    <cellStyle name="20% - Accent2 2 2 2 8 4" xfId="12142"/>
    <cellStyle name="20% - Accent2 2 2 2 8 4 2" xfId="19187"/>
    <cellStyle name="20% - Accent2 2 2 2 8 4 2 2" xfId="48048"/>
    <cellStyle name="20% - Accent2 2 2 2 8 4 3" xfId="41003"/>
    <cellStyle name="20% - Accent2 2 2 2 8 5" xfId="16507"/>
    <cellStyle name="20% - Accent2 2 2 2 8 5 2" xfId="45368"/>
    <cellStyle name="20% - Accent2 2 2 2 8 6" xfId="30732"/>
    <cellStyle name="20% - Accent2 2 2 2 9" xfId="2076"/>
    <cellStyle name="20% - Accent2 2 2 2 9 2" xfId="4963"/>
    <cellStyle name="20% - Accent2 2 2 2 9 2 2" xfId="11004"/>
    <cellStyle name="20% - Accent2 2 2 2 9 2 2 2" xfId="28051"/>
    <cellStyle name="20% - Accent2 2 2 2 9 2 2 2 2" xfId="56912"/>
    <cellStyle name="20% - Accent2 2 2 2 9 2 2 3" xfId="39865"/>
    <cellStyle name="20% - Accent2 2 2 2 9 2 3" xfId="22073"/>
    <cellStyle name="20% - Accent2 2 2 2 9 2 3 2" xfId="50934"/>
    <cellStyle name="20% - Accent2 2 2 2 9 2 4" xfId="33824"/>
    <cellStyle name="20% - Accent2 2 2 2 9 3" xfId="8118"/>
    <cellStyle name="20% - Accent2 2 2 2 9 3 2" xfId="25165"/>
    <cellStyle name="20% - Accent2 2 2 2 9 3 2 2" xfId="54026"/>
    <cellStyle name="20% - Accent2 2 2 2 9 3 3" xfId="36979"/>
    <cellStyle name="20% - Accent2 2 2 2 9 4" xfId="12923"/>
    <cellStyle name="20% - Accent2 2 2 2 9 4 2" xfId="19393"/>
    <cellStyle name="20% - Accent2 2 2 2 9 4 2 2" xfId="48254"/>
    <cellStyle name="20% - Accent2 2 2 2 9 4 3" xfId="41784"/>
    <cellStyle name="20% - Accent2 2 2 2 9 5" xfId="16713"/>
    <cellStyle name="20% - Accent2 2 2 2 9 5 2" xfId="45574"/>
    <cellStyle name="20% - Accent2 2 2 2 9 6" xfId="30938"/>
    <cellStyle name="20% - Accent2 2 2 20" xfId="28981"/>
    <cellStyle name="20% - Accent2 2 2 3" xfId="222"/>
    <cellStyle name="20% - Accent2 2 2 3 2" xfId="634"/>
    <cellStyle name="20% - Accent2 2 2 3 2 2" xfId="3521"/>
    <cellStyle name="20% - Accent2 2 2 3 2 2 2" xfId="9562"/>
    <cellStyle name="20% - Accent2 2 2 3 2 2 2 2" xfId="26609"/>
    <cellStyle name="20% - Accent2 2 2 3 2 2 2 2 2" xfId="55470"/>
    <cellStyle name="20% - Accent2 2 2 3 2 2 2 3" xfId="38423"/>
    <cellStyle name="20% - Accent2 2 2 3 2 2 3" xfId="20631"/>
    <cellStyle name="20% - Accent2 2 2 3 2 2 3 2" xfId="49492"/>
    <cellStyle name="20% - Accent2 2 2 3 2 2 4" xfId="32382"/>
    <cellStyle name="20% - Accent2 2 2 3 2 3" xfId="6676"/>
    <cellStyle name="20% - Accent2 2 2 3 2 3 2" xfId="23723"/>
    <cellStyle name="20% - Accent2 2 2 3 2 3 2 2" xfId="52584"/>
    <cellStyle name="20% - Accent2 2 2 3 2 3 3" xfId="35537"/>
    <cellStyle name="20% - Accent2 2 2 3 2 4" xfId="14328"/>
    <cellStyle name="20% - Accent2 2 2 3 2 4 2" xfId="17951"/>
    <cellStyle name="20% - Accent2 2 2 3 2 4 2 2" xfId="46812"/>
    <cellStyle name="20% - Accent2 2 2 3 2 4 3" xfId="43189"/>
    <cellStyle name="20% - Accent2 2 2 3 2 5" xfId="15271"/>
    <cellStyle name="20% - Accent2 2 2 3 2 5 2" xfId="44132"/>
    <cellStyle name="20% - Accent2 2 2 3 2 6" xfId="29496"/>
    <cellStyle name="20% - Accent2 2 2 3 3" xfId="2179"/>
    <cellStyle name="20% - Accent2 2 2 3 3 2" xfId="5066"/>
    <cellStyle name="20% - Accent2 2 2 3 3 2 2" xfId="11107"/>
    <cellStyle name="20% - Accent2 2 2 3 3 2 2 2" xfId="28154"/>
    <cellStyle name="20% - Accent2 2 2 3 3 2 2 2 2" xfId="57015"/>
    <cellStyle name="20% - Accent2 2 2 3 3 2 2 3" xfId="39968"/>
    <cellStyle name="20% - Accent2 2 2 3 3 2 3" xfId="22176"/>
    <cellStyle name="20% - Accent2 2 2 3 3 2 3 2" xfId="51037"/>
    <cellStyle name="20% - Accent2 2 2 3 3 2 4" xfId="33927"/>
    <cellStyle name="20% - Accent2 2 2 3 3 3" xfId="8221"/>
    <cellStyle name="20% - Accent2 2 2 3 3 3 2" xfId="25268"/>
    <cellStyle name="20% - Accent2 2 2 3 3 3 2 2" xfId="54129"/>
    <cellStyle name="20% - Accent2 2 2 3 3 3 3" xfId="37082"/>
    <cellStyle name="20% - Accent2 2 2 3 3 4" xfId="14272"/>
    <cellStyle name="20% - Accent2 2 2 3 3 4 2" xfId="19496"/>
    <cellStyle name="20% - Accent2 2 2 3 3 4 2 2" xfId="48357"/>
    <cellStyle name="20% - Accent2 2 2 3 3 4 3" xfId="43133"/>
    <cellStyle name="20% - Accent2 2 2 3 3 5" xfId="16816"/>
    <cellStyle name="20% - Accent2 2 2 3 3 5 2" xfId="45677"/>
    <cellStyle name="20% - Accent2 2 2 3 3 6" xfId="31041"/>
    <cellStyle name="20% - Accent2 2 2 3 4" xfId="3109"/>
    <cellStyle name="20% - Accent2 2 2 3 4 2" xfId="9150"/>
    <cellStyle name="20% - Accent2 2 2 3 4 2 2" xfId="26197"/>
    <cellStyle name="20% - Accent2 2 2 3 4 2 2 2" xfId="55058"/>
    <cellStyle name="20% - Accent2 2 2 3 4 2 3" xfId="38011"/>
    <cellStyle name="20% - Accent2 2 2 3 4 3" xfId="20219"/>
    <cellStyle name="20% - Accent2 2 2 3 4 3 2" xfId="49080"/>
    <cellStyle name="20% - Accent2 2 2 3 4 4" xfId="31970"/>
    <cellStyle name="20% - Accent2 2 2 3 5" xfId="6264"/>
    <cellStyle name="20% - Accent2 2 2 3 5 2" xfId="23311"/>
    <cellStyle name="20% - Accent2 2 2 3 5 2 2" xfId="52172"/>
    <cellStyle name="20% - Accent2 2 2 3 5 3" xfId="35125"/>
    <cellStyle name="20% - Accent2 2 2 3 6" xfId="13049"/>
    <cellStyle name="20% - Accent2 2 2 3 6 2" xfId="17642"/>
    <cellStyle name="20% - Accent2 2 2 3 6 2 2" xfId="46503"/>
    <cellStyle name="20% - Accent2 2 2 3 6 3" xfId="41910"/>
    <cellStyle name="20% - Accent2 2 2 3 7" xfId="14859"/>
    <cellStyle name="20% - Accent2 2 2 3 7 2" xfId="43720"/>
    <cellStyle name="20% - Accent2 2 2 3 8" xfId="29084"/>
    <cellStyle name="20% - Accent2 2 2 4" xfId="428"/>
    <cellStyle name="20% - Accent2 2 2 4 2" xfId="3315"/>
    <cellStyle name="20% - Accent2 2 2 4 2 2" xfId="9356"/>
    <cellStyle name="20% - Accent2 2 2 4 2 2 2" xfId="26403"/>
    <cellStyle name="20% - Accent2 2 2 4 2 2 2 2" xfId="55264"/>
    <cellStyle name="20% - Accent2 2 2 4 2 2 3" xfId="38217"/>
    <cellStyle name="20% - Accent2 2 2 4 2 3" xfId="20425"/>
    <cellStyle name="20% - Accent2 2 2 4 2 3 2" xfId="49286"/>
    <cellStyle name="20% - Accent2 2 2 4 2 4" xfId="32176"/>
    <cellStyle name="20% - Accent2 2 2 4 3" xfId="6470"/>
    <cellStyle name="20% - Accent2 2 2 4 3 2" xfId="23517"/>
    <cellStyle name="20% - Accent2 2 2 4 3 2 2" xfId="52378"/>
    <cellStyle name="20% - Accent2 2 2 4 3 3" xfId="35331"/>
    <cellStyle name="20% - Accent2 2 2 4 4" xfId="12728"/>
    <cellStyle name="20% - Accent2 2 2 4 4 2" xfId="17745"/>
    <cellStyle name="20% - Accent2 2 2 4 4 2 2" xfId="46606"/>
    <cellStyle name="20% - Accent2 2 2 4 4 3" xfId="41589"/>
    <cellStyle name="20% - Accent2 2 2 4 5" xfId="15065"/>
    <cellStyle name="20% - Accent2 2 2 4 5 2" xfId="43926"/>
    <cellStyle name="20% - Accent2 2 2 4 6" xfId="29290"/>
    <cellStyle name="20% - Accent2 2 2 5" xfId="737"/>
    <cellStyle name="20% - Accent2 2 2 5 2" xfId="3624"/>
    <cellStyle name="20% - Accent2 2 2 5 2 2" xfId="9665"/>
    <cellStyle name="20% - Accent2 2 2 5 2 2 2" xfId="26712"/>
    <cellStyle name="20% - Accent2 2 2 5 2 2 2 2" xfId="55573"/>
    <cellStyle name="20% - Accent2 2 2 5 2 2 3" xfId="38526"/>
    <cellStyle name="20% - Accent2 2 2 5 2 3" xfId="20734"/>
    <cellStyle name="20% - Accent2 2 2 5 2 3 2" xfId="49595"/>
    <cellStyle name="20% - Accent2 2 2 5 2 4" xfId="32485"/>
    <cellStyle name="20% - Accent2 2 2 5 3" xfId="6779"/>
    <cellStyle name="20% - Accent2 2 2 5 3 2" xfId="23826"/>
    <cellStyle name="20% - Accent2 2 2 5 3 2 2" xfId="52687"/>
    <cellStyle name="20% - Accent2 2 2 5 3 3" xfId="35640"/>
    <cellStyle name="20% - Accent2 2 2 5 4" xfId="13115"/>
    <cellStyle name="20% - Accent2 2 2 5 4 2" xfId="18054"/>
    <cellStyle name="20% - Accent2 2 2 5 4 2 2" xfId="46915"/>
    <cellStyle name="20% - Accent2 2 2 5 4 3" xfId="41976"/>
    <cellStyle name="20% - Accent2 2 2 5 5" xfId="15374"/>
    <cellStyle name="20% - Accent2 2 2 5 5 2" xfId="44235"/>
    <cellStyle name="20% - Accent2 2 2 5 6" xfId="29599"/>
    <cellStyle name="20% - Accent2 2 2 6" xfId="943"/>
    <cellStyle name="20% - Accent2 2 2 6 2" xfId="3830"/>
    <cellStyle name="20% - Accent2 2 2 6 2 2" xfId="9871"/>
    <cellStyle name="20% - Accent2 2 2 6 2 2 2" xfId="26918"/>
    <cellStyle name="20% - Accent2 2 2 6 2 2 2 2" xfId="55779"/>
    <cellStyle name="20% - Accent2 2 2 6 2 2 3" xfId="38732"/>
    <cellStyle name="20% - Accent2 2 2 6 2 3" xfId="20940"/>
    <cellStyle name="20% - Accent2 2 2 6 2 3 2" xfId="49801"/>
    <cellStyle name="20% - Accent2 2 2 6 2 4" xfId="32691"/>
    <cellStyle name="20% - Accent2 2 2 6 3" xfId="6985"/>
    <cellStyle name="20% - Accent2 2 2 6 3 2" xfId="24032"/>
    <cellStyle name="20% - Accent2 2 2 6 3 2 2" xfId="52893"/>
    <cellStyle name="20% - Accent2 2 2 6 3 3" xfId="35846"/>
    <cellStyle name="20% - Accent2 2 2 6 4" xfId="13083"/>
    <cellStyle name="20% - Accent2 2 2 6 4 2" xfId="18260"/>
    <cellStyle name="20% - Accent2 2 2 6 4 2 2" xfId="47121"/>
    <cellStyle name="20% - Accent2 2 2 6 4 3" xfId="41944"/>
    <cellStyle name="20% - Accent2 2 2 6 5" xfId="15580"/>
    <cellStyle name="20% - Accent2 2 2 6 5 2" xfId="44441"/>
    <cellStyle name="20% - Accent2 2 2 6 6" xfId="29805"/>
    <cellStyle name="20% - Accent2 2 2 7" xfId="1149"/>
    <cellStyle name="20% - Accent2 2 2 7 2" xfId="4036"/>
    <cellStyle name="20% - Accent2 2 2 7 2 2" xfId="10077"/>
    <cellStyle name="20% - Accent2 2 2 7 2 2 2" xfId="27124"/>
    <cellStyle name="20% - Accent2 2 2 7 2 2 2 2" xfId="55985"/>
    <cellStyle name="20% - Accent2 2 2 7 2 2 3" xfId="38938"/>
    <cellStyle name="20% - Accent2 2 2 7 2 3" xfId="21146"/>
    <cellStyle name="20% - Accent2 2 2 7 2 3 2" xfId="50007"/>
    <cellStyle name="20% - Accent2 2 2 7 2 4" xfId="32897"/>
    <cellStyle name="20% - Accent2 2 2 7 3" xfId="7191"/>
    <cellStyle name="20% - Accent2 2 2 7 3 2" xfId="24238"/>
    <cellStyle name="20% - Accent2 2 2 7 3 2 2" xfId="53099"/>
    <cellStyle name="20% - Accent2 2 2 7 3 3" xfId="36052"/>
    <cellStyle name="20% - Accent2 2 2 7 4" xfId="14211"/>
    <cellStyle name="20% - Accent2 2 2 7 4 2" xfId="18466"/>
    <cellStyle name="20% - Accent2 2 2 7 4 2 2" xfId="47327"/>
    <cellStyle name="20% - Accent2 2 2 7 4 3" xfId="43072"/>
    <cellStyle name="20% - Accent2 2 2 7 5" xfId="15786"/>
    <cellStyle name="20% - Accent2 2 2 7 5 2" xfId="44647"/>
    <cellStyle name="20% - Accent2 2 2 7 6" xfId="30011"/>
    <cellStyle name="20% - Accent2 2 2 8" xfId="1355"/>
    <cellStyle name="20% - Accent2 2 2 8 2" xfId="4242"/>
    <cellStyle name="20% - Accent2 2 2 8 2 2" xfId="10283"/>
    <cellStyle name="20% - Accent2 2 2 8 2 2 2" xfId="27330"/>
    <cellStyle name="20% - Accent2 2 2 8 2 2 2 2" xfId="56191"/>
    <cellStyle name="20% - Accent2 2 2 8 2 2 3" xfId="39144"/>
    <cellStyle name="20% - Accent2 2 2 8 2 3" xfId="21352"/>
    <cellStyle name="20% - Accent2 2 2 8 2 3 2" xfId="50213"/>
    <cellStyle name="20% - Accent2 2 2 8 2 4" xfId="33103"/>
    <cellStyle name="20% - Accent2 2 2 8 3" xfId="7397"/>
    <cellStyle name="20% - Accent2 2 2 8 3 2" xfId="24444"/>
    <cellStyle name="20% - Accent2 2 2 8 3 2 2" xfId="53305"/>
    <cellStyle name="20% - Accent2 2 2 8 3 3" xfId="36258"/>
    <cellStyle name="20% - Accent2 2 2 8 4" xfId="14236"/>
    <cellStyle name="20% - Accent2 2 2 8 4 2" xfId="18672"/>
    <cellStyle name="20% - Accent2 2 2 8 4 2 2" xfId="47533"/>
    <cellStyle name="20% - Accent2 2 2 8 4 3" xfId="43097"/>
    <cellStyle name="20% - Accent2 2 2 8 5" xfId="15992"/>
    <cellStyle name="20% - Accent2 2 2 8 5 2" xfId="44853"/>
    <cellStyle name="20% - Accent2 2 2 8 6" xfId="30217"/>
    <cellStyle name="20% - Accent2 2 2 9" xfId="1561"/>
    <cellStyle name="20% - Accent2 2 2 9 2" xfId="4448"/>
    <cellStyle name="20% - Accent2 2 2 9 2 2" xfId="10489"/>
    <cellStyle name="20% - Accent2 2 2 9 2 2 2" xfId="27536"/>
    <cellStyle name="20% - Accent2 2 2 9 2 2 2 2" xfId="56397"/>
    <cellStyle name="20% - Accent2 2 2 9 2 2 3" xfId="39350"/>
    <cellStyle name="20% - Accent2 2 2 9 2 3" xfId="21558"/>
    <cellStyle name="20% - Accent2 2 2 9 2 3 2" xfId="50419"/>
    <cellStyle name="20% - Accent2 2 2 9 2 4" xfId="33309"/>
    <cellStyle name="20% - Accent2 2 2 9 3" xfId="7603"/>
    <cellStyle name="20% - Accent2 2 2 9 3 2" xfId="24650"/>
    <cellStyle name="20% - Accent2 2 2 9 3 2 2" xfId="53511"/>
    <cellStyle name="20% - Accent2 2 2 9 3 3" xfId="36464"/>
    <cellStyle name="20% - Accent2 2 2 9 4" xfId="12026"/>
    <cellStyle name="20% - Accent2 2 2 9 4 2" xfId="18878"/>
    <cellStyle name="20% - Accent2 2 2 9 4 2 2" xfId="47739"/>
    <cellStyle name="20% - Accent2 2 2 9 4 3" xfId="40887"/>
    <cellStyle name="20% - Accent2 2 2 9 5" xfId="16198"/>
    <cellStyle name="20% - Accent2 2 2 9 5 2" xfId="45059"/>
    <cellStyle name="20% - Accent2 2 2 9 6" xfId="30423"/>
    <cellStyle name="20% - Accent2 2 20" xfId="6135"/>
    <cellStyle name="20% - Accent2 2 20 2" xfId="23182"/>
    <cellStyle name="20% - Accent2 2 20 2 2" xfId="52043"/>
    <cellStyle name="20% - Accent2 2 20 3" xfId="34996"/>
    <cellStyle name="20% - Accent2 2 21" xfId="14524"/>
    <cellStyle name="20% - Accent2 2 21 2" xfId="43385"/>
    <cellStyle name="20% - Accent2 2 22" xfId="28955"/>
    <cellStyle name="20% - Accent2 2 3" xfId="145"/>
    <cellStyle name="20% - Accent2 2 3 10" xfId="1793"/>
    <cellStyle name="20% - Accent2 2 3 10 2" xfId="4680"/>
    <cellStyle name="20% - Accent2 2 3 10 2 2" xfId="10721"/>
    <cellStyle name="20% - Accent2 2 3 10 2 2 2" xfId="27768"/>
    <cellStyle name="20% - Accent2 2 3 10 2 2 2 2" xfId="56629"/>
    <cellStyle name="20% - Accent2 2 3 10 2 2 3" xfId="39582"/>
    <cellStyle name="20% - Accent2 2 3 10 2 3" xfId="21790"/>
    <cellStyle name="20% - Accent2 2 3 10 2 3 2" xfId="50651"/>
    <cellStyle name="20% - Accent2 2 3 10 2 4" xfId="33541"/>
    <cellStyle name="20% - Accent2 2 3 10 3" xfId="7835"/>
    <cellStyle name="20% - Accent2 2 3 10 3 2" xfId="24882"/>
    <cellStyle name="20% - Accent2 2 3 10 3 2 2" xfId="53743"/>
    <cellStyle name="20% - Accent2 2 3 10 3 3" xfId="36696"/>
    <cellStyle name="20% - Accent2 2 3 10 4" xfId="14102"/>
    <cellStyle name="20% - Accent2 2 3 10 4 2" xfId="19110"/>
    <cellStyle name="20% - Accent2 2 3 10 4 2 2" xfId="47971"/>
    <cellStyle name="20% - Accent2 2 3 10 4 3" xfId="42963"/>
    <cellStyle name="20% - Accent2 2 3 10 5" xfId="16430"/>
    <cellStyle name="20% - Accent2 2 3 10 5 2" xfId="45291"/>
    <cellStyle name="20% - Accent2 2 3 10 6" xfId="30655"/>
    <cellStyle name="20% - Accent2 2 3 11" xfId="1999"/>
    <cellStyle name="20% - Accent2 2 3 11 2" xfId="4886"/>
    <cellStyle name="20% - Accent2 2 3 11 2 2" xfId="10927"/>
    <cellStyle name="20% - Accent2 2 3 11 2 2 2" xfId="27974"/>
    <cellStyle name="20% - Accent2 2 3 11 2 2 2 2" xfId="56835"/>
    <cellStyle name="20% - Accent2 2 3 11 2 2 3" xfId="39788"/>
    <cellStyle name="20% - Accent2 2 3 11 2 3" xfId="21996"/>
    <cellStyle name="20% - Accent2 2 3 11 2 3 2" xfId="50857"/>
    <cellStyle name="20% - Accent2 2 3 11 2 4" xfId="33747"/>
    <cellStyle name="20% - Accent2 2 3 11 3" xfId="8041"/>
    <cellStyle name="20% - Accent2 2 3 11 3 2" xfId="25088"/>
    <cellStyle name="20% - Accent2 2 3 11 3 2 2" xfId="53949"/>
    <cellStyle name="20% - Accent2 2 3 11 3 3" xfId="36902"/>
    <cellStyle name="20% - Accent2 2 3 11 4" xfId="11933"/>
    <cellStyle name="20% - Accent2 2 3 11 4 2" xfId="19316"/>
    <cellStyle name="20% - Accent2 2 3 11 4 2 2" xfId="48177"/>
    <cellStyle name="20% - Accent2 2 3 11 4 3" xfId="40794"/>
    <cellStyle name="20% - Accent2 2 3 11 5" xfId="16636"/>
    <cellStyle name="20% - Accent2 2 3 11 5 2" xfId="45497"/>
    <cellStyle name="20% - Accent2 2 3 11 6" xfId="30861"/>
    <cellStyle name="20% - Accent2 2 3 12" xfId="2411"/>
    <cellStyle name="20% - Accent2 2 3 12 2" xfId="5298"/>
    <cellStyle name="20% - Accent2 2 3 12 2 2" xfId="11339"/>
    <cellStyle name="20% - Accent2 2 3 12 2 2 2" xfId="28386"/>
    <cellStyle name="20% - Accent2 2 3 12 2 2 2 2" xfId="57247"/>
    <cellStyle name="20% - Accent2 2 3 12 2 2 3" xfId="40200"/>
    <cellStyle name="20% - Accent2 2 3 12 2 3" xfId="22408"/>
    <cellStyle name="20% - Accent2 2 3 12 2 3 2" xfId="51269"/>
    <cellStyle name="20% - Accent2 2 3 12 2 4" xfId="34159"/>
    <cellStyle name="20% - Accent2 2 3 12 3" xfId="8453"/>
    <cellStyle name="20% - Accent2 2 3 12 3 2" xfId="25500"/>
    <cellStyle name="20% - Accent2 2 3 12 3 2 2" xfId="54361"/>
    <cellStyle name="20% - Accent2 2 3 12 3 3" xfId="37314"/>
    <cellStyle name="20% - Accent2 2 3 12 4" xfId="12017"/>
    <cellStyle name="20% - Accent2 2 3 12 4 2" xfId="19728"/>
    <cellStyle name="20% - Accent2 2 3 12 4 2 2" xfId="48589"/>
    <cellStyle name="20% - Accent2 2 3 12 4 3" xfId="40878"/>
    <cellStyle name="20% - Accent2 2 3 12 5" xfId="17048"/>
    <cellStyle name="20% - Accent2 2 3 12 5 2" xfId="45909"/>
    <cellStyle name="20% - Accent2 2 3 12 6" xfId="31273"/>
    <cellStyle name="20% - Accent2 2 3 13" xfId="2620"/>
    <cellStyle name="20% - Accent2 2 3 13 2" xfId="5506"/>
    <cellStyle name="20% - Accent2 2 3 13 2 2" xfId="11547"/>
    <cellStyle name="20% - Accent2 2 3 13 2 2 2" xfId="28594"/>
    <cellStyle name="20% - Accent2 2 3 13 2 2 2 2" xfId="57455"/>
    <cellStyle name="20% - Accent2 2 3 13 2 2 3" xfId="40408"/>
    <cellStyle name="20% - Accent2 2 3 13 2 3" xfId="22616"/>
    <cellStyle name="20% - Accent2 2 3 13 2 3 2" xfId="51477"/>
    <cellStyle name="20% - Accent2 2 3 13 2 4" xfId="34367"/>
    <cellStyle name="20% - Accent2 2 3 13 3" xfId="8661"/>
    <cellStyle name="20% - Accent2 2 3 13 3 2" xfId="25708"/>
    <cellStyle name="20% - Accent2 2 3 13 3 2 2" xfId="54569"/>
    <cellStyle name="20% - Accent2 2 3 13 3 3" xfId="37522"/>
    <cellStyle name="20% - Accent2 2 3 13 4" xfId="14046"/>
    <cellStyle name="20% - Accent2 2 3 13 4 2" xfId="19936"/>
    <cellStyle name="20% - Accent2 2 3 13 4 2 2" xfId="48797"/>
    <cellStyle name="20% - Accent2 2 3 13 4 3" xfId="42907"/>
    <cellStyle name="20% - Accent2 2 3 13 5" xfId="17256"/>
    <cellStyle name="20% - Accent2 2 3 13 5 2" xfId="46117"/>
    <cellStyle name="20% - Accent2 2 3 13 6" xfId="31481"/>
    <cellStyle name="20% - Accent2 2 3 14" xfId="3032"/>
    <cellStyle name="20% - Accent2 2 3 14 2" xfId="9073"/>
    <cellStyle name="20% - Accent2 2 3 14 2 2" xfId="26120"/>
    <cellStyle name="20% - Accent2 2 3 14 2 2 2" xfId="54981"/>
    <cellStyle name="20% - Accent2 2 3 14 2 3" xfId="37934"/>
    <cellStyle name="20% - Accent2 2 3 14 3" xfId="14387"/>
    <cellStyle name="20% - Accent2 2 3 14 3 2" xfId="20142"/>
    <cellStyle name="20% - Accent2 2 3 14 3 2 2" xfId="49003"/>
    <cellStyle name="20% - Accent2 2 3 14 3 3" xfId="43248"/>
    <cellStyle name="20% - Accent2 2 3 14 4" xfId="14782"/>
    <cellStyle name="20% - Accent2 2 3 14 4 2" xfId="43643"/>
    <cellStyle name="20% - Accent2 2 3 14 5" xfId="31893"/>
    <cellStyle name="20% - Accent2 2 3 15" xfId="2826"/>
    <cellStyle name="20% - Accent2 2 3 15 2" xfId="8867"/>
    <cellStyle name="20% - Accent2 2 3 15 2 2" xfId="25914"/>
    <cellStyle name="20% - Accent2 2 3 15 2 2 2" xfId="54775"/>
    <cellStyle name="20% - Accent2 2 3 15 2 3" xfId="37728"/>
    <cellStyle name="20% - Accent2 2 3 15 3" xfId="17462"/>
    <cellStyle name="20% - Accent2 2 3 15 3 2" xfId="46323"/>
    <cellStyle name="20% - Accent2 2 3 15 4" xfId="31687"/>
    <cellStyle name="20% - Accent2 2 3 16" xfId="5712"/>
    <cellStyle name="20% - Accent2 2 3 16 2" xfId="11753"/>
    <cellStyle name="20% - Accent2 2 3 16 2 2" xfId="28800"/>
    <cellStyle name="20% - Accent2 2 3 16 2 2 2" xfId="57661"/>
    <cellStyle name="20% - Accent2 2 3 16 2 3" xfId="40614"/>
    <cellStyle name="20% - Accent2 2 3 16 3" xfId="22822"/>
    <cellStyle name="20% - Accent2 2 3 16 3 2" xfId="51683"/>
    <cellStyle name="20% - Accent2 2 3 16 4" xfId="34573"/>
    <cellStyle name="20% - Accent2 2 3 17" xfId="5929"/>
    <cellStyle name="20% - Accent2 2 3 17 2" xfId="23028"/>
    <cellStyle name="20% - Accent2 2 3 17 2 2" xfId="51889"/>
    <cellStyle name="20% - Accent2 2 3 17 3" xfId="34790"/>
    <cellStyle name="20% - Accent2 2 3 18" xfId="6187"/>
    <cellStyle name="20% - Accent2 2 3 18 2" xfId="23234"/>
    <cellStyle name="20% - Accent2 2 3 18 2 2" xfId="52095"/>
    <cellStyle name="20% - Accent2 2 3 18 3" xfId="35048"/>
    <cellStyle name="20% - Accent2 2 3 19" xfId="14576"/>
    <cellStyle name="20% - Accent2 2 3 19 2" xfId="43437"/>
    <cellStyle name="20% - Accent2 2 3 2" xfId="351"/>
    <cellStyle name="20% - Accent2 2 3 2 10" xfId="2514"/>
    <cellStyle name="20% - Accent2 2 3 2 10 2" xfId="5401"/>
    <cellStyle name="20% - Accent2 2 3 2 10 2 2" xfId="11442"/>
    <cellStyle name="20% - Accent2 2 3 2 10 2 2 2" xfId="28489"/>
    <cellStyle name="20% - Accent2 2 3 2 10 2 2 2 2" xfId="57350"/>
    <cellStyle name="20% - Accent2 2 3 2 10 2 2 3" xfId="40303"/>
    <cellStyle name="20% - Accent2 2 3 2 10 2 3" xfId="22511"/>
    <cellStyle name="20% - Accent2 2 3 2 10 2 3 2" xfId="51372"/>
    <cellStyle name="20% - Accent2 2 3 2 10 2 4" xfId="34262"/>
    <cellStyle name="20% - Accent2 2 3 2 10 3" xfId="8556"/>
    <cellStyle name="20% - Accent2 2 3 2 10 3 2" xfId="25603"/>
    <cellStyle name="20% - Accent2 2 3 2 10 3 2 2" xfId="54464"/>
    <cellStyle name="20% - Accent2 2 3 2 10 3 3" xfId="37417"/>
    <cellStyle name="20% - Accent2 2 3 2 10 4" xfId="12131"/>
    <cellStyle name="20% - Accent2 2 3 2 10 4 2" xfId="19831"/>
    <cellStyle name="20% - Accent2 2 3 2 10 4 2 2" xfId="48692"/>
    <cellStyle name="20% - Accent2 2 3 2 10 4 3" xfId="40992"/>
    <cellStyle name="20% - Accent2 2 3 2 10 5" xfId="17151"/>
    <cellStyle name="20% - Accent2 2 3 2 10 5 2" xfId="46012"/>
    <cellStyle name="20% - Accent2 2 3 2 10 6" xfId="31376"/>
    <cellStyle name="20% - Accent2 2 3 2 11" xfId="2723"/>
    <cellStyle name="20% - Accent2 2 3 2 11 2" xfId="5609"/>
    <cellStyle name="20% - Accent2 2 3 2 11 2 2" xfId="11650"/>
    <cellStyle name="20% - Accent2 2 3 2 11 2 2 2" xfId="28697"/>
    <cellStyle name="20% - Accent2 2 3 2 11 2 2 2 2" xfId="57558"/>
    <cellStyle name="20% - Accent2 2 3 2 11 2 2 3" xfId="40511"/>
    <cellStyle name="20% - Accent2 2 3 2 11 2 3" xfId="22719"/>
    <cellStyle name="20% - Accent2 2 3 2 11 2 3 2" xfId="51580"/>
    <cellStyle name="20% - Accent2 2 3 2 11 2 4" xfId="34470"/>
    <cellStyle name="20% - Accent2 2 3 2 11 3" xfId="8764"/>
    <cellStyle name="20% - Accent2 2 3 2 11 3 2" xfId="25811"/>
    <cellStyle name="20% - Accent2 2 3 2 11 3 2 2" xfId="54672"/>
    <cellStyle name="20% - Accent2 2 3 2 11 3 3" xfId="37625"/>
    <cellStyle name="20% - Accent2 2 3 2 11 4" xfId="13278"/>
    <cellStyle name="20% - Accent2 2 3 2 11 4 2" xfId="20039"/>
    <cellStyle name="20% - Accent2 2 3 2 11 4 2 2" xfId="48900"/>
    <cellStyle name="20% - Accent2 2 3 2 11 4 3" xfId="42139"/>
    <cellStyle name="20% - Accent2 2 3 2 11 5" xfId="17359"/>
    <cellStyle name="20% - Accent2 2 3 2 11 5 2" xfId="46220"/>
    <cellStyle name="20% - Accent2 2 3 2 11 6" xfId="31584"/>
    <cellStyle name="20% - Accent2 2 3 2 12" xfId="3238"/>
    <cellStyle name="20% - Accent2 2 3 2 12 2" xfId="9279"/>
    <cellStyle name="20% - Accent2 2 3 2 12 2 2" xfId="26326"/>
    <cellStyle name="20% - Accent2 2 3 2 12 2 2 2" xfId="55187"/>
    <cellStyle name="20% - Accent2 2 3 2 12 2 3" xfId="38140"/>
    <cellStyle name="20% - Accent2 2 3 2 12 3" xfId="12500"/>
    <cellStyle name="20% - Accent2 2 3 2 12 3 2" xfId="20348"/>
    <cellStyle name="20% - Accent2 2 3 2 12 3 2 2" xfId="49209"/>
    <cellStyle name="20% - Accent2 2 3 2 12 3 3" xfId="41361"/>
    <cellStyle name="20% - Accent2 2 3 2 12 4" xfId="14988"/>
    <cellStyle name="20% - Accent2 2 3 2 12 4 2" xfId="43849"/>
    <cellStyle name="20% - Accent2 2 3 2 12 5" xfId="32099"/>
    <cellStyle name="20% - Accent2 2 3 2 13" xfId="2929"/>
    <cellStyle name="20% - Accent2 2 3 2 13 2" xfId="8970"/>
    <cellStyle name="20% - Accent2 2 3 2 13 2 2" xfId="26017"/>
    <cellStyle name="20% - Accent2 2 3 2 13 2 2 2" xfId="54878"/>
    <cellStyle name="20% - Accent2 2 3 2 13 2 3" xfId="37831"/>
    <cellStyle name="20% - Accent2 2 3 2 13 3" xfId="17565"/>
    <cellStyle name="20% - Accent2 2 3 2 13 3 2" xfId="46426"/>
    <cellStyle name="20% - Accent2 2 3 2 13 4" xfId="31790"/>
    <cellStyle name="20% - Accent2 2 3 2 14" xfId="5815"/>
    <cellStyle name="20% - Accent2 2 3 2 14 2" xfId="11856"/>
    <cellStyle name="20% - Accent2 2 3 2 14 2 2" xfId="28903"/>
    <cellStyle name="20% - Accent2 2 3 2 14 2 2 2" xfId="57764"/>
    <cellStyle name="20% - Accent2 2 3 2 14 2 3" xfId="40717"/>
    <cellStyle name="20% - Accent2 2 3 2 14 3" xfId="22925"/>
    <cellStyle name="20% - Accent2 2 3 2 14 3 2" xfId="51786"/>
    <cellStyle name="20% - Accent2 2 3 2 14 4" xfId="34676"/>
    <cellStyle name="20% - Accent2 2 3 2 15" xfId="6032"/>
    <cellStyle name="20% - Accent2 2 3 2 15 2" xfId="23131"/>
    <cellStyle name="20% - Accent2 2 3 2 15 2 2" xfId="51992"/>
    <cellStyle name="20% - Accent2 2 3 2 15 3" xfId="34893"/>
    <cellStyle name="20% - Accent2 2 3 2 16" xfId="6393"/>
    <cellStyle name="20% - Accent2 2 3 2 16 2" xfId="23440"/>
    <cellStyle name="20% - Accent2 2 3 2 16 2 2" xfId="52301"/>
    <cellStyle name="20% - Accent2 2 3 2 16 3" xfId="35254"/>
    <cellStyle name="20% - Accent2 2 3 2 17" xfId="14679"/>
    <cellStyle name="20% - Accent2 2 3 2 17 2" xfId="43540"/>
    <cellStyle name="20% - Accent2 2 3 2 18" xfId="29213"/>
    <cellStyle name="20% - Accent2 2 3 2 2" xfId="557"/>
    <cellStyle name="20% - Accent2 2 3 2 2 2" xfId="2308"/>
    <cellStyle name="20% - Accent2 2 3 2 2 2 2" xfId="5195"/>
    <cellStyle name="20% - Accent2 2 3 2 2 2 2 2" xfId="11236"/>
    <cellStyle name="20% - Accent2 2 3 2 2 2 2 2 2" xfId="28283"/>
    <cellStyle name="20% - Accent2 2 3 2 2 2 2 2 2 2" xfId="57144"/>
    <cellStyle name="20% - Accent2 2 3 2 2 2 2 2 3" xfId="40097"/>
    <cellStyle name="20% - Accent2 2 3 2 2 2 2 3" xfId="22305"/>
    <cellStyle name="20% - Accent2 2 3 2 2 2 2 3 2" xfId="51166"/>
    <cellStyle name="20% - Accent2 2 3 2 2 2 2 4" xfId="34056"/>
    <cellStyle name="20% - Accent2 2 3 2 2 2 3" xfId="8350"/>
    <cellStyle name="20% - Accent2 2 3 2 2 2 3 2" xfId="25397"/>
    <cellStyle name="20% - Accent2 2 3 2 2 2 3 2 2" xfId="54258"/>
    <cellStyle name="20% - Accent2 2 3 2 2 2 3 3" xfId="37211"/>
    <cellStyle name="20% - Accent2 2 3 2 2 2 4" xfId="12221"/>
    <cellStyle name="20% - Accent2 2 3 2 2 2 4 2" xfId="19625"/>
    <cellStyle name="20% - Accent2 2 3 2 2 2 4 2 2" xfId="48486"/>
    <cellStyle name="20% - Accent2 2 3 2 2 2 4 3" xfId="41082"/>
    <cellStyle name="20% - Accent2 2 3 2 2 2 5" xfId="16945"/>
    <cellStyle name="20% - Accent2 2 3 2 2 2 5 2" xfId="45806"/>
    <cellStyle name="20% - Accent2 2 3 2 2 2 6" xfId="31170"/>
    <cellStyle name="20% - Accent2 2 3 2 2 3" xfId="3444"/>
    <cellStyle name="20% - Accent2 2 3 2 2 3 2" xfId="9485"/>
    <cellStyle name="20% - Accent2 2 3 2 2 3 2 2" xfId="26532"/>
    <cellStyle name="20% - Accent2 2 3 2 2 3 2 2 2" xfId="55393"/>
    <cellStyle name="20% - Accent2 2 3 2 2 3 2 3" xfId="38346"/>
    <cellStyle name="20% - Accent2 2 3 2 2 3 3" xfId="20554"/>
    <cellStyle name="20% - Accent2 2 3 2 2 3 3 2" xfId="49415"/>
    <cellStyle name="20% - Accent2 2 3 2 2 3 4" xfId="32305"/>
    <cellStyle name="20% - Accent2 2 3 2 2 4" xfId="6599"/>
    <cellStyle name="20% - Accent2 2 3 2 2 4 2" xfId="23646"/>
    <cellStyle name="20% - Accent2 2 3 2 2 4 2 2" xfId="52507"/>
    <cellStyle name="20% - Accent2 2 3 2 2 4 3" xfId="35460"/>
    <cellStyle name="20% - Accent2 2 3 2 2 5" xfId="13405"/>
    <cellStyle name="20% - Accent2 2 3 2 2 5 2" xfId="17874"/>
    <cellStyle name="20% - Accent2 2 3 2 2 5 2 2" xfId="46735"/>
    <cellStyle name="20% - Accent2 2 3 2 2 5 3" xfId="42266"/>
    <cellStyle name="20% - Accent2 2 3 2 2 6" xfId="15194"/>
    <cellStyle name="20% - Accent2 2 3 2 2 6 2" xfId="44055"/>
    <cellStyle name="20% - Accent2 2 3 2 2 7" xfId="29419"/>
    <cellStyle name="20% - Accent2 2 3 2 3" xfId="866"/>
    <cellStyle name="20% - Accent2 2 3 2 3 2" xfId="3753"/>
    <cellStyle name="20% - Accent2 2 3 2 3 2 2" xfId="9794"/>
    <cellStyle name="20% - Accent2 2 3 2 3 2 2 2" xfId="26841"/>
    <cellStyle name="20% - Accent2 2 3 2 3 2 2 2 2" xfId="55702"/>
    <cellStyle name="20% - Accent2 2 3 2 3 2 2 3" xfId="38655"/>
    <cellStyle name="20% - Accent2 2 3 2 3 2 3" xfId="20863"/>
    <cellStyle name="20% - Accent2 2 3 2 3 2 3 2" xfId="49724"/>
    <cellStyle name="20% - Accent2 2 3 2 3 2 4" xfId="32614"/>
    <cellStyle name="20% - Accent2 2 3 2 3 3" xfId="6908"/>
    <cellStyle name="20% - Accent2 2 3 2 3 3 2" xfId="23955"/>
    <cellStyle name="20% - Accent2 2 3 2 3 3 2 2" xfId="52816"/>
    <cellStyle name="20% - Accent2 2 3 2 3 3 3" xfId="35769"/>
    <cellStyle name="20% - Accent2 2 3 2 3 4" xfId="14352"/>
    <cellStyle name="20% - Accent2 2 3 2 3 4 2" xfId="18183"/>
    <cellStyle name="20% - Accent2 2 3 2 3 4 2 2" xfId="47044"/>
    <cellStyle name="20% - Accent2 2 3 2 3 4 3" xfId="43213"/>
    <cellStyle name="20% - Accent2 2 3 2 3 5" xfId="15503"/>
    <cellStyle name="20% - Accent2 2 3 2 3 5 2" xfId="44364"/>
    <cellStyle name="20% - Accent2 2 3 2 3 6" xfId="29728"/>
    <cellStyle name="20% - Accent2 2 3 2 4" xfId="1072"/>
    <cellStyle name="20% - Accent2 2 3 2 4 2" xfId="3959"/>
    <cellStyle name="20% - Accent2 2 3 2 4 2 2" xfId="10000"/>
    <cellStyle name="20% - Accent2 2 3 2 4 2 2 2" xfId="27047"/>
    <cellStyle name="20% - Accent2 2 3 2 4 2 2 2 2" xfId="55908"/>
    <cellStyle name="20% - Accent2 2 3 2 4 2 2 3" xfId="38861"/>
    <cellStyle name="20% - Accent2 2 3 2 4 2 3" xfId="21069"/>
    <cellStyle name="20% - Accent2 2 3 2 4 2 3 2" xfId="49930"/>
    <cellStyle name="20% - Accent2 2 3 2 4 2 4" xfId="32820"/>
    <cellStyle name="20% - Accent2 2 3 2 4 3" xfId="7114"/>
    <cellStyle name="20% - Accent2 2 3 2 4 3 2" xfId="24161"/>
    <cellStyle name="20% - Accent2 2 3 2 4 3 2 2" xfId="53022"/>
    <cellStyle name="20% - Accent2 2 3 2 4 3 3" xfId="35975"/>
    <cellStyle name="20% - Accent2 2 3 2 4 4" xfId="12276"/>
    <cellStyle name="20% - Accent2 2 3 2 4 4 2" xfId="18389"/>
    <cellStyle name="20% - Accent2 2 3 2 4 4 2 2" xfId="47250"/>
    <cellStyle name="20% - Accent2 2 3 2 4 4 3" xfId="41137"/>
    <cellStyle name="20% - Accent2 2 3 2 4 5" xfId="15709"/>
    <cellStyle name="20% - Accent2 2 3 2 4 5 2" xfId="44570"/>
    <cellStyle name="20% - Accent2 2 3 2 4 6" xfId="29934"/>
    <cellStyle name="20% - Accent2 2 3 2 5" xfId="1278"/>
    <cellStyle name="20% - Accent2 2 3 2 5 2" xfId="4165"/>
    <cellStyle name="20% - Accent2 2 3 2 5 2 2" xfId="10206"/>
    <cellStyle name="20% - Accent2 2 3 2 5 2 2 2" xfId="27253"/>
    <cellStyle name="20% - Accent2 2 3 2 5 2 2 2 2" xfId="56114"/>
    <cellStyle name="20% - Accent2 2 3 2 5 2 2 3" xfId="39067"/>
    <cellStyle name="20% - Accent2 2 3 2 5 2 3" xfId="21275"/>
    <cellStyle name="20% - Accent2 2 3 2 5 2 3 2" xfId="50136"/>
    <cellStyle name="20% - Accent2 2 3 2 5 2 4" xfId="33026"/>
    <cellStyle name="20% - Accent2 2 3 2 5 3" xfId="7320"/>
    <cellStyle name="20% - Accent2 2 3 2 5 3 2" xfId="24367"/>
    <cellStyle name="20% - Accent2 2 3 2 5 3 2 2" xfId="53228"/>
    <cellStyle name="20% - Accent2 2 3 2 5 3 3" xfId="36181"/>
    <cellStyle name="20% - Accent2 2 3 2 5 4" xfId="12657"/>
    <cellStyle name="20% - Accent2 2 3 2 5 4 2" xfId="18595"/>
    <cellStyle name="20% - Accent2 2 3 2 5 4 2 2" xfId="47456"/>
    <cellStyle name="20% - Accent2 2 3 2 5 4 3" xfId="41518"/>
    <cellStyle name="20% - Accent2 2 3 2 5 5" xfId="15915"/>
    <cellStyle name="20% - Accent2 2 3 2 5 5 2" xfId="44776"/>
    <cellStyle name="20% - Accent2 2 3 2 5 6" xfId="30140"/>
    <cellStyle name="20% - Accent2 2 3 2 6" xfId="1484"/>
    <cellStyle name="20% - Accent2 2 3 2 6 2" xfId="4371"/>
    <cellStyle name="20% - Accent2 2 3 2 6 2 2" xfId="10412"/>
    <cellStyle name="20% - Accent2 2 3 2 6 2 2 2" xfId="27459"/>
    <cellStyle name="20% - Accent2 2 3 2 6 2 2 2 2" xfId="56320"/>
    <cellStyle name="20% - Accent2 2 3 2 6 2 2 3" xfId="39273"/>
    <cellStyle name="20% - Accent2 2 3 2 6 2 3" xfId="21481"/>
    <cellStyle name="20% - Accent2 2 3 2 6 2 3 2" xfId="50342"/>
    <cellStyle name="20% - Accent2 2 3 2 6 2 4" xfId="33232"/>
    <cellStyle name="20% - Accent2 2 3 2 6 3" xfId="7526"/>
    <cellStyle name="20% - Accent2 2 3 2 6 3 2" xfId="24573"/>
    <cellStyle name="20% - Accent2 2 3 2 6 3 2 2" xfId="53434"/>
    <cellStyle name="20% - Accent2 2 3 2 6 3 3" xfId="36387"/>
    <cellStyle name="20% - Accent2 2 3 2 6 4" xfId="13669"/>
    <cellStyle name="20% - Accent2 2 3 2 6 4 2" xfId="18801"/>
    <cellStyle name="20% - Accent2 2 3 2 6 4 2 2" xfId="47662"/>
    <cellStyle name="20% - Accent2 2 3 2 6 4 3" xfId="42530"/>
    <cellStyle name="20% - Accent2 2 3 2 6 5" xfId="16121"/>
    <cellStyle name="20% - Accent2 2 3 2 6 5 2" xfId="44982"/>
    <cellStyle name="20% - Accent2 2 3 2 6 6" xfId="30346"/>
    <cellStyle name="20% - Accent2 2 3 2 7" xfId="1690"/>
    <cellStyle name="20% - Accent2 2 3 2 7 2" xfId="4577"/>
    <cellStyle name="20% - Accent2 2 3 2 7 2 2" xfId="10618"/>
    <cellStyle name="20% - Accent2 2 3 2 7 2 2 2" xfId="27665"/>
    <cellStyle name="20% - Accent2 2 3 2 7 2 2 2 2" xfId="56526"/>
    <cellStyle name="20% - Accent2 2 3 2 7 2 2 3" xfId="39479"/>
    <cellStyle name="20% - Accent2 2 3 2 7 2 3" xfId="21687"/>
    <cellStyle name="20% - Accent2 2 3 2 7 2 3 2" xfId="50548"/>
    <cellStyle name="20% - Accent2 2 3 2 7 2 4" xfId="33438"/>
    <cellStyle name="20% - Accent2 2 3 2 7 3" xfId="7732"/>
    <cellStyle name="20% - Accent2 2 3 2 7 3 2" xfId="24779"/>
    <cellStyle name="20% - Accent2 2 3 2 7 3 2 2" xfId="53640"/>
    <cellStyle name="20% - Accent2 2 3 2 7 3 3" xfId="36593"/>
    <cellStyle name="20% - Accent2 2 3 2 7 4" xfId="14478"/>
    <cellStyle name="20% - Accent2 2 3 2 7 4 2" xfId="19007"/>
    <cellStyle name="20% - Accent2 2 3 2 7 4 2 2" xfId="47868"/>
    <cellStyle name="20% - Accent2 2 3 2 7 4 3" xfId="43339"/>
    <cellStyle name="20% - Accent2 2 3 2 7 5" xfId="16327"/>
    <cellStyle name="20% - Accent2 2 3 2 7 5 2" xfId="45188"/>
    <cellStyle name="20% - Accent2 2 3 2 7 6" xfId="30552"/>
    <cellStyle name="20% - Accent2 2 3 2 8" xfId="1896"/>
    <cellStyle name="20% - Accent2 2 3 2 8 2" xfId="4783"/>
    <cellStyle name="20% - Accent2 2 3 2 8 2 2" xfId="10824"/>
    <cellStyle name="20% - Accent2 2 3 2 8 2 2 2" xfId="27871"/>
    <cellStyle name="20% - Accent2 2 3 2 8 2 2 2 2" xfId="56732"/>
    <cellStyle name="20% - Accent2 2 3 2 8 2 2 3" xfId="39685"/>
    <cellStyle name="20% - Accent2 2 3 2 8 2 3" xfId="21893"/>
    <cellStyle name="20% - Accent2 2 3 2 8 2 3 2" xfId="50754"/>
    <cellStyle name="20% - Accent2 2 3 2 8 2 4" xfId="33644"/>
    <cellStyle name="20% - Accent2 2 3 2 8 3" xfId="7938"/>
    <cellStyle name="20% - Accent2 2 3 2 8 3 2" xfId="24985"/>
    <cellStyle name="20% - Accent2 2 3 2 8 3 2 2" xfId="53846"/>
    <cellStyle name="20% - Accent2 2 3 2 8 3 3" xfId="36799"/>
    <cellStyle name="20% - Accent2 2 3 2 8 4" xfId="13325"/>
    <cellStyle name="20% - Accent2 2 3 2 8 4 2" xfId="19213"/>
    <cellStyle name="20% - Accent2 2 3 2 8 4 2 2" xfId="48074"/>
    <cellStyle name="20% - Accent2 2 3 2 8 4 3" xfId="42186"/>
    <cellStyle name="20% - Accent2 2 3 2 8 5" xfId="16533"/>
    <cellStyle name="20% - Accent2 2 3 2 8 5 2" xfId="45394"/>
    <cellStyle name="20% - Accent2 2 3 2 8 6" xfId="30758"/>
    <cellStyle name="20% - Accent2 2 3 2 9" xfId="2102"/>
    <cellStyle name="20% - Accent2 2 3 2 9 2" xfId="4989"/>
    <cellStyle name="20% - Accent2 2 3 2 9 2 2" xfId="11030"/>
    <cellStyle name="20% - Accent2 2 3 2 9 2 2 2" xfId="28077"/>
    <cellStyle name="20% - Accent2 2 3 2 9 2 2 2 2" xfId="56938"/>
    <cellStyle name="20% - Accent2 2 3 2 9 2 2 3" xfId="39891"/>
    <cellStyle name="20% - Accent2 2 3 2 9 2 3" xfId="22099"/>
    <cellStyle name="20% - Accent2 2 3 2 9 2 3 2" xfId="50960"/>
    <cellStyle name="20% - Accent2 2 3 2 9 2 4" xfId="33850"/>
    <cellStyle name="20% - Accent2 2 3 2 9 3" xfId="8144"/>
    <cellStyle name="20% - Accent2 2 3 2 9 3 2" xfId="25191"/>
    <cellStyle name="20% - Accent2 2 3 2 9 3 2 2" xfId="54052"/>
    <cellStyle name="20% - Accent2 2 3 2 9 3 3" xfId="37005"/>
    <cellStyle name="20% - Accent2 2 3 2 9 4" xfId="12271"/>
    <cellStyle name="20% - Accent2 2 3 2 9 4 2" xfId="19419"/>
    <cellStyle name="20% - Accent2 2 3 2 9 4 2 2" xfId="48280"/>
    <cellStyle name="20% - Accent2 2 3 2 9 4 3" xfId="41132"/>
    <cellStyle name="20% - Accent2 2 3 2 9 5" xfId="16739"/>
    <cellStyle name="20% - Accent2 2 3 2 9 5 2" xfId="45600"/>
    <cellStyle name="20% - Accent2 2 3 2 9 6" xfId="30964"/>
    <cellStyle name="20% - Accent2 2 3 20" xfId="29007"/>
    <cellStyle name="20% - Accent2 2 3 3" xfId="248"/>
    <cellStyle name="20% - Accent2 2 3 3 2" xfId="660"/>
    <cellStyle name="20% - Accent2 2 3 3 2 2" xfId="3547"/>
    <cellStyle name="20% - Accent2 2 3 3 2 2 2" xfId="9588"/>
    <cellStyle name="20% - Accent2 2 3 3 2 2 2 2" xfId="26635"/>
    <cellStyle name="20% - Accent2 2 3 3 2 2 2 2 2" xfId="55496"/>
    <cellStyle name="20% - Accent2 2 3 3 2 2 2 3" xfId="38449"/>
    <cellStyle name="20% - Accent2 2 3 3 2 2 3" xfId="20657"/>
    <cellStyle name="20% - Accent2 2 3 3 2 2 3 2" xfId="49518"/>
    <cellStyle name="20% - Accent2 2 3 3 2 2 4" xfId="32408"/>
    <cellStyle name="20% - Accent2 2 3 3 2 3" xfId="6702"/>
    <cellStyle name="20% - Accent2 2 3 3 2 3 2" xfId="23749"/>
    <cellStyle name="20% - Accent2 2 3 3 2 3 2 2" xfId="52610"/>
    <cellStyle name="20% - Accent2 2 3 3 2 3 3" xfId="35563"/>
    <cellStyle name="20% - Accent2 2 3 3 2 4" xfId="13756"/>
    <cellStyle name="20% - Accent2 2 3 3 2 4 2" xfId="17977"/>
    <cellStyle name="20% - Accent2 2 3 3 2 4 2 2" xfId="46838"/>
    <cellStyle name="20% - Accent2 2 3 3 2 4 3" xfId="42617"/>
    <cellStyle name="20% - Accent2 2 3 3 2 5" xfId="15297"/>
    <cellStyle name="20% - Accent2 2 3 3 2 5 2" xfId="44158"/>
    <cellStyle name="20% - Accent2 2 3 3 2 6" xfId="29522"/>
    <cellStyle name="20% - Accent2 2 3 3 3" xfId="2205"/>
    <cellStyle name="20% - Accent2 2 3 3 3 2" xfId="5092"/>
    <cellStyle name="20% - Accent2 2 3 3 3 2 2" xfId="11133"/>
    <cellStyle name="20% - Accent2 2 3 3 3 2 2 2" xfId="28180"/>
    <cellStyle name="20% - Accent2 2 3 3 3 2 2 2 2" xfId="57041"/>
    <cellStyle name="20% - Accent2 2 3 3 3 2 2 3" xfId="39994"/>
    <cellStyle name="20% - Accent2 2 3 3 3 2 3" xfId="22202"/>
    <cellStyle name="20% - Accent2 2 3 3 3 2 3 2" xfId="51063"/>
    <cellStyle name="20% - Accent2 2 3 3 3 2 4" xfId="33953"/>
    <cellStyle name="20% - Accent2 2 3 3 3 3" xfId="8247"/>
    <cellStyle name="20% - Accent2 2 3 3 3 3 2" xfId="25294"/>
    <cellStyle name="20% - Accent2 2 3 3 3 3 2 2" xfId="54155"/>
    <cellStyle name="20% - Accent2 2 3 3 3 3 3" xfId="37108"/>
    <cellStyle name="20% - Accent2 2 3 3 3 4" xfId="13342"/>
    <cellStyle name="20% - Accent2 2 3 3 3 4 2" xfId="19522"/>
    <cellStyle name="20% - Accent2 2 3 3 3 4 2 2" xfId="48383"/>
    <cellStyle name="20% - Accent2 2 3 3 3 4 3" xfId="42203"/>
    <cellStyle name="20% - Accent2 2 3 3 3 5" xfId="16842"/>
    <cellStyle name="20% - Accent2 2 3 3 3 5 2" xfId="45703"/>
    <cellStyle name="20% - Accent2 2 3 3 3 6" xfId="31067"/>
    <cellStyle name="20% - Accent2 2 3 3 4" xfId="3135"/>
    <cellStyle name="20% - Accent2 2 3 3 4 2" xfId="9176"/>
    <cellStyle name="20% - Accent2 2 3 3 4 2 2" xfId="26223"/>
    <cellStyle name="20% - Accent2 2 3 3 4 2 2 2" xfId="55084"/>
    <cellStyle name="20% - Accent2 2 3 3 4 2 3" xfId="38037"/>
    <cellStyle name="20% - Accent2 2 3 3 4 3" xfId="20245"/>
    <cellStyle name="20% - Accent2 2 3 3 4 3 2" xfId="49106"/>
    <cellStyle name="20% - Accent2 2 3 3 4 4" xfId="31996"/>
    <cellStyle name="20% - Accent2 2 3 3 5" xfId="6290"/>
    <cellStyle name="20% - Accent2 2 3 3 5 2" xfId="23337"/>
    <cellStyle name="20% - Accent2 2 3 3 5 2 2" xfId="52198"/>
    <cellStyle name="20% - Accent2 2 3 3 5 3" xfId="35151"/>
    <cellStyle name="20% - Accent2 2 3 3 6" xfId="13649"/>
    <cellStyle name="20% - Accent2 2 3 3 6 2" xfId="17668"/>
    <cellStyle name="20% - Accent2 2 3 3 6 2 2" xfId="46529"/>
    <cellStyle name="20% - Accent2 2 3 3 6 3" xfId="42510"/>
    <cellStyle name="20% - Accent2 2 3 3 7" xfId="14885"/>
    <cellStyle name="20% - Accent2 2 3 3 7 2" xfId="43746"/>
    <cellStyle name="20% - Accent2 2 3 3 8" xfId="29110"/>
    <cellStyle name="20% - Accent2 2 3 4" xfId="454"/>
    <cellStyle name="20% - Accent2 2 3 4 2" xfId="3341"/>
    <cellStyle name="20% - Accent2 2 3 4 2 2" xfId="9382"/>
    <cellStyle name="20% - Accent2 2 3 4 2 2 2" xfId="26429"/>
    <cellStyle name="20% - Accent2 2 3 4 2 2 2 2" xfId="55290"/>
    <cellStyle name="20% - Accent2 2 3 4 2 2 3" xfId="38243"/>
    <cellStyle name="20% - Accent2 2 3 4 2 3" xfId="20451"/>
    <cellStyle name="20% - Accent2 2 3 4 2 3 2" xfId="49312"/>
    <cellStyle name="20% - Accent2 2 3 4 2 4" xfId="32202"/>
    <cellStyle name="20% - Accent2 2 3 4 3" xfId="6496"/>
    <cellStyle name="20% - Accent2 2 3 4 3 2" xfId="23543"/>
    <cellStyle name="20% - Accent2 2 3 4 3 2 2" xfId="52404"/>
    <cellStyle name="20% - Accent2 2 3 4 3 3" xfId="35357"/>
    <cellStyle name="20% - Accent2 2 3 4 4" xfId="13263"/>
    <cellStyle name="20% - Accent2 2 3 4 4 2" xfId="17771"/>
    <cellStyle name="20% - Accent2 2 3 4 4 2 2" xfId="46632"/>
    <cellStyle name="20% - Accent2 2 3 4 4 3" xfId="42124"/>
    <cellStyle name="20% - Accent2 2 3 4 5" xfId="15091"/>
    <cellStyle name="20% - Accent2 2 3 4 5 2" xfId="43952"/>
    <cellStyle name="20% - Accent2 2 3 4 6" xfId="29316"/>
    <cellStyle name="20% - Accent2 2 3 5" xfId="763"/>
    <cellStyle name="20% - Accent2 2 3 5 2" xfId="3650"/>
    <cellStyle name="20% - Accent2 2 3 5 2 2" xfId="9691"/>
    <cellStyle name="20% - Accent2 2 3 5 2 2 2" xfId="26738"/>
    <cellStyle name="20% - Accent2 2 3 5 2 2 2 2" xfId="55599"/>
    <cellStyle name="20% - Accent2 2 3 5 2 2 3" xfId="38552"/>
    <cellStyle name="20% - Accent2 2 3 5 2 3" xfId="20760"/>
    <cellStyle name="20% - Accent2 2 3 5 2 3 2" xfId="49621"/>
    <cellStyle name="20% - Accent2 2 3 5 2 4" xfId="32511"/>
    <cellStyle name="20% - Accent2 2 3 5 3" xfId="6805"/>
    <cellStyle name="20% - Accent2 2 3 5 3 2" xfId="23852"/>
    <cellStyle name="20% - Accent2 2 3 5 3 2 2" xfId="52713"/>
    <cellStyle name="20% - Accent2 2 3 5 3 3" xfId="35666"/>
    <cellStyle name="20% - Accent2 2 3 5 4" xfId="12146"/>
    <cellStyle name="20% - Accent2 2 3 5 4 2" xfId="18080"/>
    <cellStyle name="20% - Accent2 2 3 5 4 2 2" xfId="46941"/>
    <cellStyle name="20% - Accent2 2 3 5 4 3" xfId="41007"/>
    <cellStyle name="20% - Accent2 2 3 5 5" xfId="15400"/>
    <cellStyle name="20% - Accent2 2 3 5 5 2" xfId="44261"/>
    <cellStyle name="20% - Accent2 2 3 5 6" xfId="29625"/>
    <cellStyle name="20% - Accent2 2 3 6" xfId="969"/>
    <cellStyle name="20% - Accent2 2 3 6 2" xfId="3856"/>
    <cellStyle name="20% - Accent2 2 3 6 2 2" xfId="9897"/>
    <cellStyle name="20% - Accent2 2 3 6 2 2 2" xfId="26944"/>
    <cellStyle name="20% - Accent2 2 3 6 2 2 2 2" xfId="55805"/>
    <cellStyle name="20% - Accent2 2 3 6 2 2 3" xfId="38758"/>
    <cellStyle name="20% - Accent2 2 3 6 2 3" xfId="20966"/>
    <cellStyle name="20% - Accent2 2 3 6 2 3 2" xfId="49827"/>
    <cellStyle name="20% - Accent2 2 3 6 2 4" xfId="32717"/>
    <cellStyle name="20% - Accent2 2 3 6 3" xfId="7011"/>
    <cellStyle name="20% - Accent2 2 3 6 3 2" xfId="24058"/>
    <cellStyle name="20% - Accent2 2 3 6 3 2 2" xfId="52919"/>
    <cellStyle name="20% - Accent2 2 3 6 3 3" xfId="35872"/>
    <cellStyle name="20% - Accent2 2 3 6 4" xfId="14253"/>
    <cellStyle name="20% - Accent2 2 3 6 4 2" xfId="18286"/>
    <cellStyle name="20% - Accent2 2 3 6 4 2 2" xfId="47147"/>
    <cellStyle name="20% - Accent2 2 3 6 4 3" xfId="43114"/>
    <cellStyle name="20% - Accent2 2 3 6 5" xfId="15606"/>
    <cellStyle name="20% - Accent2 2 3 6 5 2" xfId="44467"/>
    <cellStyle name="20% - Accent2 2 3 6 6" xfId="29831"/>
    <cellStyle name="20% - Accent2 2 3 7" xfId="1175"/>
    <cellStyle name="20% - Accent2 2 3 7 2" xfId="4062"/>
    <cellStyle name="20% - Accent2 2 3 7 2 2" xfId="10103"/>
    <cellStyle name="20% - Accent2 2 3 7 2 2 2" xfId="27150"/>
    <cellStyle name="20% - Accent2 2 3 7 2 2 2 2" xfId="56011"/>
    <cellStyle name="20% - Accent2 2 3 7 2 2 3" xfId="38964"/>
    <cellStyle name="20% - Accent2 2 3 7 2 3" xfId="21172"/>
    <cellStyle name="20% - Accent2 2 3 7 2 3 2" xfId="50033"/>
    <cellStyle name="20% - Accent2 2 3 7 2 4" xfId="32923"/>
    <cellStyle name="20% - Accent2 2 3 7 3" xfId="7217"/>
    <cellStyle name="20% - Accent2 2 3 7 3 2" xfId="24264"/>
    <cellStyle name="20% - Accent2 2 3 7 3 2 2" xfId="53125"/>
    <cellStyle name="20% - Accent2 2 3 7 3 3" xfId="36078"/>
    <cellStyle name="20% - Accent2 2 3 7 4" xfId="14032"/>
    <cellStyle name="20% - Accent2 2 3 7 4 2" xfId="18492"/>
    <cellStyle name="20% - Accent2 2 3 7 4 2 2" xfId="47353"/>
    <cellStyle name="20% - Accent2 2 3 7 4 3" xfId="42893"/>
    <cellStyle name="20% - Accent2 2 3 7 5" xfId="15812"/>
    <cellStyle name="20% - Accent2 2 3 7 5 2" xfId="44673"/>
    <cellStyle name="20% - Accent2 2 3 7 6" xfId="30037"/>
    <cellStyle name="20% - Accent2 2 3 8" xfId="1381"/>
    <cellStyle name="20% - Accent2 2 3 8 2" xfId="4268"/>
    <cellStyle name="20% - Accent2 2 3 8 2 2" xfId="10309"/>
    <cellStyle name="20% - Accent2 2 3 8 2 2 2" xfId="27356"/>
    <cellStyle name="20% - Accent2 2 3 8 2 2 2 2" xfId="56217"/>
    <cellStyle name="20% - Accent2 2 3 8 2 2 3" xfId="39170"/>
    <cellStyle name="20% - Accent2 2 3 8 2 3" xfId="21378"/>
    <cellStyle name="20% - Accent2 2 3 8 2 3 2" xfId="50239"/>
    <cellStyle name="20% - Accent2 2 3 8 2 4" xfId="33129"/>
    <cellStyle name="20% - Accent2 2 3 8 3" xfId="7423"/>
    <cellStyle name="20% - Accent2 2 3 8 3 2" xfId="24470"/>
    <cellStyle name="20% - Accent2 2 3 8 3 2 2" xfId="53331"/>
    <cellStyle name="20% - Accent2 2 3 8 3 3" xfId="36284"/>
    <cellStyle name="20% - Accent2 2 3 8 4" xfId="13824"/>
    <cellStyle name="20% - Accent2 2 3 8 4 2" xfId="18698"/>
    <cellStyle name="20% - Accent2 2 3 8 4 2 2" xfId="47559"/>
    <cellStyle name="20% - Accent2 2 3 8 4 3" xfId="42685"/>
    <cellStyle name="20% - Accent2 2 3 8 5" xfId="16018"/>
    <cellStyle name="20% - Accent2 2 3 8 5 2" xfId="44879"/>
    <cellStyle name="20% - Accent2 2 3 8 6" xfId="30243"/>
    <cellStyle name="20% - Accent2 2 3 9" xfId="1587"/>
    <cellStyle name="20% - Accent2 2 3 9 2" xfId="4474"/>
    <cellStyle name="20% - Accent2 2 3 9 2 2" xfId="10515"/>
    <cellStyle name="20% - Accent2 2 3 9 2 2 2" xfId="27562"/>
    <cellStyle name="20% - Accent2 2 3 9 2 2 2 2" xfId="56423"/>
    <cellStyle name="20% - Accent2 2 3 9 2 2 3" xfId="39376"/>
    <cellStyle name="20% - Accent2 2 3 9 2 3" xfId="21584"/>
    <cellStyle name="20% - Accent2 2 3 9 2 3 2" xfId="50445"/>
    <cellStyle name="20% - Accent2 2 3 9 2 4" xfId="33335"/>
    <cellStyle name="20% - Accent2 2 3 9 3" xfId="7629"/>
    <cellStyle name="20% - Accent2 2 3 9 3 2" xfId="24676"/>
    <cellStyle name="20% - Accent2 2 3 9 3 2 2" xfId="53537"/>
    <cellStyle name="20% - Accent2 2 3 9 3 3" xfId="36490"/>
    <cellStyle name="20% - Accent2 2 3 9 4" xfId="13366"/>
    <cellStyle name="20% - Accent2 2 3 9 4 2" xfId="18904"/>
    <cellStyle name="20% - Accent2 2 3 9 4 2 2" xfId="47765"/>
    <cellStyle name="20% - Accent2 2 3 9 4 3" xfId="42227"/>
    <cellStyle name="20% - Accent2 2 3 9 5" xfId="16224"/>
    <cellStyle name="20% - Accent2 2 3 9 5 2" xfId="45085"/>
    <cellStyle name="20% - Accent2 2 3 9 6" xfId="30449"/>
    <cellStyle name="20% - Accent2 2 4" xfId="299"/>
    <cellStyle name="20% - Accent2 2 4 10" xfId="2462"/>
    <cellStyle name="20% - Accent2 2 4 10 2" xfId="5349"/>
    <cellStyle name="20% - Accent2 2 4 10 2 2" xfId="11390"/>
    <cellStyle name="20% - Accent2 2 4 10 2 2 2" xfId="28437"/>
    <cellStyle name="20% - Accent2 2 4 10 2 2 2 2" xfId="57298"/>
    <cellStyle name="20% - Accent2 2 4 10 2 2 3" xfId="40251"/>
    <cellStyle name="20% - Accent2 2 4 10 2 3" xfId="22459"/>
    <cellStyle name="20% - Accent2 2 4 10 2 3 2" xfId="51320"/>
    <cellStyle name="20% - Accent2 2 4 10 2 4" xfId="34210"/>
    <cellStyle name="20% - Accent2 2 4 10 3" xfId="8504"/>
    <cellStyle name="20% - Accent2 2 4 10 3 2" xfId="25551"/>
    <cellStyle name="20% - Accent2 2 4 10 3 2 2" xfId="54412"/>
    <cellStyle name="20% - Accent2 2 4 10 3 3" xfId="37365"/>
    <cellStyle name="20% - Accent2 2 4 10 4" xfId="13436"/>
    <cellStyle name="20% - Accent2 2 4 10 4 2" xfId="19779"/>
    <cellStyle name="20% - Accent2 2 4 10 4 2 2" xfId="48640"/>
    <cellStyle name="20% - Accent2 2 4 10 4 3" xfId="42297"/>
    <cellStyle name="20% - Accent2 2 4 10 5" xfId="17099"/>
    <cellStyle name="20% - Accent2 2 4 10 5 2" xfId="45960"/>
    <cellStyle name="20% - Accent2 2 4 10 6" xfId="31324"/>
    <cellStyle name="20% - Accent2 2 4 11" xfId="2671"/>
    <cellStyle name="20% - Accent2 2 4 11 2" xfId="5557"/>
    <cellStyle name="20% - Accent2 2 4 11 2 2" xfId="11598"/>
    <cellStyle name="20% - Accent2 2 4 11 2 2 2" xfId="28645"/>
    <cellStyle name="20% - Accent2 2 4 11 2 2 2 2" xfId="57506"/>
    <cellStyle name="20% - Accent2 2 4 11 2 2 3" xfId="40459"/>
    <cellStyle name="20% - Accent2 2 4 11 2 3" xfId="22667"/>
    <cellStyle name="20% - Accent2 2 4 11 2 3 2" xfId="51528"/>
    <cellStyle name="20% - Accent2 2 4 11 2 4" xfId="34418"/>
    <cellStyle name="20% - Accent2 2 4 11 3" xfId="8712"/>
    <cellStyle name="20% - Accent2 2 4 11 3 2" xfId="25759"/>
    <cellStyle name="20% - Accent2 2 4 11 3 2 2" xfId="54620"/>
    <cellStyle name="20% - Accent2 2 4 11 3 3" xfId="37573"/>
    <cellStyle name="20% - Accent2 2 4 11 4" xfId="12161"/>
    <cellStyle name="20% - Accent2 2 4 11 4 2" xfId="19987"/>
    <cellStyle name="20% - Accent2 2 4 11 4 2 2" xfId="48848"/>
    <cellStyle name="20% - Accent2 2 4 11 4 3" xfId="41022"/>
    <cellStyle name="20% - Accent2 2 4 11 5" xfId="17307"/>
    <cellStyle name="20% - Accent2 2 4 11 5 2" xfId="46168"/>
    <cellStyle name="20% - Accent2 2 4 11 6" xfId="31532"/>
    <cellStyle name="20% - Accent2 2 4 12" xfId="3186"/>
    <cellStyle name="20% - Accent2 2 4 12 2" xfId="9227"/>
    <cellStyle name="20% - Accent2 2 4 12 2 2" xfId="26274"/>
    <cellStyle name="20% - Accent2 2 4 12 2 2 2" xfId="55135"/>
    <cellStyle name="20% - Accent2 2 4 12 2 3" xfId="38088"/>
    <cellStyle name="20% - Accent2 2 4 12 3" xfId="6073"/>
    <cellStyle name="20% - Accent2 2 4 12 3 2" xfId="20296"/>
    <cellStyle name="20% - Accent2 2 4 12 3 2 2" xfId="49157"/>
    <cellStyle name="20% - Accent2 2 4 12 3 3" xfId="34934"/>
    <cellStyle name="20% - Accent2 2 4 12 4" xfId="14936"/>
    <cellStyle name="20% - Accent2 2 4 12 4 2" xfId="43797"/>
    <cellStyle name="20% - Accent2 2 4 12 5" xfId="32047"/>
    <cellStyle name="20% - Accent2 2 4 13" xfId="2877"/>
    <cellStyle name="20% - Accent2 2 4 13 2" xfId="8918"/>
    <cellStyle name="20% - Accent2 2 4 13 2 2" xfId="25965"/>
    <cellStyle name="20% - Accent2 2 4 13 2 2 2" xfId="54826"/>
    <cellStyle name="20% - Accent2 2 4 13 2 3" xfId="37779"/>
    <cellStyle name="20% - Accent2 2 4 13 3" xfId="17513"/>
    <cellStyle name="20% - Accent2 2 4 13 3 2" xfId="46374"/>
    <cellStyle name="20% - Accent2 2 4 13 4" xfId="31738"/>
    <cellStyle name="20% - Accent2 2 4 14" xfId="5763"/>
    <cellStyle name="20% - Accent2 2 4 14 2" xfId="11804"/>
    <cellStyle name="20% - Accent2 2 4 14 2 2" xfId="28851"/>
    <cellStyle name="20% - Accent2 2 4 14 2 2 2" xfId="57712"/>
    <cellStyle name="20% - Accent2 2 4 14 2 3" xfId="40665"/>
    <cellStyle name="20% - Accent2 2 4 14 3" xfId="22873"/>
    <cellStyle name="20% - Accent2 2 4 14 3 2" xfId="51734"/>
    <cellStyle name="20% - Accent2 2 4 14 4" xfId="34624"/>
    <cellStyle name="20% - Accent2 2 4 15" xfId="5980"/>
    <cellStyle name="20% - Accent2 2 4 15 2" xfId="23079"/>
    <cellStyle name="20% - Accent2 2 4 15 2 2" xfId="51940"/>
    <cellStyle name="20% - Accent2 2 4 15 3" xfId="34841"/>
    <cellStyle name="20% - Accent2 2 4 16" xfId="6341"/>
    <cellStyle name="20% - Accent2 2 4 16 2" xfId="23388"/>
    <cellStyle name="20% - Accent2 2 4 16 2 2" xfId="52249"/>
    <cellStyle name="20% - Accent2 2 4 16 3" xfId="35202"/>
    <cellStyle name="20% - Accent2 2 4 17" xfId="14627"/>
    <cellStyle name="20% - Accent2 2 4 17 2" xfId="43488"/>
    <cellStyle name="20% - Accent2 2 4 18" xfId="29161"/>
    <cellStyle name="20% - Accent2 2 4 2" xfId="505"/>
    <cellStyle name="20% - Accent2 2 4 2 2" xfId="2256"/>
    <cellStyle name="20% - Accent2 2 4 2 2 2" xfId="5143"/>
    <cellStyle name="20% - Accent2 2 4 2 2 2 2" xfId="11184"/>
    <cellStyle name="20% - Accent2 2 4 2 2 2 2 2" xfId="28231"/>
    <cellStyle name="20% - Accent2 2 4 2 2 2 2 2 2" xfId="57092"/>
    <cellStyle name="20% - Accent2 2 4 2 2 2 2 3" xfId="40045"/>
    <cellStyle name="20% - Accent2 2 4 2 2 2 3" xfId="22253"/>
    <cellStyle name="20% - Accent2 2 4 2 2 2 3 2" xfId="51114"/>
    <cellStyle name="20% - Accent2 2 4 2 2 2 4" xfId="34004"/>
    <cellStyle name="20% - Accent2 2 4 2 2 3" xfId="8298"/>
    <cellStyle name="20% - Accent2 2 4 2 2 3 2" xfId="25345"/>
    <cellStyle name="20% - Accent2 2 4 2 2 3 2 2" xfId="54206"/>
    <cellStyle name="20% - Accent2 2 4 2 2 3 3" xfId="37159"/>
    <cellStyle name="20% - Accent2 2 4 2 2 4" xfId="13158"/>
    <cellStyle name="20% - Accent2 2 4 2 2 4 2" xfId="19573"/>
    <cellStyle name="20% - Accent2 2 4 2 2 4 2 2" xfId="48434"/>
    <cellStyle name="20% - Accent2 2 4 2 2 4 3" xfId="42019"/>
    <cellStyle name="20% - Accent2 2 4 2 2 5" xfId="16893"/>
    <cellStyle name="20% - Accent2 2 4 2 2 5 2" xfId="45754"/>
    <cellStyle name="20% - Accent2 2 4 2 2 6" xfId="31118"/>
    <cellStyle name="20% - Accent2 2 4 2 3" xfId="3392"/>
    <cellStyle name="20% - Accent2 2 4 2 3 2" xfId="9433"/>
    <cellStyle name="20% - Accent2 2 4 2 3 2 2" xfId="26480"/>
    <cellStyle name="20% - Accent2 2 4 2 3 2 2 2" xfId="55341"/>
    <cellStyle name="20% - Accent2 2 4 2 3 2 3" xfId="38294"/>
    <cellStyle name="20% - Accent2 2 4 2 3 3" xfId="20502"/>
    <cellStyle name="20% - Accent2 2 4 2 3 3 2" xfId="49363"/>
    <cellStyle name="20% - Accent2 2 4 2 3 4" xfId="32253"/>
    <cellStyle name="20% - Accent2 2 4 2 4" xfId="6547"/>
    <cellStyle name="20% - Accent2 2 4 2 4 2" xfId="23594"/>
    <cellStyle name="20% - Accent2 2 4 2 4 2 2" xfId="52455"/>
    <cellStyle name="20% - Accent2 2 4 2 4 3" xfId="35408"/>
    <cellStyle name="20% - Accent2 2 4 2 5" xfId="13185"/>
    <cellStyle name="20% - Accent2 2 4 2 5 2" xfId="17822"/>
    <cellStyle name="20% - Accent2 2 4 2 5 2 2" xfId="46683"/>
    <cellStyle name="20% - Accent2 2 4 2 5 3" xfId="42046"/>
    <cellStyle name="20% - Accent2 2 4 2 6" xfId="15142"/>
    <cellStyle name="20% - Accent2 2 4 2 6 2" xfId="44003"/>
    <cellStyle name="20% - Accent2 2 4 2 7" xfId="29367"/>
    <cellStyle name="20% - Accent2 2 4 3" xfId="814"/>
    <cellStyle name="20% - Accent2 2 4 3 2" xfId="3701"/>
    <cellStyle name="20% - Accent2 2 4 3 2 2" xfId="9742"/>
    <cellStyle name="20% - Accent2 2 4 3 2 2 2" xfId="26789"/>
    <cellStyle name="20% - Accent2 2 4 3 2 2 2 2" xfId="55650"/>
    <cellStyle name="20% - Accent2 2 4 3 2 2 3" xfId="38603"/>
    <cellStyle name="20% - Accent2 2 4 3 2 3" xfId="20811"/>
    <cellStyle name="20% - Accent2 2 4 3 2 3 2" xfId="49672"/>
    <cellStyle name="20% - Accent2 2 4 3 2 4" xfId="32562"/>
    <cellStyle name="20% - Accent2 2 4 3 3" xfId="6856"/>
    <cellStyle name="20% - Accent2 2 4 3 3 2" xfId="23903"/>
    <cellStyle name="20% - Accent2 2 4 3 3 2 2" xfId="52764"/>
    <cellStyle name="20% - Accent2 2 4 3 3 3" xfId="35717"/>
    <cellStyle name="20% - Accent2 2 4 3 4" xfId="13292"/>
    <cellStyle name="20% - Accent2 2 4 3 4 2" xfId="18131"/>
    <cellStyle name="20% - Accent2 2 4 3 4 2 2" xfId="46992"/>
    <cellStyle name="20% - Accent2 2 4 3 4 3" xfId="42153"/>
    <cellStyle name="20% - Accent2 2 4 3 5" xfId="15451"/>
    <cellStyle name="20% - Accent2 2 4 3 5 2" xfId="44312"/>
    <cellStyle name="20% - Accent2 2 4 3 6" xfId="29676"/>
    <cellStyle name="20% - Accent2 2 4 4" xfId="1020"/>
    <cellStyle name="20% - Accent2 2 4 4 2" xfId="3907"/>
    <cellStyle name="20% - Accent2 2 4 4 2 2" xfId="9948"/>
    <cellStyle name="20% - Accent2 2 4 4 2 2 2" xfId="26995"/>
    <cellStyle name="20% - Accent2 2 4 4 2 2 2 2" xfId="55856"/>
    <cellStyle name="20% - Accent2 2 4 4 2 2 3" xfId="38809"/>
    <cellStyle name="20% - Accent2 2 4 4 2 3" xfId="21017"/>
    <cellStyle name="20% - Accent2 2 4 4 2 3 2" xfId="49878"/>
    <cellStyle name="20% - Accent2 2 4 4 2 4" xfId="32768"/>
    <cellStyle name="20% - Accent2 2 4 4 3" xfId="7062"/>
    <cellStyle name="20% - Accent2 2 4 4 3 2" xfId="24109"/>
    <cellStyle name="20% - Accent2 2 4 4 3 2 2" xfId="52970"/>
    <cellStyle name="20% - Accent2 2 4 4 3 3" xfId="35923"/>
    <cellStyle name="20% - Accent2 2 4 4 4" xfId="13277"/>
    <cellStyle name="20% - Accent2 2 4 4 4 2" xfId="18337"/>
    <cellStyle name="20% - Accent2 2 4 4 4 2 2" xfId="47198"/>
    <cellStyle name="20% - Accent2 2 4 4 4 3" xfId="42138"/>
    <cellStyle name="20% - Accent2 2 4 4 5" xfId="15657"/>
    <cellStyle name="20% - Accent2 2 4 4 5 2" xfId="44518"/>
    <cellStyle name="20% - Accent2 2 4 4 6" xfId="29882"/>
    <cellStyle name="20% - Accent2 2 4 5" xfId="1226"/>
    <cellStyle name="20% - Accent2 2 4 5 2" xfId="4113"/>
    <cellStyle name="20% - Accent2 2 4 5 2 2" xfId="10154"/>
    <cellStyle name="20% - Accent2 2 4 5 2 2 2" xfId="27201"/>
    <cellStyle name="20% - Accent2 2 4 5 2 2 2 2" xfId="56062"/>
    <cellStyle name="20% - Accent2 2 4 5 2 2 3" xfId="39015"/>
    <cellStyle name="20% - Accent2 2 4 5 2 3" xfId="21223"/>
    <cellStyle name="20% - Accent2 2 4 5 2 3 2" xfId="50084"/>
    <cellStyle name="20% - Accent2 2 4 5 2 4" xfId="32974"/>
    <cellStyle name="20% - Accent2 2 4 5 3" xfId="7268"/>
    <cellStyle name="20% - Accent2 2 4 5 3 2" xfId="24315"/>
    <cellStyle name="20% - Accent2 2 4 5 3 2 2" xfId="53176"/>
    <cellStyle name="20% - Accent2 2 4 5 3 3" xfId="36129"/>
    <cellStyle name="20% - Accent2 2 4 5 4" xfId="13954"/>
    <cellStyle name="20% - Accent2 2 4 5 4 2" xfId="18543"/>
    <cellStyle name="20% - Accent2 2 4 5 4 2 2" xfId="47404"/>
    <cellStyle name="20% - Accent2 2 4 5 4 3" xfId="42815"/>
    <cellStyle name="20% - Accent2 2 4 5 5" xfId="15863"/>
    <cellStyle name="20% - Accent2 2 4 5 5 2" xfId="44724"/>
    <cellStyle name="20% - Accent2 2 4 5 6" xfId="30088"/>
    <cellStyle name="20% - Accent2 2 4 6" xfId="1432"/>
    <cellStyle name="20% - Accent2 2 4 6 2" xfId="4319"/>
    <cellStyle name="20% - Accent2 2 4 6 2 2" xfId="10360"/>
    <cellStyle name="20% - Accent2 2 4 6 2 2 2" xfId="27407"/>
    <cellStyle name="20% - Accent2 2 4 6 2 2 2 2" xfId="56268"/>
    <cellStyle name="20% - Accent2 2 4 6 2 2 3" xfId="39221"/>
    <cellStyle name="20% - Accent2 2 4 6 2 3" xfId="21429"/>
    <cellStyle name="20% - Accent2 2 4 6 2 3 2" xfId="50290"/>
    <cellStyle name="20% - Accent2 2 4 6 2 4" xfId="33180"/>
    <cellStyle name="20% - Accent2 2 4 6 3" xfId="7474"/>
    <cellStyle name="20% - Accent2 2 4 6 3 2" xfId="24521"/>
    <cellStyle name="20% - Accent2 2 4 6 3 2 2" xfId="53382"/>
    <cellStyle name="20% - Accent2 2 4 6 3 3" xfId="36335"/>
    <cellStyle name="20% - Accent2 2 4 6 4" xfId="12842"/>
    <cellStyle name="20% - Accent2 2 4 6 4 2" xfId="18749"/>
    <cellStyle name="20% - Accent2 2 4 6 4 2 2" xfId="47610"/>
    <cellStyle name="20% - Accent2 2 4 6 4 3" xfId="41703"/>
    <cellStyle name="20% - Accent2 2 4 6 5" xfId="16069"/>
    <cellStyle name="20% - Accent2 2 4 6 5 2" xfId="44930"/>
    <cellStyle name="20% - Accent2 2 4 6 6" xfId="30294"/>
    <cellStyle name="20% - Accent2 2 4 7" xfId="1638"/>
    <cellStyle name="20% - Accent2 2 4 7 2" xfId="4525"/>
    <cellStyle name="20% - Accent2 2 4 7 2 2" xfId="10566"/>
    <cellStyle name="20% - Accent2 2 4 7 2 2 2" xfId="27613"/>
    <cellStyle name="20% - Accent2 2 4 7 2 2 2 2" xfId="56474"/>
    <cellStyle name="20% - Accent2 2 4 7 2 2 3" xfId="39427"/>
    <cellStyle name="20% - Accent2 2 4 7 2 3" xfId="21635"/>
    <cellStyle name="20% - Accent2 2 4 7 2 3 2" xfId="50496"/>
    <cellStyle name="20% - Accent2 2 4 7 2 4" xfId="33386"/>
    <cellStyle name="20% - Accent2 2 4 7 3" xfId="7680"/>
    <cellStyle name="20% - Accent2 2 4 7 3 2" xfId="24727"/>
    <cellStyle name="20% - Accent2 2 4 7 3 2 2" xfId="53588"/>
    <cellStyle name="20% - Accent2 2 4 7 3 3" xfId="36541"/>
    <cellStyle name="20% - Accent2 2 4 7 4" xfId="13432"/>
    <cellStyle name="20% - Accent2 2 4 7 4 2" xfId="18955"/>
    <cellStyle name="20% - Accent2 2 4 7 4 2 2" xfId="47816"/>
    <cellStyle name="20% - Accent2 2 4 7 4 3" xfId="42293"/>
    <cellStyle name="20% - Accent2 2 4 7 5" xfId="16275"/>
    <cellStyle name="20% - Accent2 2 4 7 5 2" xfId="45136"/>
    <cellStyle name="20% - Accent2 2 4 7 6" xfId="30500"/>
    <cellStyle name="20% - Accent2 2 4 8" xfId="1844"/>
    <cellStyle name="20% - Accent2 2 4 8 2" xfId="4731"/>
    <cellStyle name="20% - Accent2 2 4 8 2 2" xfId="10772"/>
    <cellStyle name="20% - Accent2 2 4 8 2 2 2" xfId="27819"/>
    <cellStyle name="20% - Accent2 2 4 8 2 2 2 2" xfId="56680"/>
    <cellStyle name="20% - Accent2 2 4 8 2 2 3" xfId="39633"/>
    <cellStyle name="20% - Accent2 2 4 8 2 3" xfId="21841"/>
    <cellStyle name="20% - Accent2 2 4 8 2 3 2" xfId="50702"/>
    <cellStyle name="20% - Accent2 2 4 8 2 4" xfId="33592"/>
    <cellStyle name="20% - Accent2 2 4 8 3" xfId="7886"/>
    <cellStyle name="20% - Accent2 2 4 8 3 2" xfId="24933"/>
    <cellStyle name="20% - Accent2 2 4 8 3 2 2" xfId="53794"/>
    <cellStyle name="20% - Accent2 2 4 8 3 3" xfId="36747"/>
    <cellStyle name="20% - Accent2 2 4 8 4" xfId="12706"/>
    <cellStyle name="20% - Accent2 2 4 8 4 2" xfId="19161"/>
    <cellStyle name="20% - Accent2 2 4 8 4 2 2" xfId="48022"/>
    <cellStyle name="20% - Accent2 2 4 8 4 3" xfId="41567"/>
    <cellStyle name="20% - Accent2 2 4 8 5" xfId="16481"/>
    <cellStyle name="20% - Accent2 2 4 8 5 2" xfId="45342"/>
    <cellStyle name="20% - Accent2 2 4 8 6" xfId="30706"/>
    <cellStyle name="20% - Accent2 2 4 9" xfId="2050"/>
    <cellStyle name="20% - Accent2 2 4 9 2" xfId="4937"/>
    <cellStyle name="20% - Accent2 2 4 9 2 2" xfId="10978"/>
    <cellStyle name="20% - Accent2 2 4 9 2 2 2" xfId="28025"/>
    <cellStyle name="20% - Accent2 2 4 9 2 2 2 2" xfId="56886"/>
    <cellStyle name="20% - Accent2 2 4 9 2 2 3" xfId="39839"/>
    <cellStyle name="20% - Accent2 2 4 9 2 3" xfId="22047"/>
    <cellStyle name="20% - Accent2 2 4 9 2 3 2" xfId="50908"/>
    <cellStyle name="20% - Accent2 2 4 9 2 4" xfId="33798"/>
    <cellStyle name="20% - Accent2 2 4 9 3" xfId="8092"/>
    <cellStyle name="20% - Accent2 2 4 9 3 2" xfId="25139"/>
    <cellStyle name="20% - Accent2 2 4 9 3 2 2" xfId="54000"/>
    <cellStyle name="20% - Accent2 2 4 9 3 3" xfId="36953"/>
    <cellStyle name="20% - Accent2 2 4 9 4" xfId="12589"/>
    <cellStyle name="20% - Accent2 2 4 9 4 2" xfId="19367"/>
    <cellStyle name="20% - Accent2 2 4 9 4 2 2" xfId="48228"/>
    <cellStyle name="20% - Accent2 2 4 9 4 3" xfId="41450"/>
    <cellStyle name="20% - Accent2 2 4 9 5" xfId="16687"/>
    <cellStyle name="20% - Accent2 2 4 9 5 2" xfId="45548"/>
    <cellStyle name="20% - Accent2 2 4 9 6" xfId="30912"/>
    <cellStyle name="20% - Accent2 2 5" xfId="196"/>
    <cellStyle name="20% - Accent2 2 5 2" xfId="608"/>
    <cellStyle name="20% - Accent2 2 5 2 2" xfId="3495"/>
    <cellStyle name="20% - Accent2 2 5 2 2 2" xfId="9536"/>
    <cellStyle name="20% - Accent2 2 5 2 2 2 2" xfId="26583"/>
    <cellStyle name="20% - Accent2 2 5 2 2 2 2 2" xfId="55444"/>
    <cellStyle name="20% - Accent2 2 5 2 2 2 3" xfId="38397"/>
    <cellStyle name="20% - Accent2 2 5 2 2 3" xfId="20605"/>
    <cellStyle name="20% - Accent2 2 5 2 2 3 2" xfId="49466"/>
    <cellStyle name="20% - Accent2 2 5 2 2 4" xfId="32356"/>
    <cellStyle name="20% - Accent2 2 5 2 3" xfId="6650"/>
    <cellStyle name="20% - Accent2 2 5 2 3 2" xfId="23697"/>
    <cellStyle name="20% - Accent2 2 5 2 3 2 2" xfId="52558"/>
    <cellStyle name="20% - Accent2 2 5 2 3 3" xfId="35511"/>
    <cellStyle name="20% - Accent2 2 5 2 4" xfId="13948"/>
    <cellStyle name="20% - Accent2 2 5 2 4 2" xfId="17925"/>
    <cellStyle name="20% - Accent2 2 5 2 4 2 2" xfId="46786"/>
    <cellStyle name="20% - Accent2 2 5 2 4 3" xfId="42809"/>
    <cellStyle name="20% - Accent2 2 5 2 5" xfId="15245"/>
    <cellStyle name="20% - Accent2 2 5 2 5 2" xfId="44106"/>
    <cellStyle name="20% - Accent2 2 5 2 6" xfId="29470"/>
    <cellStyle name="20% - Accent2 2 5 3" xfId="2153"/>
    <cellStyle name="20% - Accent2 2 5 3 2" xfId="5040"/>
    <cellStyle name="20% - Accent2 2 5 3 2 2" xfId="11081"/>
    <cellStyle name="20% - Accent2 2 5 3 2 2 2" xfId="28128"/>
    <cellStyle name="20% - Accent2 2 5 3 2 2 2 2" xfId="56989"/>
    <cellStyle name="20% - Accent2 2 5 3 2 2 3" xfId="39942"/>
    <cellStyle name="20% - Accent2 2 5 3 2 3" xfId="22150"/>
    <cellStyle name="20% - Accent2 2 5 3 2 3 2" xfId="51011"/>
    <cellStyle name="20% - Accent2 2 5 3 2 4" xfId="33901"/>
    <cellStyle name="20% - Accent2 2 5 3 3" xfId="8195"/>
    <cellStyle name="20% - Accent2 2 5 3 3 2" xfId="25242"/>
    <cellStyle name="20% - Accent2 2 5 3 3 2 2" xfId="54103"/>
    <cellStyle name="20% - Accent2 2 5 3 3 3" xfId="37056"/>
    <cellStyle name="20% - Accent2 2 5 3 4" xfId="12024"/>
    <cellStyle name="20% - Accent2 2 5 3 4 2" xfId="19470"/>
    <cellStyle name="20% - Accent2 2 5 3 4 2 2" xfId="48331"/>
    <cellStyle name="20% - Accent2 2 5 3 4 3" xfId="40885"/>
    <cellStyle name="20% - Accent2 2 5 3 5" xfId="16790"/>
    <cellStyle name="20% - Accent2 2 5 3 5 2" xfId="45651"/>
    <cellStyle name="20% - Accent2 2 5 3 6" xfId="31015"/>
    <cellStyle name="20% - Accent2 2 5 4" xfId="3083"/>
    <cellStyle name="20% - Accent2 2 5 4 2" xfId="9124"/>
    <cellStyle name="20% - Accent2 2 5 4 2 2" xfId="26171"/>
    <cellStyle name="20% - Accent2 2 5 4 2 2 2" xfId="55032"/>
    <cellStyle name="20% - Accent2 2 5 4 2 3" xfId="37985"/>
    <cellStyle name="20% - Accent2 2 5 4 3" xfId="20193"/>
    <cellStyle name="20% - Accent2 2 5 4 3 2" xfId="49054"/>
    <cellStyle name="20% - Accent2 2 5 4 4" xfId="31944"/>
    <cellStyle name="20% - Accent2 2 5 5" xfId="6238"/>
    <cellStyle name="20% - Accent2 2 5 5 2" xfId="23285"/>
    <cellStyle name="20% - Accent2 2 5 5 2 2" xfId="52146"/>
    <cellStyle name="20% - Accent2 2 5 5 3" xfId="35099"/>
    <cellStyle name="20% - Accent2 2 5 6" xfId="13854"/>
    <cellStyle name="20% - Accent2 2 5 6 2" xfId="17616"/>
    <cellStyle name="20% - Accent2 2 5 6 2 2" xfId="46477"/>
    <cellStyle name="20% - Accent2 2 5 6 3" xfId="42715"/>
    <cellStyle name="20% - Accent2 2 5 7" xfId="14833"/>
    <cellStyle name="20% - Accent2 2 5 7 2" xfId="43694"/>
    <cellStyle name="20% - Accent2 2 5 8" xfId="29058"/>
    <cellStyle name="20% - Accent2 2 6" xfId="402"/>
    <cellStyle name="20% - Accent2 2 6 2" xfId="3289"/>
    <cellStyle name="20% - Accent2 2 6 2 2" xfId="9330"/>
    <cellStyle name="20% - Accent2 2 6 2 2 2" xfId="26377"/>
    <cellStyle name="20% - Accent2 2 6 2 2 2 2" xfId="55238"/>
    <cellStyle name="20% - Accent2 2 6 2 2 3" xfId="38191"/>
    <cellStyle name="20% - Accent2 2 6 2 3" xfId="20399"/>
    <cellStyle name="20% - Accent2 2 6 2 3 2" xfId="49260"/>
    <cellStyle name="20% - Accent2 2 6 2 4" xfId="32150"/>
    <cellStyle name="20% - Accent2 2 6 3" xfId="6444"/>
    <cellStyle name="20% - Accent2 2 6 3 2" xfId="23491"/>
    <cellStyle name="20% - Accent2 2 6 3 2 2" xfId="52352"/>
    <cellStyle name="20% - Accent2 2 6 3 3" xfId="35305"/>
    <cellStyle name="20% - Accent2 2 6 4" xfId="12671"/>
    <cellStyle name="20% - Accent2 2 6 4 2" xfId="17719"/>
    <cellStyle name="20% - Accent2 2 6 4 2 2" xfId="46580"/>
    <cellStyle name="20% - Accent2 2 6 4 3" xfId="41532"/>
    <cellStyle name="20% - Accent2 2 6 5" xfId="15039"/>
    <cellStyle name="20% - Accent2 2 6 5 2" xfId="43900"/>
    <cellStyle name="20% - Accent2 2 6 6" xfId="29264"/>
    <cellStyle name="20% - Accent2 2 7" xfId="711"/>
    <cellStyle name="20% - Accent2 2 7 2" xfId="3598"/>
    <cellStyle name="20% - Accent2 2 7 2 2" xfId="9639"/>
    <cellStyle name="20% - Accent2 2 7 2 2 2" xfId="26686"/>
    <cellStyle name="20% - Accent2 2 7 2 2 2 2" xfId="55547"/>
    <cellStyle name="20% - Accent2 2 7 2 2 3" xfId="38500"/>
    <cellStyle name="20% - Accent2 2 7 2 3" xfId="20708"/>
    <cellStyle name="20% - Accent2 2 7 2 3 2" xfId="49569"/>
    <cellStyle name="20% - Accent2 2 7 2 4" xfId="32459"/>
    <cellStyle name="20% - Accent2 2 7 3" xfId="6753"/>
    <cellStyle name="20% - Accent2 2 7 3 2" xfId="23800"/>
    <cellStyle name="20% - Accent2 2 7 3 2 2" xfId="52661"/>
    <cellStyle name="20% - Accent2 2 7 3 3" xfId="35614"/>
    <cellStyle name="20% - Accent2 2 7 4" xfId="12460"/>
    <cellStyle name="20% - Accent2 2 7 4 2" xfId="18028"/>
    <cellStyle name="20% - Accent2 2 7 4 2 2" xfId="46889"/>
    <cellStyle name="20% - Accent2 2 7 4 3" xfId="41321"/>
    <cellStyle name="20% - Accent2 2 7 5" xfId="15348"/>
    <cellStyle name="20% - Accent2 2 7 5 2" xfId="44209"/>
    <cellStyle name="20% - Accent2 2 7 6" xfId="29573"/>
    <cellStyle name="20% - Accent2 2 8" xfId="917"/>
    <cellStyle name="20% - Accent2 2 8 2" xfId="3804"/>
    <cellStyle name="20% - Accent2 2 8 2 2" xfId="9845"/>
    <cellStyle name="20% - Accent2 2 8 2 2 2" xfId="26892"/>
    <cellStyle name="20% - Accent2 2 8 2 2 2 2" xfId="55753"/>
    <cellStyle name="20% - Accent2 2 8 2 2 3" xfId="38706"/>
    <cellStyle name="20% - Accent2 2 8 2 3" xfId="20914"/>
    <cellStyle name="20% - Accent2 2 8 2 3 2" xfId="49775"/>
    <cellStyle name="20% - Accent2 2 8 2 4" xfId="32665"/>
    <cellStyle name="20% - Accent2 2 8 3" xfId="6959"/>
    <cellStyle name="20% - Accent2 2 8 3 2" xfId="24006"/>
    <cellStyle name="20% - Accent2 2 8 3 2 2" xfId="52867"/>
    <cellStyle name="20% - Accent2 2 8 3 3" xfId="35820"/>
    <cellStyle name="20% - Accent2 2 8 4" xfId="12852"/>
    <cellStyle name="20% - Accent2 2 8 4 2" xfId="18234"/>
    <cellStyle name="20% - Accent2 2 8 4 2 2" xfId="47095"/>
    <cellStyle name="20% - Accent2 2 8 4 3" xfId="41713"/>
    <cellStyle name="20% - Accent2 2 8 5" xfId="15554"/>
    <cellStyle name="20% - Accent2 2 8 5 2" xfId="44415"/>
    <cellStyle name="20% - Accent2 2 8 6" xfId="29779"/>
    <cellStyle name="20% - Accent2 2 9" xfId="1123"/>
    <cellStyle name="20% - Accent2 2 9 2" xfId="4010"/>
    <cellStyle name="20% - Accent2 2 9 2 2" xfId="10051"/>
    <cellStyle name="20% - Accent2 2 9 2 2 2" xfId="27098"/>
    <cellStyle name="20% - Accent2 2 9 2 2 2 2" xfId="55959"/>
    <cellStyle name="20% - Accent2 2 9 2 2 3" xfId="38912"/>
    <cellStyle name="20% - Accent2 2 9 2 3" xfId="21120"/>
    <cellStyle name="20% - Accent2 2 9 2 3 2" xfId="49981"/>
    <cellStyle name="20% - Accent2 2 9 2 4" xfId="32871"/>
    <cellStyle name="20% - Accent2 2 9 3" xfId="7165"/>
    <cellStyle name="20% - Accent2 2 9 3 2" xfId="24212"/>
    <cellStyle name="20% - Accent2 2 9 3 2 2" xfId="53073"/>
    <cellStyle name="20% - Accent2 2 9 3 3" xfId="36026"/>
    <cellStyle name="20% - Accent2 2 9 4" xfId="11981"/>
    <cellStyle name="20% - Accent2 2 9 4 2" xfId="18440"/>
    <cellStyle name="20% - Accent2 2 9 4 2 2" xfId="47301"/>
    <cellStyle name="20% - Accent2 2 9 4 3" xfId="40842"/>
    <cellStyle name="20% - Accent2 2 9 5" xfId="15760"/>
    <cellStyle name="20% - Accent2 2 9 5 2" xfId="44621"/>
    <cellStyle name="20% - Accent2 2 9 6" xfId="29985"/>
    <cellStyle name="20% - Accent2 20" xfId="5862"/>
    <cellStyle name="20% - Accent2 20 2" xfId="22962"/>
    <cellStyle name="20% - Accent2 20 2 2" xfId="51823"/>
    <cellStyle name="20% - Accent2 20 3" xfId="34723"/>
    <cellStyle name="20% - Accent2 21" xfId="6121"/>
    <cellStyle name="20% - Accent2 21 2" xfId="23168"/>
    <cellStyle name="20% - Accent2 21 2 2" xfId="52029"/>
    <cellStyle name="20% - Accent2 21 3" xfId="34982"/>
    <cellStyle name="20% - Accent2 22" xfId="14510"/>
    <cellStyle name="20% - Accent2 22 2" xfId="43371"/>
    <cellStyle name="20% - Accent2 23" xfId="28941"/>
    <cellStyle name="20% - Accent2 3" xfId="106"/>
    <cellStyle name="20% - Accent2 3 10" xfId="1754"/>
    <cellStyle name="20% - Accent2 3 10 2" xfId="4641"/>
    <cellStyle name="20% - Accent2 3 10 2 2" xfId="10682"/>
    <cellStyle name="20% - Accent2 3 10 2 2 2" xfId="27729"/>
    <cellStyle name="20% - Accent2 3 10 2 2 2 2" xfId="56590"/>
    <cellStyle name="20% - Accent2 3 10 2 2 3" xfId="39543"/>
    <cellStyle name="20% - Accent2 3 10 2 3" xfId="21751"/>
    <cellStyle name="20% - Accent2 3 10 2 3 2" xfId="50612"/>
    <cellStyle name="20% - Accent2 3 10 2 4" xfId="33502"/>
    <cellStyle name="20% - Accent2 3 10 3" xfId="7796"/>
    <cellStyle name="20% - Accent2 3 10 3 2" xfId="24843"/>
    <cellStyle name="20% - Accent2 3 10 3 2 2" xfId="53704"/>
    <cellStyle name="20% - Accent2 3 10 3 3" xfId="36657"/>
    <cellStyle name="20% - Accent2 3 10 4" xfId="13450"/>
    <cellStyle name="20% - Accent2 3 10 4 2" xfId="19071"/>
    <cellStyle name="20% - Accent2 3 10 4 2 2" xfId="47932"/>
    <cellStyle name="20% - Accent2 3 10 4 3" xfId="42311"/>
    <cellStyle name="20% - Accent2 3 10 5" xfId="16391"/>
    <cellStyle name="20% - Accent2 3 10 5 2" xfId="45252"/>
    <cellStyle name="20% - Accent2 3 10 6" xfId="30616"/>
    <cellStyle name="20% - Accent2 3 11" xfId="1960"/>
    <cellStyle name="20% - Accent2 3 11 2" xfId="4847"/>
    <cellStyle name="20% - Accent2 3 11 2 2" xfId="10888"/>
    <cellStyle name="20% - Accent2 3 11 2 2 2" xfId="27935"/>
    <cellStyle name="20% - Accent2 3 11 2 2 2 2" xfId="56796"/>
    <cellStyle name="20% - Accent2 3 11 2 2 3" xfId="39749"/>
    <cellStyle name="20% - Accent2 3 11 2 3" xfId="21957"/>
    <cellStyle name="20% - Accent2 3 11 2 3 2" xfId="50818"/>
    <cellStyle name="20% - Accent2 3 11 2 4" xfId="33708"/>
    <cellStyle name="20% - Accent2 3 11 3" xfId="8002"/>
    <cellStyle name="20% - Accent2 3 11 3 2" xfId="25049"/>
    <cellStyle name="20% - Accent2 3 11 3 2 2" xfId="53910"/>
    <cellStyle name="20% - Accent2 3 11 3 3" xfId="36863"/>
    <cellStyle name="20% - Accent2 3 11 4" xfId="12124"/>
    <cellStyle name="20% - Accent2 3 11 4 2" xfId="19277"/>
    <cellStyle name="20% - Accent2 3 11 4 2 2" xfId="48138"/>
    <cellStyle name="20% - Accent2 3 11 4 3" xfId="40985"/>
    <cellStyle name="20% - Accent2 3 11 5" xfId="16597"/>
    <cellStyle name="20% - Accent2 3 11 5 2" xfId="45458"/>
    <cellStyle name="20% - Accent2 3 11 6" xfId="30822"/>
    <cellStyle name="20% - Accent2 3 12" xfId="2372"/>
    <cellStyle name="20% - Accent2 3 12 2" xfId="5259"/>
    <cellStyle name="20% - Accent2 3 12 2 2" xfId="11300"/>
    <cellStyle name="20% - Accent2 3 12 2 2 2" xfId="28347"/>
    <cellStyle name="20% - Accent2 3 12 2 2 2 2" xfId="57208"/>
    <cellStyle name="20% - Accent2 3 12 2 2 3" xfId="40161"/>
    <cellStyle name="20% - Accent2 3 12 2 3" xfId="22369"/>
    <cellStyle name="20% - Accent2 3 12 2 3 2" xfId="51230"/>
    <cellStyle name="20% - Accent2 3 12 2 4" xfId="34120"/>
    <cellStyle name="20% - Accent2 3 12 3" xfId="8414"/>
    <cellStyle name="20% - Accent2 3 12 3 2" xfId="25461"/>
    <cellStyle name="20% - Accent2 3 12 3 2 2" xfId="54322"/>
    <cellStyle name="20% - Accent2 3 12 3 3" xfId="37275"/>
    <cellStyle name="20% - Accent2 3 12 4" xfId="11896"/>
    <cellStyle name="20% - Accent2 3 12 4 2" xfId="19689"/>
    <cellStyle name="20% - Accent2 3 12 4 2 2" xfId="48550"/>
    <cellStyle name="20% - Accent2 3 12 4 3" xfId="40757"/>
    <cellStyle name="20% - Accent2 3 12 5" xfId="17009"/>
    <cellStyle name="20% - Accent2 3 12 5 2" xfId="45870"/>
    <cellStyle name="20% - Accent2 3 12 6" xfId="31234"/>
    <cellStyle name="20% - Accent2 3 13" xfId="2581"/>
    <cellStyle name="20% - Accent2 3 13 2" xfId="5467"/>
    <cellStyle name="20% - Accent2 3 13 2 2" xfId="11508"/>
    <cellStyle name="20% - Accent2 3 13 2 2 2" xfId="28555"/>
    <cellStyle name="20% - Accent2 3 13 2 2 2 2" xfId="57416"/>
    <cellStyle name="20% - Accent2 3 13 2 2 3" xfId="40369"/>
    <cellStyle name="20% - Accent2 3 13 2 3" xfId="22577"/>
    <cellStyle name="20% - Accent2 3 13 2 3 2" xfId="51438"/>
    <cellStyle name="20% - Accent2 3 13 2 4" xfId="34328"/>
    <cellStyle name="20% - Accent2 3 13 3" xfId="8622"/>
    <cellStyle name="20% - Accent2 3 13 3 2" xfId="25669"/>
    <cellStyle name="20% - Accent2 3 13 3 2 2" xfId="54530"/>
    <cellStyle name="20% - Accent2 3 13 3 3" xfId="37483"/>
    <cellStyle name="20% - Accent2 3 13 4" xfId="11957"/>
    <cellStyle name="20% - Accent2 3 13 4 2" xfId="19897"/>
    <cellStyle name="20% - Accent2 3 13 4 2 2" xfId="48758"/>
    <cellStyle name="20% - Accent2 3 13 4 3" xfId="40818"/>
    <cellStyle name="20% - Accent2 3 13 5" xfId="17217"/>
    <cellStyle name="20% - Accent2 3 13 5 2" xfId="46078"/>
    <cellStyle name="20% - Accent2 3 13 6" xfId="31442"/>
    <cellStyle name="20% - Accent2 3 14" xfId="2993"/>
    <cellStyle name="20% - Accent2 3 14 2" xfId="9034"/>
    <cellStyle name="20% - Accent2 3 14 2 2" xfId="26081"/>
    <cellStyle name="20% - Accent2 3 14 2 2 2" xfId="54942"/>
    <cellStyle name="20% - Accent2 3 14 2 3" xfId="37895"/>
    <cellStyle name="20% - Accent2 3 14 3" xfId="13698"/>
    <cellStyle name="20% - Accent2 3 14 3 2" xfId="20103"/>
    <cellStyle name="20% - Accent2 3 14 3 2 2" xfId="48964"/>
    <cellStyle name="20% - Accent2 3 14 3 3" xfId="42559"/>
    <cellStyle name="20% - Accent2 3 14 4" xfId="14743"/>
    <cellStyle name="20% - Accent2 3 14 4 2" xfId="43604"/>
    <cellStyle name="20% - Accent2 3 14 5" xfId="31854"/>
    <cellStyle name="20% - Accent2 3 15" xfId="2787"/>
    <cellStyle name="20% - Accent2 3 15 2" xfId="8828"/>
    <cellStyle name="20% - Accent2 3 15 2 2" xfId="25875"/>
    <cellStyle name="20% - Accent2 3 15 2 2 2" xfId="54736"/>
    <cellStyle name="20% - Accent2 3 15 2 3" xfId="37689"/>
    <cellStyle name="20% - Accent2 3 15 3" xfId="17423"/>
    <cellStyle name="20% - Accent2 3 15 3 2" xfId="46284"/>
    <cellStyle name="20% - Accent2 3 15 4" xfId="31648"/>
    <cellStyle name="20% - Accent2 3 16" xfId="5673"/>
    <cellStyle name="20% - Accent2 3 16 2" xfId="11714"/>
    <cellStyle name="20% - Accent2 3 16 2 2" xfId="28761"/>
    <cellStyle name="20% - Accent2 3 16 2 2 2" xfId="57622"/>
    <cellStyle name="20% - Accent2 3 16 2 3" xfId="40575"/>
    <cellStyle name="20% - Accent2 3 16 3" xfId="22783"/>
    <cellStyle name="20% - Accent2 3 16 3 2" xfId="51644"/>
    <cellStyle name="20% - Accent2 3 16 4" xfId="34534"/>
    <cellStyle name="20% - Accent2 3 17" xfId="5890"/>
    <cellStyle name="20% - Accent2 3 17 2" xfId="22989"/>
    <cellStyle name="20% - Accent2 3 17 2 2" xfId="51850"/>
    <cellStyle name="20% - Accent2 3 17 3" xfId="34751"/>
    <cellStyle name="20% - Accent2 3 18" xfId="6148"/>
    <cellStyle name="20% - Accent2 3 18 2" xfId="23195"/>
    <cellStyle name="20% - Accent2 3 18 2 2" xfId="52056"/>
    <cellStyle name="20% - Accent2 3 18 3" xfId="35009"/>
    <cellStyle name="20% - Accent2 3 19" xfId="14537"/>
    <cellStyle name="20% - Accent2 3 19 2" xfId="43398"/>
    <cellStyle name="20% - Accent2 3 2" xfId="312"/>
    <cellStyle name="20% - Accent2 3 2 10" xfId="2475"/>
    <cellStyle name="20% - Accent2 3 2 10 2" xfId="5362"/>
    <cellStyle name="20% - Accent2 3 2 10 2 2" xfId="11403"/>
    <cellStyle name="20% - Accent2 3 2 10 2 2 2" xfId="28450"/>
    <cellStyle name="20% - Accent2 3 2 10 2 2 2 2" xfId="57311"/>
    <cellStyle name="20% - Accent2 3 2 10 2 2 3" xfId="40264"/>
    <cellStyle name="20% - Accent2 3 2 10 2 3" xfId="22472"/>
    <cellStyle name="20% - Accent2 3 2 10 2 3 2" xfId="51333"/>
    <cellStyle name="20% - Accent2 3 2 10 2 4" xfId="34223"/>
    <cellStyle name="20% - Accent2 3 2 10 3" xfId="8517"/>
    <cellStyle name="20% - Accent2 3 2 10 3 2" xfId="25564"/>
    <cellStyle name="20% - Accent2 3 2 10 3 2 2" xfId="54425"/>
    <cellStyle name="20% - Accent2 3 2 10 3 3" xfId="37378"/>
    <cellStyle name="20% - Accent2 3 2 10 4" xfId="13988"/>
    <cellStyle name="20% - Accent2 3 2 10 4 2" xfId="19792"/>
    <cellStyle name="20% - Accent2 3 2 10 4 2 2" xfId="48653"/>
    <cellStyle name="20% - Accent2 3 2 10 4 3" xfId="42849"/>
    <cellStyle name="20% - Accent2 3 2 10 5" xfId="17112"/>
    <cellStyle name="20% - Accent2 3 2 10 5 2" xfId="45973"/>
    <cellStyle name="20% - Accent2 3 2 10 6" xfId="31337"/>
    <cellStyle name="20% - Accent2 3 2 11" xfId="2684"/>
    <cellStyle name="20% - Accent2 3 2 11 2" xfId="5570"/>
    <cellStyle name="20% - Accent2 3 2 11 2 2" xfId="11611"/>
    <cellStyle name="20% - Accent2 3 2 11 2 2 2" xfId="28658"/>
    <cellStyle name="20% - Accent2 3 2 11 2 2 2 2" xfId="57519"/>
    <cellStyle name="20% - Accent2 3 2 11 2 2 3" xfId="40472"/>
    <cellStyle name="20% - Accent2 3 2 11 2 3" xfId="22680"/>
    <cellStyle name="20% - Accent2 3 2 11 2 3 2" xfId="51541"/>
    <cellStyle name="20% - Accent2 3 2 11 2 4" xfId="34431"/>
    <cellStyle name="20% - Accent2 3 2 11 3" xfId="8725"/>
    <cellStyle name="20% - Accent2 3 2 11 3 2" xfId="25772"/>
    <cellStyle name="20% - Accent2 3 2 11 3 2 2" xfId="54633"/>
    <cellStyle name="20% - Accent2 3 2 11 3 3" xfId="37586"/>
    <cellStyle name="20% - Accent2 3 2 11 4" xfId="13937"/>
    <cellStyle name="20% - Accent2 3 2 11 4 2" xfId="20000"/>
    <cellStyle name="20% - Accent2 3 2 11 4 2 2" xfId="48861"/>
    <cellStyle name="20% - Accent2 3 2 11 4 3" xfId="42798"/>
    <cellStyle name="20% - Accent2 3 2 11 5" xfId="17320"/>
    <cellStyle name="20% - Accent2 3 2 11 5 2" xfId="46181"/>
    <cellStyle name="20% - Accent2 3 2 11 6" xfId="31545"/>
    <cellStyle name="20% - Accent2 3 2 12" xfId="3199"/>
    <cellStyle name="20% - Accent2 3 2 12 2" xfId="9240"/>
    <cellStyle name="20% - Accent2 3 2 12 2 2" xfId="26287"/>
    <cellStyle name="20% - Accent2 3 2 12 2 2 2" xfId="55148"/>
    <cellStyle name="20% - Accent2 3 2 12 2 3" xfId="38101"/>
    <cellStyle name="20% - Accent2 3 2 12 3" xfId="13296"/>
    <cellStyle name="20% - Accent2 3 2 12 3 2" xfId="20309"/>
    <cellStyle name="20% - Accent2 3 2 12 3 2 2" xfId="49170"/>
    <cellStyle name="20% - Accent2 3 2 12 3 3" xfId="42157"/>
    <cellStyle name="20% - Accent2 3 2 12 4" xfId="14949"/>
    <cellStyle name="20% - Accent2 3 2 12 4 2" xfId="43810"/>
    <cellStyle name="20% - Accent2 3 2 12 5" xfId="32060"/>
    <cellStyle name="20% - Accent2 3 2 13" xfId="2890"/>
    <cellStyle name="20% - Accent2 3 2 13 2" xfId="8931"/>
    <cellStyle name="20% - Accent2 3 2 13 2 2" xfId="25978"/>
    <cellStyle name="20% - Accent2 3 2 13 2 2 2" xfId="54839"/>
    <cellStyle name="20% - Accent2 3 2 13 2 3" xfId="37792"/>
    <cellStyle name="20% - Accent2 3 2 13 3" xfId="17526"/>
    <cellStyle name="20% - Accent2 3 2 13 3 2" xfId="46387"/>
    <cellStyle name="20% - Accent2 3 2 13 4" xfId="31751"/>
    <cellStyle name="20% - Accent2 3 2 14" xfId="5776"/>
    <cellStyle name="20% - Accent2 3 2 14 2" xfId="11817"/>
    <cellStyle name="20% - Accent2 3 2 14 2 2" xfId="28864"/>
    <cellStyle name="20% - Accent2 3 2 14 2 2 2" xfId="57725"/>
    <cellStyle name="20% - Accent2 3 2 14 2 3" xfId="40678"/>
    <cellStyle name="20% - Accent2 3 2 14 3" xfId="22886"/>
    <cellStyle name="20% - Accent2 3 2 14 3 2" xfId="51747"/>
    <cellStyle name="20% - Accent2 3 2 14 4" xfId="34637"/>
    <cellStyle name="20% - Accent2 3 2 15" xfId="5993"/>
    <cellStyle name="20% - Accent2 3 2 15 2" xfId="23092"/>
    <cellStyle name="20% - Accent2 3 2 15 2 2" xfId="51953"/>
    <cellStyle name="20% - Accent2 3 2 15 3" xfId="34854"/>
    <cellStyle name="20% - Accent2 3 2 16" xfId="6354"/>
    <cellStyle name="20% - Accent2 3 2 16 2" xfId="23401"/>
    <cellStyle name="20% - Accent2 3 2 16 2 2" xfId="52262"/>
    <cellStyle name="20% - Accent2 3 2 16 3" xfId="35215"/>
    <cellStyle name="20% - Accent2 3 2 17" xfId="14640"/>
    <cellStyle name="20% - Accent2 3 2 17 2" xfId="43501"/>
    <cellStyle name="20% - Accent2 3 2 18" xfId="29174"/>
    <cellStyle name="20% - Accent2 3 2 2" xfId="518"/>
    <cellStyle name="20% - Accent2 3 2 2 2" xfId="2269"/>
    <cellStyle name="20% - Accent2 3 2 2 2 2" xfId="5156"/>
    <cellStyle name="20% - Accent2 3 2 2 2 2 2" xfId="11197"/>
    <cellStyle name="20% - Accent2 3 2 2 2 2 2 2" xfId="28244"/>
    <cellStyle name="20% - Accent2 3 2 2 2 2 2 2 2" xfId="57105"/>
    <cellStyle name="20% - Accent2 3 2 2 2 2 2 3" xfId="40058"/>
    <cellStyle name="20% - Accent2 3 2 2 2 2 3" xfId="22266"/>
    <cellStyle name="20% - Accent2 3 2 2 2 2 3 2" xfId="51127"/>
    <cellStyle name="20% - Accent2 3 2 2 2 2 4" xfId="34017"/>
    <cellStyle name="20% - Accent2 3 2 2 2 3" xfId="8311"/>
    <cellStyle name="20% - Accent2 3 2 2 2 3 2" xfId="25358"/>
    <cellStyle name="20% - Accent2 3 2 2 2 3 2 2" xfId="54219"/>
    <cellStyle name="20% - Accent2 3 2 2 2 3 3" xfId="37172"/>
    <cellStyle name="20% - Accent2 3 2 2 2 4" xfId="13157"/>
    <cellStyle name="20% - Accent2 3 2 2 2 4 2" xfId="19586"/>
    <cellStyle name="20% - Accent2 3 2 2 2 4 2 2" xfId="48447"/>
    <cellStyle name="20% - Accent2 3 2 2 2 4 3" xfId="42018"/>
    <cellStyle name="20% - Accent2 3 2 2 2 5" xfId="16906"/>
    <cellStyle name="20% - Accent2 3 2 2 2 5 2" xfId="45767"/>
    <cellStyle name="20% - Accent2 3 2 2 2 6" xfId="31131"/>
    <cellStyle name="20% - Accent2 3 2 2 3" xfId="3405"/>
    <cellStyle name="20% - Accent2 3 2 2 3 2" xfId="9446"/>
    <cellStyle name="20% - Accent2 3 2 2 3 2 2" xfId="26493"/>
    <cellStyle name="20% - Accent2 3 2 2 3 2 2 2" xfId="55354"/>
    <cellStyle name="20% - Accent2 3 2 2 3 2 3" xfId="38307"/>
    <cellStyle name="20% - Accent2 3 2 2 3 3" xfId="20515"/>
    <cellStyle name="20% - Accent2 3 2 2 3 3 2" xfId="49376"/>
    <cellStyle name="20% - Accent2 3 2 2 3 4" xfId="32266"/>
    <cellStyle name="20% - Accent2 3 2 2 4" xfId="6560"/>
    <cellStyle name="20% - Accent2 3 2 2 4 2" xfId="23607"/>
    <cellStyle name="20% - Accent2 3 2 2 4 2 2" xfId="52468"/>
    <cellStyle name="20% - Accent2 3 2 2 4 3" xfId="35421"/>
    <cellStyle name="20% - Accent2 3 2 2 5" xfId="12721"/>
    <cellStyle name="20% - Accent2 3 2 2 5 2" xfId="17835"/>
    <cellStyle name="20% - Accent2 3 2 2 5 2 2" xfId="46696"/>
    <cellStyle name="20% - Accent2 3 2 2 5 3" xfId="41582"/>
    <cellStyle name="20% - Accent2 3 2 2 6" xfId="15155"/>
    <cellStyle name="20% - Accent2 3 2 2 6 2" xfId="44016"/>
    <cellStyle name="20% - Accent2 3 2 2 7" xfId="29380"/>
    <cellStyle name="20% - Accent2 3 2 3" xfId="827"/>
    <cellStyle name="20% - Accent2 3 2 3 2" xfId="3714"/>
    <cellStyle name="20% - Accent2 3 2 3 2 2" xfId="9755"/>
    <cellStyle name="20% - Accent2 3 2 3 2 2 2" xfId="26802"/>
    <cellStyle name="20% - Accent2 3 2 3 2 2 2 2" xfId="55663"/>
    <cellStyle name="20% - Accent2 3 2 3 2 2 3" xfId="38616"/>
    <cellStyle name="20% - Accent2 3 2 3 2 3" xfId="20824"/>
    <cellStyle name="20% - Accent2 3 2 3 2 3 2" xfId="49685"/>
    <cellStyle name="20% - Accent2 3 2 3 2 4" xfId="32575"/>
    <cellStyle name="20% - Accent2 3 2 3 3" xfId="6869"/>
    <cellStyle name="20% - Accent2 3 2 3 3 2" xfId="23916"/>
    <cellStyle name="20% - Accent2 3 2 3 3 2 2" xfId="52777"/>
    <cellStyle name="20% - Accent2 3 2 3 3 3" xfId="35730"/>
    <cellStyle name="20% - Accent2 3 2 3 4" xfId="12411"/>
    <cellStyle name="20% - Accent2 3 2 3 4 2" xfId="18144"/>
    <cellStyle name="20% - Accent2 3 2 3 4 2 2" xfId="47005"/>
    <cellStyle name="20% - Accent2 3 2 3 4 3" xfId="41272"/>
    <cellStyle name="20% - Accent2 3 2 3 5" xfId="15464"/>
    <cellStyle name="20% - Accent2 3 2 3 5 2" xfId="44325"/>
    <cellStyle name="20% - Accent2 3 2 3 6" xfId="29689"/>
    <cellStyle name="20% - Accent2 3 2 4" xfId="1033"/>
    <cellStyle name="20% - Accent2 3 2 4 2" xfId="3920"/>
    <cellStyle name="20% - Accent2 3 2 4 2 2" xfId="9961"/>
    <cellStyle name="20% - Accent2 3 2 4 2 2 2" xfId="27008"/>
    <cellStyle name="20% - Accent2 3 2 4 2 2 2 2" xfId="55869"/>
    <cellStyle name="20% - Accent2 3 2 4 2 2 3" xfId="38822"/>
    <cellStyle name="20% - Accent2 3 2 4 2 3" xfId="21030"/>
    <cellStyle name="20% - Accent2 3 2 4 2 3 2" xfId="49891"/>
    <cellStyle name="20% - Accent2 3 2 4 2 4" xfId="32781"/>
    <cellStyle name="20% - Accent2 3 2 4 3" xfId="7075"/>
    <cellStyle name="20% - Accent2 3 2 4 3 2" xfId="24122"/>
    <cellStyle name="20% - Accent2 3 2 4 3 2 2" xfId="52983"/>
    <cellStyle name="20% - Accent2 3 2 4 3 3" xfId="35936"/>
    <cellStyle name="20% - Accent2 3 2 4 4" xfId="14016"/>
    <cellStyle name="20% - Accent2 3 2 4 4 2" xfId="18350"/>
    <cellStyle name="20% - Accent2 3 2 4 4 2 2" xfId="47211"/>
    <cellStyle name="20% - Accent2 3 2 4 4 3" xfId="42877"/>
    <cellStyle name="20% - Accent2 3 2 4 5" xfId="15670"/>
    <cellStyle name="20% - Accent2 3 2 4 5 2" xfId="44531"/>
    <cellStyle name="20% - Accent2 3 2 4 6" xfId="29895"/>
    <cellStyle name="20% - Accent2 3 2 5" xfId="1239"/>
    <cellStyle name="20% - Accent2 3 2 5 2" xfId="4126"/>
    <cellStyle name="20% - Accent2 3 2 5 2 2" xfId="10167"/>
    <cellStyle name="20% - Accent2 3 2 5 2 2 2" xfId="27214"/>
    <cellStyle name="20% - Accent2 3 2 5 2 2 2 2" xfId="56075"/>
    <cellStyle name="20% - Accent2 3 2 5 2 2 3" xfId="39028"/>
    <cellStyle name="20% - Accent2 3 2 5 2 3" xfId="21236"/>
    <cellStyle name="20% - Accent2 3 2 5 2 3 2" xfId="50097"/>
    <cellStyle name="20% - Accent2 3 2 5 2 4" xfId="32987"/>
    <cellStyle name="20% - Accent2 3 2 5 3" xfId="7281"/>
    <cellStyle name="20% - Accent2 3 2 5 3 2" xfId="24328"/>
    <cellStyle name="20% - Accent2 3 2 5 3 2 2" xfId="53189"/>
    <cellStyle name="20% - Accent2 3 2 5 3 3" xfId="36142"/>
    <cellStyle name="20% - Accent2 3 2 5 4" xfId="14088"/>
    <cellStyle name="20% - Accent2 3 2 5 4 2" xfId="18556"/>
    <cellStyle name="20% - Accent2 3 2 5 4 2 2" xfId="47417"/>
    <cellStyle name="20% - Accent2 3 2 5 4 3" xfId="42949"/>
    <cellStyle name="20% - Accent2 3 2 5 5" xfId="15876"/>
    <cellStyle name="20% - Accent2 3 2 5 5 2" xfId="44737"/>
    <cellStyle name="20% - Accent2 3 2 5 6" xfId="30101"/>
    <cellStyle name="20% - Accent2 3 2 6" xfId="1445"/>
    <cellStyle name="20% - Accent2 3 2 6 2" xfId="4332"/>
    <cellStyle name="20% - Accent2 3 2 6 2 2" xfId="10373"/>
    <cellStyle name="20% - Accent2 3 2 6 2 2 2" xfId="27420"/>
    <cellStyle name="20% - Accent2 3 2 6 2 2 2 2" xfId="56281"/>
    <cellStyle name="20% - Accent2 3 2 6 2 2 3" xfId="39234"/>
    <cellStyle name="20% - Accent2 3 2 6 2 3" xfId="21442"/>
    <cellStyle name="20% - Accent2 3 2 6 2 3 2" xfId="50303"/>
    <cellStyle name="20% - Accent2 3 2 6 2 4" xfId="33193"/>
    <cellStyle name="20% - Accent2 3 2 6 3" xfId="7487"/>
    <cellStyle name="20% - Accent2 3 2 6 3 2" xfId="24534"/>
    <cellStyle name="20% - Accent2 3 2 6 3 2 2" xfId="53395"/>
    <cellStyle name="20% - Accent2 3 2 6 3 3" xfId="36348"/>
    <cellStyle name="20% - Accent2 3 2 6 4" xfId="14188"/>
    <cellStyle name="20% - Accent2 3 2 6 4 2" xfId="18762"/>
    <cellStyle name="20% - Accent2 3 2 6 4 2 2" xfId="47623"/>
    <cellStyle name="20% - Accent2 3 2 6 4 3" xfId="43049"/>
    <cellStyle name="20% - Accent2 3 2 6 5" xfId="16082"/>
    <cellStyle name="20% - Accent2 3 2 6 5 2" xfId="44943"/>
    <cellStyle name="20% - Accent2 3 2 6 6" xfId="30307"/>
    <cellStyle name="20% - Accent2 3 2 7" xfId="1651"/>
    <cellStyle name="20% - Accent2 3 2 7 2" xfId="4538"/>
    <cellStyle name="20% - Accent2 3 2 7 2 2" xfId="10579"/>
    <cellStyle name="20% - Accent2 3 2 7 2 2 2" xfId="27626"/>
    <cellStyle name="20% - Accent2 3 2 7 2 2 2 2" xfId="56487"/>
    <cellStyle name="20% - Accent2 3 2 7 2 2 3" xfId="39440"/>
    <cellStyle name="20% - Accent2 3 2 7 2 3" xfId="21648"/>
    <cellStyle name="20% - Accent2 3 2 7 2 3 2" xfId="50509"/>
    <cellStyle name="20% - Accent2 3 2 7 2 4" xfId="33399"/>
    <cellStyle name="20% - Accent2 3 2 7 3" xfId="7693"/>
    <cellStyle name="20% - Accent2 3 2 7 3 2" xfId="24740"/>
    <cellStyle name="20% - Accent2 3 2 7 3 2 2" xfId="53601"/>
    <cellStyle name="20% - Accent2 3 2 7 3 3" xfId="36554"/>
    <cellStyle name="20% - Accent2 3 2 7 4" xfId="13903"/>
    <cellStyle name="20% - Accent2 3 2 7 4 2" xfId="18968"/>
    <cellStyle name="20% - Accent2 3 2 7 4 2 2" xfId="47829"/>
    <cellStyle name="20% - Accent2 3 2 7 4 3" xfId="42764"/>
    <cellStyle name="20% - Accent2 3 2 7 5" xfId="16288"/>
    <cellStyle name="20% - Accent2 3 2 7 5 2" xfId="45149"/>
    <cellStyle name="20% - Accent2 3 2 7 6" xfId="30513"/>
    <cellStyle name="20% - Accent2 3 2 8" xfId="1857"/>
    <cellStyle name="20% - Accent2 3 2 8 2" xfId="4744"/>
    <cellStyle name="20% - Accent2 3 2 8 2 2" xfId="10785"/>
    <cellStyle name="20% - Accent2 3 2 8 2 2 2" xfId="27832"/>
    <cellStyle name="20% - Accent2 3 2 8 2 2 2 2" xfId="56693"/>
    <cellStyle name="20% - Accent2 3 2 8 2 2 3" xfId="39646"/>
    <cellStyle name="20% - Accent2 3 2 8 2 3" xfId="21854"/>
    <cellStyle name="20% - Accent2 3 2 8 2 3 2" xfId="50715"/>
    <cellStyle name="20% - Accent2 3 2 8 2 4" xfId="33605"/>
    <cellStyle name="20% - Accent2 3 2 8 3" xfId="7899"/>
    <cellStyle name="20% - Accent2 3 2 8 3 2" xfId="24946"/>
    <cellStyle name="20% - Accent2 3 2 8 3 2 2" xfId="53807"/>
    <cellStyle name="20% - Accent2 3 2 8 3 3" xfId="36760"/>
    <cellStyle name="20% - Accent2 3 2 8 4" xfId="13576"/>
    <cellStyle name="20% - Accent2 3 2 8 4 2" xfId="19174"/>
    <cellStyle name="20% - Accent2 3 2 8 4 2 2" xfId="48035"/>
    <cellStyle name="20% - Accent2 3 2 8 4 3" xfId="42437"/>
    <cellStyle name="20% - Accent2 3 2 8 5" xfId="16494"/>
    <cellStyle name="20% - Accent2 3 2 8 5 2" xfId="45355"/>
    <cellStyle name="20% - Accent2 3 2 8 6" xfId="30719"/>
    <cellStyle name="20% - Accent2 3 2 9" xfId="2063"/>
    <cellStyle name="20% - Accent2 3 2 9 2" xfId="4950"/>
    <cellStyle name="20% - Accent2 3 2 9 2 2" xfId="10991"/>
    <cellStyle name="20% - Accent2 3 2 9 2 2 2" xfId="28038"/>
    <cellStyle name="20% - Accent2 3 2 9 2 2 2 2" xfId="56899"/>
    <cellStyle name="20% - Accent2 3 2 9 2 2 3" xfId="39852"/>
    <cellStyle name="20% - Accent2 3 2 9 2 3" xfId="22060"/>
    <cellStyle name="20% - Accent2 3 2 9 2 3 2" xfId="50921"/>
    <cellStyle name="20% - Accent2 3 2 9 2 4" xfId="33811"/>
    <cellStyle name="20% - Accent2 3 2 9 3" xfId="8105"/>
    <cellStyle name="20% - Accent2 3 2 9 3 2" xfId="25152"/>
    <cellStyle name="20% - Accent2 3 2 9 3 2 2" xfId="54013"/>
    <cellStyle name="20% - Accent2 3 2 9 3 3" xfId="36966"/>
    <cellStyle name="20% - Accent2 3 2 9 4" xfId="13971"/>
    <cellStyle name="20% - Accent2 3 2 9 4 2" xfId="19380"/>
    <cellStyle name="20% - Accent2 3 2 9 4 2 2" xfId="48241"/>
    <cellStyle name="20% - Accent2 3 2 9 4 3" xfId="42832"/>
    <cellStyle name="20% - Accent2 3 2 9 5" xfId="16700"/>
    <cellStyle name="20% - Accent2 3 2 9 5 2" xfId="45561"/>
    <cellStyle name="20% - Accent2 3 2 9 6" xfId="30925"/>
    <cellStyle name="20% - Accent2 3 20" xfId="28968"/>
    <cellStyle name="20% - Accent2 3 3" xfId="209"/>
    <cellStyle name="20% - Accent2 3 3 2" xfId="621"/>
    <cellStyle name="20% - Accent2 3 3 2 2" xfId="3508"/>
    <cellStyle name="20% - Accent2 3 3 2 2 2" xfId="9549"/>
    <cellStyle name="20% - Accent2 3 3 2 2 2 2" xfId="26596"/>
    <cellStyle name="20% - Accent2 3 3 2 2 2 2 2" xfId="55457"/>
    <cellStyle name="20% - Accent2 3 3 2 2 2 3" xfId="38410"/>
    <cellStyle name="20% - Accent2 3 3 2 2 3" xfId="20618"/>
    <cellStyle name="20% - Accent2 3 3 2 2 3 2" xfId="49479"/>
    <cellStyle name="20% - Accent2 3 3 2 2 4" xfId="32369"/>
    <cellStyle name="20% - Accent2 3 3 2 3" xfId="6663"/>
    <cellStyle name="20% - Accent2 3 3 2 3 2" xfId="23710"/>
    <cellStyle name="20% - Accent2 3 3 2 3 2 2" xfId="52571"/>
    <cellStyle name="20% - Accent2 3 3 2 3 3" xfId="35524"/>
    <cellStyle name="20% - Accent2 3 3 2 4" xfId="13461"/>
    <cellStyle name="20% - Accent2 3 3 2 4 2" xfId="17938"/>
    <cellStyle name="20% - Accent2 3 3 2 4 2 2" xfId="46799"/>
    <cellStyle name="20% - Accent2 3 3 2 4 3" xfId="42322"/>
    <cellStyle name="20% - Accent2 3 3 2 5" xfId="15258"/>
    <cellStyle name="20% - Accent2 3 3 2 5 2" xfId="44119"/>
    <cellStyle name="20% - Accent2 3 3 2 6" xfId="29483"/>
    <cellStyle name="20% - Accent2 3 3 3" xfId="2166"/>
    <cellStyle name="20% - Accent2 3 3 3 2" xfId="5053"/>
    <cellStyle name="20% - Accent2 3 3 3 2 2" xfId="11094"/>
    <cellStyle name="20% - Accent2 3 3 3 2 2 2" xfId="28141"/>
    <cellStyle name="20% - Accent2 3 3 3 2 2 2 2" xfId="57002"/>
    <cellStyle name="20% - Accent2 3 3 3 2 2 3" xfId="39955"/>
    <cellStyle name="20% - Accent2 3 3 3 2 3" xfId="22163"/>
    <cellStyle name="20% - Accent2 3 3 3 2 3 2" xfId="51024"/>
    <cellStyle name="20% - Accent2 3 3 3 2 4" xfId="33914"/>
    <cellStyle name="20% - Accent2 3 3 3 3" xfId="8208"/>
    <cellStyle name="20% - Accent2 3 3 3 3 2" xfId="25255"/>
    <cellStyle name="20% - Accent2 3 3 3 3 2 2" xfId="54116"/>
    <cellStyle name="20% - Accent2 3 3 3 3 3" xfId="37069"/>
    <cellStyle name="20% - Accent2 3 3 3 4" xfId="12107"/>
    <cellStyle name="20% - Accent2 3 3 3 4 2" xfId="19483"/>
    <cellStyle name="20% - Accent2 3 3 3 4 2 2" xfId="48344"/>
    <cellStyle name="20% - Accent2 3 3 3 4 3" xfId="40968"/>
    <cellStyle name="20% - Accent2 3 3 3 5" xfId="16803"/>
    <cellStyle name="20% - Accent2 3 3 3 5 2" xfId="45664"/>
    <cellStyle name="20% - Accent2 3 3 3 6" xfId="31028"/>
    <cellStyle name="20% - Accent2 3 3 4" xfId="3096"/>
    <cellStyle name="20% - Accent2 3 3 4 2" xfId="9137"/>
    <cellStyle name="20% - Accent2 3 3 4 2 2" xfId="26184"/>
    <cellStyle name="20% - Accent2 3 3 4 2 2 2" xfId="55045"/>
    <cellStyle name="20% - Accent2 3 3 4 2 3" xfId="37998"/>
    <cellStyle name="20% - Accent2 3 3 4 3" xfId="20206"/>
    <cellStyle name="20% - Accent2 3 3 4 3 2" xfId="49067"/>
    <cellStyle name="20% - Accent2 3 3 4 4" xfId="31957"/>
    <cellStyle name="20% - Accent2 3 3 5" xfId="6251"/>
    <cellStyle name="20% - Accent2 3 3 5 2" xfId="23298"/>
    <cellStyle name="20% - Accent2 3 3 5 2 2" xfId="52159"/>
    <cellStyle name="20% - Accent2 3 3 5 3" xfId="35112"/>
    <cellStyle name="20% - Accent2 3 3 6" xfId="12949"/>
    <cellStyle name="20% - Accent2 3 3 6 2" xfId="17629"/>
    <cellStyle name="20% - Accent2 3 3 6 2 2" xfId="46490"/>
    <cellStyle name="20% - Accent2 3 3 6 3" xfId="41810"/>
    <cellStyle name="20% - Accent2 3 3 7" xfId="14846"/>
    <cellStyle name="20% - Accent2 3 3 7 2" xfId="43707"/>
    <cellStyle name="20% - Accent2 3 3 8" xfId="29071"/>
    <cellStyle name="20% - Accent2 3 4" xfId="415"/>
    <cellStyle name="20% - Accent2 3 4 2" xfId="3302"/>
    <cellStyle name="20% - Accent2 3 4 2 2" xfId="9343"/>
    <cellStyle name="20% - Accent2 3 4 2 2 2" xfId="26390"/>
    <cellStyle name="20% - Accent2 3 4 2 2 2 2" xfId="55251"/>
    <cellStyle name="20% - Accent2 3 4 2 2 3" xfId="38204"/>
    <cellStyle name="20% - Accent2 3 4 2 3" xfId="20412"/>
    <cellStyle name="20% - Accent2 3 4 2 3 2" xfId="49273"/>
    <cellStyle name="20% - Accent2 3 4 2 4" xfId="32163"/>
    <cellStyle name="20% - Accent2 3 4 3" xfId="6457"/>
    <cellStyle name="20% - Accent2 3 4 3 2" xfId="23504"/>
    <cellStyle name="20% - Accent2 3 4 3 2 2" xfId="52365"/>
    <cellStyle name="20% - Accent2 3 4 3 3" xfId="35318"/>
    <cellStyle name="20% - Accent2 3 4 4" xfId="12722"/>
    <cellStyle name="20% - Accent2 3 4 4 2" xfId="17732"/>
    <cellStyle name="20% - Accent2 3 4 4 2 2" xfId="46593"/>
    <cellStyle name="20% - Accent2 3 4 4 3" xfId="41583"/>
    <cellStyle name="20% - Accent2 3 4 5" xfId="15052"/>
    <cellStyle name="20% - Accent2 3 4 5 2" xfId="43913"/>
    <cellStyle name="20% - Accent2 3 4 6" xfId="29277"/>
    <cellStyle name="20% - Accent2 3 5" xfId="724"/>
    <cellStyle name="20% - Accent2 3 5 2" xfId="3611"/>
    <cellStyle name="20% - Accent2 3 5 2 2" xfId="9652"/>
    <cellStyle name="20% - Accent2 3 5 2 2 2" xfId="26699"/>
    <cellStyle name="20% - Accent2 3 5 2 2 2 2" xfId="55560"/>
    <cellStyle name="20% - Accent2 3 5 2 2 3" xfId="38513"/>
    <cellStyle name="20% - Accent2 3 5 2 3" xfId="20721"/>
    <cellStyle name="20% - Accent2 3 5 2 3 2" xfId="49582"/>
    <cellStyle name="20% - Accent2 3 5 2 4" xfId="32472"/>
    <cellStyle name="20% - Accent2 3 5 3" xfId="6766"/>
    <cellStyle name="20% - Accent2 3 5 3 2" xfId="23813"/>
    <cellStyle name="20% - Accent2 3 5 3 2 2" xfId="52674"/>
    <cellStyle name="20% - Accent2 3 5 3 3" xfId="35627"/>
    <cellStyle name="20% - Accent2 3 5 4" xfId="13499"/>
    <cellStyle name="20% - Accent2 3 5 4 2" xfId="18041"/>
    <cellStyle name="20% - Accent2 3 5 4 2 2" xfId="46902"/>
    <cellStyle name="20% - Accent2 3 5 4 3" xfId="42360"/>
    <cellStyle name="20% - Accent2 3 5 5" xfId="15361"/>
    <cellStyle name="20% - Accent2 3 5 5 2" xfId="44222"/>
    <cellStyle name="20% - Accent2 3 5 6" xfId="29586"/>
    <cellStyle name="20% - Accent2 3 6" xfId="930"/>
    <cellStyle name="20% - Accent2 3 6 2" xfId="3817"/>
    <cellStyle name="20% - Accent2 3 6 2 2" xfId="9858"/>
    <cellStyle name="20% - Accent2 3 6 2 2 2" xfId="26905"/>
    <cellStyle name="20% - Accent2 3 6 2 2 2 2" xfId="55766"/>
    <cellStyle name="20% - Accent2 3 6 2 2 3" xfId="38719"/>
    <cellStyle name="20% - Accent2 3 6 2 3" xfId="20927"/>
    <cellStyle name="20% - Accent2 3 6 2 3 2" xfId="49788"/>
    <cellStyle name="20% - Accent2 3 6 2 4" xfId="32678"/>
    <cellStyle name="20% - Accent2 3 6 3" xfId="6972"/>
    <cellStyle name="20% - Accent2 3 6 3 2" xfId="24019"/>
    <cellStyle name="20% - Accent2 3 6 3 2 2" xfId="52880"/>
    <cellStyle name="20% - Accent2 3 6 3 3" xfId="35833"/>
    <cellStyle name="20% - Accent2 3 6 4" xfId="12906"/>
    <cellStyle name="20% - Accent2 3 6 4 2" xfId="18247"/>
    <cellStyle name="20% - Accent2 3 6 4 2 2" xfId="47108"/>
    <cellStyle name="20% - Accent2 3 6 4 3" xfId="41767"/>
    <cellStyle name="20% - Accent2 3 6 5" xfId="15567"/>
    <cellStyle name="20% - Accent2 3 6 5 2" xfId="44428"/>
    <cellStyle name="20% - Accent2 3 6 6" xfId="29792"/>
    <cellStyle name="20% - Accent2 3 7" xfId="1136"/>
    <cellStyle name="20% - Accent2 3 7 2" xfId="4023"/>
    <cellStyle name="20% - Accent2 3 7 2 2" xfId="10064"/>
    <cellStyle name="20% - Accent2 3 7 2 2 2" xfId="27111"/>
    <cellStyle name="20% - Accent2 3 7 2 2 2 2" xfId="55972"/>
    <cellStyle name="20% - Accent2 3 7 2 2 3" xfId="38925"/>
    <cellStyle name="20% - Accent2 3 7 2 3" xfId="21133"/>
    <cellStyle name="20% - Accent2 3 7 2 3 2" xfId="49994"/>
    <cellStyle name="20% - Accent2 3 7 2 4" xfId="32884"/>
    <cellStyle name="20% - Accent2 3 7 3" xfId="7178"/>
    <cellStyle name="20% - Accent2 3 7 3 2" xfId="24225"/>
    <cellStyle name="20% - Accent2 3 7 3 2 2" xfId="53086"/>
    <cellStyle name="20% - Accent2 3 7 3 3" xfId="36039"/>
    <cellStyle name="20% - Accent2 3 7 4" xfId="13977"/>
    <cellStyle name="20% - Accent2 3 7 4 2" xfId="18453"/>
    <cellStyle name="20% - Accent2 3 7 4 2 2" xfId="47314"/>
    <cellStyle name="20% - Accent2 3 7 4 3" xfId="42838"/>
    <cellStyle name="20% - Accent2 3 7 5" xfId="15773"/>
    <cellStyle name="20% - Accent2 3 7 5 2" xfId="44634"/>
    <cellStyle name="20% - Accent2 3 7 6" xfId="29998"/>
    <cellStyle name="20% - Accent2 3 8" xfId="1342"/>
    <cellStyle name="20% - Accent2 3 8 2" xfId="4229"/>
    <cellStyle name="20% - Accent2 3 8 2 2" xfId="10270"/>
    <cellStyle name="20% - Accent2 3 8 2 2 2" xfId="27317"/>
    <cellStyle name="20% - Accent2 3 8 2 2 2 2" xfId="56178"/>
    <cellStyle name="20% - Accent2 3 8 2 2 3" xfId="39131"/>
    <cellStyle name="20% - Accent2 3 8 2 3" xfId="21339"/>
    <cellStyle name="20% - Accent2 3 8 2 3 2" xfId="50200"/>
    <cellStyle name="20% - Accent2 3 8 2 4" xfId="33090"/>
    <cellStyle name="20% - Accent2 3 8 3" xfId="7384"/>
    <cellStyle name="20% - Accent2 3 8 3 2" xfId="24431"/>
    <cellStyle name="20% - Accent2 3 8 3 2 2" xfId="53292"/>
    <cellStyle name="20% - Accent2 3 8 3 3" xfId="36245"/>
    <cellStyle name="20% - Accent2 3 8 4" xfId="13341"/>
    <cellStyle name="20% - Accent2 3 8 4 2" xfId="18659"/>
    <cellStyle name="20% - Accent2 3 8 4 2 2" xfId="47520"/>
    <cellStyle name="20% - Accent2 3 8 4 3" xfId="42202"/>
    <cellStyle name="20% - Accent2 3 8 5" xfId="15979"/>
    <cellStyle name="20% - Accent2 3 8 5 2" xfId="44840"/>
    <cellStyle name="20% - Accent2 3 8 6" xfId="30204"/>
    <cellStyle name="20% - Accent2 3 9" xfId="1548"/>
    <cellStyle name="20% - Accent2 3 9 2" xfId="4435"/>
    <cellStyle name="20% - Accent2 3 9 2 2" xfId="10476"/>
    <cellStyle name="20% - Accent2 3 9 2 2 2" xfId="27523"/>
    <cellStyle name="20% - Accent2 3 9 2 2 2 2" xfId="56384"/>
    <cellStyle name="20% - Accent2 3 9 2 2 3" xfId="39337"/>
    <cellStyle name="20% - Accent2 3 9 2 3" xfId="21545"/>
    <cellStyle name="20% - Accent2 3 9 2 3 2" xfId="50406"/>
    <cellStyle name="20% - Accent2 3 9 2 4" xfId="33296"/>
    <cellStyle name="20% - Accent2 3 9 3" xfId="7590"/>
    <cellStyle name="20% - Accent2 3 9 3 2" xfId="24637"/>
    <cellStyle name="20% - Accent2 3 9 3 2 2" xfId="53498"/>
    <cellStyle name="20% - Accent2 3 9 3 3" xfId="36451"/>
    <cellStyle name="20% - Accent2 3 9 4" xfId="14370"/>
    <cellStyle name="20% - Accent2 3 9 4 2" xfId="18865"/>
    <cellStyle name="20% - Accent2 3 9 4 2 2" xfId="47726"/>
    <cellStyle name="20% - Accent2 3 9 4 3" xfId="43231"/>
    <cellStyle name="20% - Accent2 3 9 5" xfId="16185"/>
    <cellStyle name="20% - Accent2 3 9 5 2" xfId="45046"/>
    <cellStyle name="20% - Accent2 3 9 6" xfId="30410"/>
    <cellStyle name="20% - Accent2 4" xfId="132"/>
    <cellStyle name="20% - Accent2 4 10" xfId="1780"/>
    <cellStyle name="20% - Accent2 4 10 2" xfId="4667"/>
    <cellStyle name="20% - Accent2 4 10 2 2" xfId="10708"/>
    <cellStyle name="20% - Accent2 4 10 2 2 2" xfId="27755"/>
    <cellStyle name="20% - Accent2 4 10 2 2 2 2" xfId="56616"/>
    <cellStyle name="20% - Accent2 4 10 2 2 3" xfId="39569"/>
    <cellStyle name="20% - Accent2 4 10 2 3" xfId="21777"/>
    <cellStyle name="20% - Accent2 4 10 2 3 2" xfId="50638"/>
    <cellStyle name="20% - Accent2 4 10 2 4" xfId="33528"/>
    <cellStyle name="20% - Accent2 4 10 3" xfId="7822"/>
    <cellStyle name="20% - Accent2 4 10 3 2" xfId="24869"/>
    <cellStyle name="20% - Accent2 4 10 3 2 2" xfId="53730"/>
    <cellStyle name="20% - Accent2 4 10 3 3" xfId="36683"/>
    <cellStyle name="20% - Accent2 4 10 4" xfId="12847"/>
    <cellStyle name="20% - Accent2 4 10 4 2" xfId="19097"/>
    <cellStyle name="20% - Accent2 4 10 4 2 2" xfId="47958"/>
    <cellStyle name="20% - Accent2 4 10 4 3" xfId="41708"/>
    <cellStyle name="20% - Accent2 4 10 5" xfId="16417"/>
    <cellStyle name="20% - Accent2 4 10 5 2" xfId="45278"/>
    <cellStyle name="20% - Accent2 4 10 6" xfId="30642"/>
    <cellStyle name="20% - Accent2 4 11" xfId="1986"/>
    <cellStyle name="20% - Accent2 4 11 2" xfId="4873"/>
    <cellStyle name="20% - Accent2 4 11 2 2" xfId="10914"/>
    <cellStyle name="20% - Accent2 4 11 2 2 2" xfId="27961"/>
    <cellStyle name="20% - Accent2 4 11 2 2 2 2" xfId="56822"/>
    <cellStyle name="20% - Accent2 4 11 2 2 3" xfId="39775"/>
    <cellStyle name="20% - Accent2 4 11 2 3" xfId="21983"/>
    <cellStyle name="20% - Accent2 4 11 2 3 2" xfId="50844"/>
    <cellStyle name="20% - Accent2 4 11 2 4" xfId="33734"/>
    <cellStyle name="20% - Accent2 4 11 3" xfId="8028"/>
    <cellStyle name="20% - Accent2 4 11 3 2" xfId="25075"/>
    <cellStyle name="20% - Accent2 4 11 3 2 2" xfId="53936"/>
    <cellStyle name="20% - Accent2 4 11 3 3" xfId="36889"/>
    <cellStyle name="20% - Accent2 4 11 4" xfId="12341"/>
    <cellStyle name="20% - Accent2 4 11 4 2" xfId="19303"/>
    <cellStyle name="20% - Accent2 4 11 4 2 2" xfId="48164"/>
    <cellStyle name="20% - Accent2 4 11 4 3" xfId="41202"/>
    <cellStyle name="20% - Accent2 4 11 5" xfId="16623"/>
    <cellStyle name="20% - Accent2 4 11 5 2" xfId="45484"/>
    <cellStyle name="20% - Accent2 4 11 6" xfId="30848"/>
    <cellStyle name="20% - Accent2 4 12" xfId="2398"/>
    <cellStyle name="20% - Accent2 4 12 2" xfId="5285"/>
    <cellStyle name="20% - Accent2 4 12 2 2" xfId="11326"/>
    <cellStyle name="20% - Accent2 4 12 2 2 2" xfId="28373"/>
    <cellStyle name="20% - Accent2 4 12 2 2 2 2" xfId="57234"/>
    <cellStyle name="20% - Accent2 4 12 2 2 3" xfId="40187"/>
    <cellStyle name="20% - Accent2 4 12 2 3" xfId="22395"/>
    <cellStyle name="20% - Accent2 4 12 2 3 2" xfId="51256"/>
    <cellStyle name="20% - Accent2 4 12 2 4" xfId="34146"/>
    <cellStyle name="20% - Accent2 4 12 3" xfId="8440"/>
    <cellStyle name="20% - Accent2 4 12 3 2" xfId="25487"/>
    <cellStyle name="20% - Accent2 4 12 3 2 2" xfId="54348"/>
    <cellStyle name="20% - Accent2 4 12 3 3" xfId="37301"/>
    <cellStyle name="20% - Accent2 4 12 4" xfId="12134"/>
    <cellStyle name="20% - Accent2 4 12 4 2" xfId="19715"/>
    <cellStyle name="20% - Accent2 4 12 4 2 2" xfId="48576"/>
    <cellStyle name="20% - Accent2 4 12 4 3" xfId="40995"/>
    <cellStyle name="20% - Accent2 4 12 5" xfId="17035"/>
    <cellStyle name="20% - Accent2 4 12 5 2" xfId="45896"/>
    <cellStyle name="20% - Accent2 4 12 6" xfId="31260"/>
    <cellStyle name="20% - Accent2 4 13" xfId="2607"/>
    <cellStyle name="20% - Accent2 4 13 2" xfId="5493"/>
    <cellStyle name="20% - Accent2 4 13 2 2" xfId="11534"/>
    <cellStyle name="20% - Accent2 4 13 2 2 2" xfId="28581"/>
    <cellStyle name="20% - Accent2 4 13 2 2 2 2" xfId="57442"/>
    <cellStyle name="20% - Accent2 4 13 2 2 3" xfId="40395"/>
    <cellStyle name="20% - Accent2 4 13 2 3" xfId="22603"/>
    <cellStyle name="20% - Accent2 4 13 2 3 2" xfId="51464"/>
    <cellStyle name="20% - Accent2 4 13 2 4" xfId="34354"/>
    <cellStyle name="20% - Accent2 4 13 3" xfId="8648"/>
    <cellStyle name="20% - Accent2 4 13 3 2" xfId="25695"/>
    <cellStyle name="20% - Accent2 4 13 3 2 2" xfId="54556"/>
    <cellStyle name="20% - Accent2 4 13 3 3" xfId="37509"/>
    <cellStyle name="20% - Accent2 4 13 4" xfId="13180"/>
    <cellStyle name="20% - Accent2 4 13 4 2" xfId="19923"/>
    <cellStyle name="20% - Accent2 4 13 4 2 2" xfId="48784"/>
    <cellStyle name="20% - Accent2 4 13 4 3" xfId="42041"/>
    <cellStyle name="20% - Accent2 4 13 5" xfId="17243"/>
    <cellStyle name="20% - Accent2 4 13 5 2" xfId="46104"/>
    <cellStyle name="20% - Accent2 4 13 6" xfId="31468"/>
    <cellStyle name="20% - Accent2 4 14" xfId="3019"/>
    <cellStyle name="20% - Accent2 4 14 2" xfId="9060"/>
    <cellStyle name="20% - Accent2 4 14 2 2" xfId="26107"/>
    <cellStyle name="20% - Accent2 4 14 2 2 2" xfId="54968"/>
    <cellStyle name="20% - Accent2 4 14 2 3" xfId="37921"/>
    <cellStyle name="20% - Accent2 4 14 3" xfId="13732"/>
    <cellStyle name="20% - Accent2 4 14 3 2" xfId="20129"/>
    <cellStyle name="20% - Accent2 4 14 3 2 2" xfId="48990"/>
    <cellStyle name="20% - Accent2 4 14 3 3" xfId="42593"/>
    <cellStyle name="20% - Accent2 4 14 4" xfId="14769"/>
    <cellStyle name="20% - Accent2 4 14 4 2" xfId="43630"/>
    <cellStyle name="20% - Accent2 4 14 5" xfId="31880"/>
    <cellStyle name="20% - Accent2 4 15" xfId="2813"/>
    <cellStyle name="20% - Accent2 4 15 2" xfId="8854"/>
    <cellStyle name="20% - Accent2 4 15 2 2" xfId="25901"/>
    <cellStyle name="20% - Accent2 4 15 2 2 2" xfId="54762"/>
    <cellStyle name="20% - Accent2 4 15 2 3" xfId="37715"/>
    <cellStyle name="20% - Accent2 4 15 3" xfId="17449"/>
    <cellStyle name="20% - Accent2 4 15 3 2" xfId="46310"/>
    <cellStyle name="20% - Accent2 4 15 4" xfId="31674"/>
    <cellStyle name="20% - Accent2 4 16" xfId="5699"/>
    <cellStyle name="20% - Accent2 4 16 2" xfId="11740"/>
    <cellStyle name="20% - Accent2 4 16 2 2" xfId="28787"/>
    <cellStyle name="20% - Accent2 4 16 2 2 2" xfId="57648"/>
    <cellStyle name="20% - Accent2 4 16 2 3" xfId="40601"/>
    <cellStyle name="20% - Accent2 4 16 3" xfId="22809"/>
    <cellStyle name="20% - Accent2 4 16 3 2" xfId="51670"/>
    <cellStyle name="20% - Accent2 4 16 4" xfId="34560"/>
    <cellStyle name="20% - Accent2 4 17" xfId="5916"/>
    <cellStyle name="20% - Accent2 4 17 2" xfId="23015"/>
    <cellStyle name="20% - Accent2 4 17 2 2" xfId="51876"/>
    <cellStyle name="20% - Accent2 4 17 3" xfId="34777"/>
    <cellStyle name="20% - Accent2 4 18" xfId="6174"/>
    <cellStyle name="20% - Accent2 4 18 2" xfId="23221"/>
    <cellStyle name="20% - Accent2 4 18 2 2" xfId="52082"/>
    <cellStyle name="20% - Accent2 4 18 3" xfId="35035"/>
    <cellStyle name="20% - Accent2 4 19" xfId="14563"/>
    <cellStyle name="20% - Accent2 4 19 2" xfId="43424"/>
    <cellStyle name="20% - Accent2 4 2" xfId="338"/>
    <cellStyle name="20% - Accent2 4 2 10" xfId="2501"/>
    <cellStyle name="20% - Accent2 4 2 10 2" xfId="5388"/>
    <cellStyle name="20% - Accent2 4 2 10 2 2" xfId="11429"/>
    <cellStyle name="20% - Accent2 4 2 10 2 2 2" xfId="28476"/>
    <cellStyle name="20% - Accent2 4 2 10 2 2 2 2" xfId="57337"/>
    <cellStyle name="20% - Accent2 4 2 10 2 2 3" xfId="40290"/>
    <cellStyle name="20% - Accent2 4 2 10 2 3" xfId="22498"/>
    <cellStyle name="20% - Accent2 4 2 10 2 3 2" xfId="51359"/>
    <cellStyle name="20% - Accent2 4 2 10 2 4" xfId="34249"/>
    <cellStyle name="20% - Accent2 4 2 10 3" xfId="8543"/>
    <cellStyle name="20% - Accent2 4 2 10 3 2" xfId="25590"/>
    <cellStyle name="20% - Accent2 4 2 10 3 2 2" xfId="54451"/>
    <cellStyle name="20% - Accent2 4 2 10 3 3" xfId="37404"/>
    <cellStyle name="20% - Accent2 4 2 10 4" xfId="12511"/>
    <cellStyle name="20% - Accent2 4 2 10 4 2" xfId="19818"/>
    <cellStyle name="20% - Accent2 4 2 10 4 2 2" xfId="48679"/>
    <cellStyle name="20% - Accent2 4 2 10 4 3" xfId="41372"/>
    <cellStyle name="20% - Accent2 4 2 10 5" xfId="17138"/>
    <cellStyle name="20% - Accent2 4 2 10 5 2" xfId="45999"/>
    <cellStyle name="20% - Accent2 4 2 10 6" xfId="31363"/>
    <cellStyle name="20% - Accent2 4 2 11" xfId="2710"/>
    <cellStyle name="20% - Accent2 4 2 11 2" xfId="5596"/>
    <cellStyle name="20% - Accent2 4 2 11 2 2" xfId="11637"/>
    <cellStyle name="20% - Accent2 4 2 11 2 2 2" xfId="28684"/>
    <cellStyle name="20% - Accent2 4 2 11 2 2 2 2" xfId="57545"/>
    <cellStyle name="20% - Accent2 4 2 11 2 2 3" xfId="40498"/>
    <cellStyle name="20% - Accent2 4 2 11 2 3" xfId="22706"/>
    <cellStyle name="20% - Accent2 4 2 11 2 3 2" xfId="51567"/>
    <cellStyle name="20% - Accent2 4 2 11 2 4" xfId="34457"/>
    <cellStyle name="20% - Accent2 4 2 11 3" xfId="8751"/>
    <cellStyle name="20% - Accent2 4 2 11 3 2" xfId="25798"/>
    <cellStyle name="20% - Accent2 4 2 11 3 2 2" xfId="54659"/>
    <cellStyle name="20% - Accent2 4 2 11 3 3" xfId="37612"/>
    <cellStyle name="20% - Accent2 4 2 11 4" xfId="13424"/>
    <cellStyle name="20% - Accent2 4 2 11 4 2" xfId="20026"/>
    <cellStyle name="20% - Accent2 4 2 11 4 2 2" xfId="48887"/>
    <cellStyle name="20% - Accent2 4 2 11 4 3" xfId="42285"/>
    <cellStyle name="20% - Accent2 4 2 11 5" xfId="17346"/>
    <cellStyle name="20% - Accent2 4 2 11 5 2" xfId="46207"/>
    <cellStyle name="20% - Accent2 4 2 11 6" xfId="31571"/>
    <cellStyle name="20% - Accent2 4 2 12" xfId="3225"/>
    <cellStyle name="20% - Accent2 4 2 12 2" xfId="9266"/>
    <cellStyle name="20% - Accent2 4 2 12 2 2" xfId="26313"/>
    <cellStyle name="20% - Accent2 4 2 12 2 2 2" xfId="55174"/>
    <cellStyle name="20% - Accent2 4 2 12 2 3" xfId="38127"/>
    <cellStyle name="20% - Accent2 4 2 12 3" xfId="13119"/>
    <cellStyle name="20% - Accent2 4 2 12 3 2" xfId="20335"/>
    <cellStyle name="20% - Accent2 4 2 12 3 2 2" xfId="49196"/>
    <cellStyle name="20% - Accent2 4 2 12 3 3" xfId="41980"/>
    <cellStyle name="20% - Accent2 4 2 12 4" xfId="14975"/>
    <cellStyle name="20% - Accent2 4 2 12 4 2" xfId="43836"/>
    <cellStyle name="20% - Accent2 4 2 12 5" xfId="32086"/>
    <cellStyle name="20% - Accent2 4 2 13" xfId="2916"/>
    <cellStyle name="20% - Accent2 4 2 13 2" xfId="8957"/>
    <cellStyle name="20% - Accent2 4 2 13 2 2" xfId="26004"/>
    <cellStyle name="20% - Accent2 4 2 13 2 2 2" xfId="54865"/>
    <cellStyle name="20% - Accent2 4 2 13 2 3" xfId="37818"/>
    <cellStyle name="20% - Accent2 4 2 13 3" xfId="17552"/>
    <cellStyle name="20% - Accent2 4 2 13 3 2" xfId="46413"/>
    <cellStyle name="20% - Accent2 4 2 13 4" xfId="31777"/>
    <cellStyle name="20% - Accent2 4 2 14" xfId="5802"/>
    <cellStyle name="20% - Accent2 4 2 14 2" xfId="11843"/>
    <cellStyle name="20% - Accent2 4 2 14 2 2" xfId="28890"/>
    <cellStyle name="20% - Accent2 4 2 14 2 2 2" xfId="57751"/>
    <cellStyle name="20% - Accent2 4 2 14 2 3" xfId="40704"/>
    <cellStyle name="20% - Accent2 4 2 14 3" xfId="22912"/>
    <cellStyle name="20% - Accent2 4 2 14 3 2" xfId="51773"/>
    <cellStyle name="20% - Accent2 4 2 14 4" xfId="34663"/>
    <cellStyle name="20% - Accent2 4 2 15" xfId="6019"/>
    <cellStyle name="20% - Accent2 4 2 15 2" xfId="23118"/>
    <cellStyle name="20% - Accent2 4 2 15 2 2" xfId="51979"/>
    <cellStyle name="20% - Accent2 4 2 15 3" xfId="34880"/>
    <cellStyle name="20% - Accent2 4 2 16" xfId="6380"/>
    <cellStyle name="20% - Accent2 4 2 16 2" xfId="23427"/>
    <cellStyle name="20% - Accent2 4 2 16 2 2" xfId="52288"/>
    <cellStyle name="20% - Accent2 4 2 16 3" xfId="35241"/>
    <cellStyle name="20% - Accent2 4 2 17" xfId="14666"/>
    <cellStyle name="20% - Accent2 4 2 17 2" xfId="43527"/>
    <cellStyle name="20% - Accent2 4 2 18" xfId="29200"/>
    <cellStyle name="20% - Accent2 4 2 2" xfId="544"/>
    <cellStyle name="20% - Accent2 4 2 2 2" xfId="2295"/>
    <cellStyle name="20% - Accent2 4 2 2 2 2" xfId="5182"/>
    <cellStyle name="20% - Accent2 4 2 2 2 2 2" xfId="11223"/>
    <cellStyle name="20% - Accent2 4 2 2 2 2 2 2" xfId="28270"/>
    <cellStyle name="20% - Accent2 4 2 2 2 2 2 2 2" xfId="57131"/>
    <cellStyle name="20% - Accent2 4 2 2 2 2 2 3" xfId="40084"/>
    <cellStyle name="20% - Accent2 4 2 2 2 2 3" xfId="22292"/>
    <cellStyle name="20% - Accent2 4 2 2 2 2 3 2" xfId="51153"/>
    <cellStyle name="20% - Accent2 4 2 2 2 2 4" xfId="34043"/>
    <cellStyle name="20% - Accent2 4 2 2 2 3" xfId="8337"/>
    <cellStyle name="20% - Accent2 4 2 2 2 3 2" xfId="25384"/>
    <cellStyle name="20% - Accent2 4 2 2 2 3 2 2" xfId="54245"/>
    <cellStyle name="20% - Accent2 4 2 2 2 3 3" xfId="37198"/>
    <cellStyle name="20% - Accent2 4 2 2 2 4" xfId="14209"/>
    <cellStyle name="20% - Accent2 4 2 2 2 4 2" xfId="19612"/>
    <cellStyle name="20% - Accent2 4 2 2 2 4 2 2" xfId="48473"/>
    <cellStyle name="20% - Accent2 4 2 2 2 4 3" xfId="43070"/>
    <cellStyle name="20% - Accent2 4 2 2 2 5" xfId="16932"/>
    <cellStyle name="20% - Accent2 4 2 2 2 5 2" xfId="45793"/>
    <cellStyle name="20% - Accent2 4 2 2 2 6" xfId="31157"/>
    <cellStyle name="20% - Accent2 4 2 2 3" xfId="3431"/>
    <cellStyle name="20% - Accent2 4 2 2 3 2" xfId="9472"/>
    <cellStyle name="20% - Accent2 4 2 2 3 2 2" xfId="26519"/>
    <cellStyle name="20% - Accent2 4 2 2 3 2 2 2" xfId="55380"/>
    <cellStyle name="20% - Accent2 4 2 2 3 2 3" xfId="38333"/>
    <cellStyle name="20% - Accent2 4 2 2 3 3" xfId="20541"/>
    <cellStyle name="20% - Accent2 4 2 2 3 3 2" xfId="49402"/>
    <cellStyle name="20% - Accent2 4 2 2 3 4" xfId="32292"/>
    <cellStyle name="20% - Accent2 4 2 2 4" xfId="6586"/>
    <cellStyle name="20% - Accent2 4 2 2 4 2" xfId="23633"/>
    <cellStyle name="20% - Accent2 4 2 2 4 2 2" xfId="52494"/>
    <cellStyle name="20% - Accent2 4 2 2 4 3" xfId="35447"/>
    <cellStyle name="20% - Accent2 4 2 2 5" xfId="14071"/>
    <cellStyle name="20% - Accent2 4 2 2 5 2" xfId="17861"/>
    <cellStyle name="20% - Accent2 4 2 2 5 2 2" xfId="46722"/>
    <cellStyle name="20% - Accent2 4 2 2 5 3" xfId="42932"/>
    <cellStyle name="20% - Accent2 4 2 2 6" xfId="15181"/>
    <cellStyle name="20% - Accent2 4 2 2 6 2" xfId="44042"/>
    <cellStyle name="20% - Accent2 4 2 2 7" xfId="29406"/>
    <cellStyle name="20% - Accent2 4 2 3" xfId="853"/>
    <cellStyle name="20% - Accent2 4 2 3 2" xfId="3740"/>
    <cellStyle name="20% - Accent2 4 2 3 2 2" xfId="9781"/>
    <cellStyle name="20% - Accent2 4 2 3 2 2 2" xfId="26828"/>
    <cellStyle name="20% - Accent2 4 2 3 2 2 2 2" xfId="55689"/>
    <cellStyle name="20% - Accent2 4 2 3 2 2 3" xfId="38642"/>
    <cellStyle name="20% - Accent2 4 2 3 2 3" xfId="20850"/>
    <cellStyle name="20% - Accent2 4 2 3 2 3 2" xfId="49711"/>
    <cellStyle name="20% - Accent2 4 2 3 2 4" xfId="32601"/>
    <cellStyle name="20% - Accent2 4 2 3 3" xfId="6895"/>
    <cellStyle name="20% - Accent2 4 2 3 3 2" xfId="23942"/>
    <cellStyle name="20% - Accent2 4 2 3 3 2 2" xfId="52803"/>
    <cellStyle name="20% - Accent2 4 2 3 3 3" xfId="35756"/>
    <cellStyle name="20% - Accent2 4 2 3 4" xfId="13587"/>
    <cellStyle name="20% - Accent2 4 2 3 4 2" xfId="18170"/>
    <cellStyle name="20% - Accent2 4 2 3 4 2 2" xfId="47031"/>
    <cellStyle name="20% - Accent2 4 2 3 4 3" xfId="42448"/>
    <cellStyle name="20% - Accent2 4 2 3 5" xfId="15490"/>
    <cellStyle name="20% - Accent2 4 2 3 5 2" xfId="44351"/>
    <cellStyle name="20% - Accent2 4 2 3 6" xfId="29715"/>
    <cellStyle name="20% - Accent2 4 2 4" xfId="1059"/>
    <cellStyle name="20% - Accent2 4 2 4 2" xfId="3946"/>
    <cellStyle name="20% - Accent2 4 2 4 2 2" xfId="9987"/>
    <cellStyle name="20% - Accent2 4 2 4 2 2 2" xfId="27034"/>
    <cellStyle name="20% - Accent2 4 2 4 2 2 2 2" xfId="55895"/>
    <cellStyle name="20% - Accent2 4 2 4 2 2 3" xfId="38848"/>
    <cellStyle name="20% - Accent2 4 2 4 2 3" xfId="21056"/>
    <cellStyle name="20% - Accent2 4 2 4 2 3 2" xfId="49917"/>
    <cellStyle name="20% - Accent2 4 2 4 2 4" xfId="32807"/>
    <cellStyle name="20% - Accent2 4 2 4 3" xfId="7101"/>
    <cellStyle name="20% - Accent2 4 2 4 3 2" xfId="24148"/>
    <cellStyle name="20% - Accent2 4 2 4 3 2 2" xfId="53009"/>
    <cellStyle name="20% - Accent2 4 2 4 3 3" xfId="35962"/>
    <cellStyle name="20% - Accent2 4 2 4 4" xfId="12958"/>
    <cellStyle name="20% - Accent2 4 2 4 4 2" xfId="18376"/>
    <cellStyle name="20% - Accent2 4 2 4 4 2 2" xfId="47237"/>
    <cellStyle name="20% - Accent2 4 2 4 4 3" xfId="41819"/>
    <cellStyle name="20% - Accent2 4 2 4 5" xfId="15696"/>
    <cellStyle name="20% - Accent2 4 2 4 5 2" xfId="44557"/>
    <cellStyle name="20% - Accent2 4 2 4 6" xfId="29921"/>
    <cellStyle name="20% - Accent2 4 2 5" xfId="1265"/>
    <cellStyle name="20% - Accent2 4 2 5 2" xfId="4152"/>
    <cellStyle name="20% - Accent2 4 2 5 2 2" xfId="10193"/>
    <cellStyle name="20% - Accent2 4 2 5 2 2 2" xfId="27240"/>
    <cellStyle name="20% - Accent2 4 2 5 2 2 2 2" xfId="56101"/>
    <cellStyle name="20% - Accent2 4 2 5 2 2 3" xfId="39054"/>
    <cellStyle name="20% - Accent2 4 2 5 2 3" xfId="21262"/>
    <cellStyle name="20% - Accent2 4 2 5 2 3 2" xfId="50123"/>
    <cellStyle name="20% - Accent2 4 2 5 2 4" xfId="33013"/>
    <cellStyle name="20% - Accent2 4 2 5 3" xfId="7307"/>
    <cellStyle name="20% - Accent2 4 2 5 3 2" xfId="24354"/>
    <cellStyle name="20% - Accent2 4 2 5 3 2 2" xfId="53215"/>
    <cellStyle name="20% - Accent2 4 2 5 3 3" xfId="36168"/>
    <cellStyle name="20% - Accent2 4 2 5 4" xfId="12426"/>
    <cellStyle name="20% - Accent2 4 2 5 4 2" xfId="18582"/>
    <cellStyle name="20% - Accent2 4 2 5 4 2 2" xfId="47443"/>
    <cellStyle name="20% - Accent2 4 2 5 4 3" xfId="41287"/>
    <cellStyle name="20% - Accent2 4 2 5 5" xfId="15902"/>
    <cellStyle name="20% - Accent2 4 2 5 5 2" xfId="44763"/>
    <cellStyle name="20% - Accent2 4 2 5 6" xfId="30127"/>
    <cellStyle name="20% - Accent2 4 2 6" xfId="1471"/>
    <cellStyle name="20% - Accent2 4 2 6 2" xfId="4358"/>
    <cellStyle name="20% - Accent2 4 2 6 2 2" xfId="10399"/>
    <cellStyle name="20% - Accent2 4 2 6 2 2 2" xfId="27446"/>
    <cellStyle name="20% - Accent2 4 2 6 2 2 2 2" xfId="56307"/>
    <cellStyle name="20% - Accent2 4 2 6 2 2 3" xfId="39260"/>
    <cellStyle name="20% - Accent2 4 2 6 2 3" xfId="21468"/>
    <cellStyle name="20% - Accent2 4 2 6 2 3 2" xfId="50329"/>
    <cellStyle name="20% - Accent2 4 2 6 2 4" xfId="33219"/>
    <cellStyle name="20% - Accent2 4 2 6 3" xfId="7513"/>
    <cellStyle name="20% - Accent2 4 2 6 3 2" xfId="24560"/>
    <cellStyle name="20% - Accent2 4 2 6 3 2 2" xfId="53421"/>
    <cellStyle name="20% - Accent2 4 2 6 3 3" xfId="36374"/>
    <cellStyle name="20% - Accent2 4 2 6 4" xfId="13589"/>
    <cellStyle name="20% - Accent2 4 2 6 4 2" xfId="18788"/>
    <cellStyle name="20% - Accent2 4 2 6 4 2 2" xfId="47649"/>
    <cellStyle name="20% - Accent2 4 2 6 4 3" xfId="42450"/>
    <cellStyle name="20% - Accent2 4 2 6 5" xfId="16108"/>
    <cellStyle name="20% - Accent2 4 2 6 5 2" xfId="44969"/>
    <cellStyle name="20% - Accent2 4 2 6 6" xfId="30333"/>
    <cellStyle name="20% - Accent2 4 2 7" xfId="1677"/>
    <cellStyle name="20% - Accent2 4 2 7 2" xfId="4564"/>
    <cellStyle name="20% - Accent2 4 2 7 2 2" xfId="10605"/>
    <cellStyle name="20% - Accent2 4 2 7 2 2 2" xfId="27652"/>
    <cellStyle name="20% - Accent2 4 2 7 2 2 2 2" xfId="56513"/>
    <cellStyle name="20% - Accent2 4 2 7 2 2 3" xfId="39466"/>
    <cellStyle name="20% - Accent2 4 2 7 2 3" xfId="21674"/>
    <cellStyle name="20% - Accent2 4 2 7 2 3 2" xfId="50535"/>
    <cellStyle name="20% - Accent2 4 2 7 2 4" xfId="33425"/>
    <cellStyle name="20% - Accent2 4 2 7 3" xfId="7719"/>
    <cellStyle name="20% - Accent2 4 2 7 3 2" xfId="24766"/>
    <cellStyle name="20% - Accent2 4 2 7 3 2 2" xfId="53627"/>
    <cellStyle name="20% - Accent2 4 2 7 3 3" xfId="36580"/>
    <cellStyle name="20% - Accent2 4 2 7 4" xfId="14037"/>
    <cellStyle name="20% - Accent2 4 2 7 4 2" xfId="18994"/>
    <cellStyle name="20% - Accent2 4 2 7 4 2 2" xfId="47855"/>
    <cellStyle name="20% - Accent2 4 2 7 4 3" xfId="42898"/>
    <cellStyle name="20% - Accent2 4 2 7 5" xfId="16314"/>
    <cellStyle name="20% - Accent2 4 2 7 5 2" xfId="45175"/>
    <cellStyle name="20% - Accent2 4 2 7 6" xfId="30539"/>
    <cellStyle name="20% - Accent2 4 2 8" xfId="1883"/>
    <cellStyle name="20% - Accent2 4 2 8 2" xfId="4770"/>
    <cellStyle name="20% - Accent2 4 2 8 2 2" xfId="10811"/>
    <cellStyle name="20% - Accent2 4 2 8 2 2 2" xfId="27858"/>
    <cellStyle name="20% - Accent2 4 2 8 2 2 2 2" xfId="56719"/>
    <cellStyle name="20% - Accent2 4 2 8 2 2 3" xfId="39672"/>
    <cellStyle name="20% - Accent2 4 2 8 2 3" xfId="21880"/>
    <cellStyle name="20% - Accent2 4 2 8 2 3 2" xfId="50741"/>
    <cellStyle name="20% - Accent2 4 2 8 2 4" xfId="33631"/>
    <cellStyle name="20% - Accent2 4 2 8 3" xfId="7925"/>
    <cellStyle name="20% - Accent2 4 2 8 3 2" xfId="24972"/>
    <cellStyle name="20% - Accent2 4 2 8 3 2 2" xfId="53833"/>
    <cellStyle name="20% - Accent2 4 2 8 3 3" xfId="36786"/>
    <cellStyle name="20% - Accent2 4 2 8 4" xfId="13530"/>
    <cellStyle name="20% - Accent2 4 2 8 4 2" xfId="19200"/>
    <cellStyle name="20% - Accent2 4 2 8 4 2 2" xfId="48061"/>
    <cellStyle name="20% - Accent2 4 2 8 4 3" xfId="42391"/>
    <cellStyle name="20% - Accent2 4 2 8 5" xfId="16520"/>
    <cellStyle name="20% - Accent2 4 2 8 5 2" xfId="45381"/>
    <cellStyle name="20% - Accent2 4 2 8 6" xfId="30745"/>
    <cellStyle name="20% - Accent2 4 2 9" xfId="2089"/>
    <cellStyle name="20% - Accent2 4 2 9 2" xfId="4976"/>
    <cellStyle name="20% - Accent2 4 2 9 2 2" xfId="11017"/>
    <cellStyle name="20% - Accent2 4 2 9 2 2 2" xfId="28064"/>
    <cellStyle name="20% - Accent2 4 2 9 2 2 2 2" xfId="56925"/>
    <cellStyle name="20% - Accent2 4 2 9 2 2 3" xfId="39878"/>
    <cellStyle name="20% - Accent2 4 2 9 2 3" xfId="22086"/>
    <cellStyle name="20% - Accent2 4 2 9 2 3 2" xfId="50947"/>
    <cellStyle name="20% - Accent2 4 2 9 2 4" xfId="33837"/>
    <cellStyle name="20% - Accent2 4 2 9 3" xfId="8131"/>
    <cellStyle name="20% - Accent2 4 2 9 3 2" xfId="25178"/>
    <cellStyle name="20% - Accent2 4 2 9 3 2 2" xfId="54039"/>
    <cellStyle name="20% - Accent2 4 2 9 3 3" xfId="36992"/>
    <cellStyle name="20% - Accent2 4 2 9 4" xfId="12114"/>
    <cellStyle name="20% - Accent2 4 2 9 4 2" xfId="19406"/>
    <cellStyle name="20% - Accent2 4 2 9 4 2 2" xfId="48267"/>
    <cellStyle name="20% - Accent2 4 2 9 4 3" xfId="40975"/>
    <cellStyle name="20% - Accent2 4 2 9 5" xfId="16726"/>
    <cellStyle name="20% - Accent2 4 2 9 5 2" xfId="45587"/>
    <cellStyle name="20% - Accent2 4 2 9 6" xfId="30951"/>
    <cellStyle name="20% - Accent2 4 20" xfId="28994"/>
    <cellStyle name="20% - Accent2 4 3" xfId="235"/>
    <cellStyle name="20% - Accent2 4 3 2" xfId="647"/>
    <cellStyle name="20% - Accent2 4 3 2 2" xfId="3534"/>
    <cellStyle name="20% - Accent2 4 3 2 2 2" xfId="9575"/>
    <cellStyle name="20% - Accent2 4 3 2 2 2 2" xfId="26622"/>
    <cellStyle name="20% - Accent2 4 3 2 2 2 2 2" xfId="55483"/>
    <cellStyle name="20% - Accent2 4 3 2 2 2 3" xfId="38436"/>
    <cellStyle name="20% - Accent2 4 3 2 2 3" xfId="20644"/>
    <cellStyle name="20% - Accent2 4 3 2 2 3 2" xfId="49505"/>
    <cellStyle name="20% - Accent2 4 3 2 2 4" xfId="32395"/>
    <cellStyle name="20% - Accent2 4 3 2 3" xfId="6689"/>
    <cellStyle name="20% - Accent2 4 3 2 3 2" xfId="23736"/>
    <cellStyle name="20% - Accent2 4 3 2 3 2 2" xfId="52597"/>
    <cellStyle name="20% - Accent2 4 3 2 3 3" xfId="35550"/>
    <cellStyle name="20% - Accent2 4 3 2 4" xfId="12741"/>
    <cellStyle name="20% - Accent2 4 3 2 4 2" xfId="17964"/>
    <cellStyle name="20% - Accent2 4 3 2 4 2 2" xfId="46825"/>
    <cellStyle name="20% - Accent2 4 3 2 4 3" xfId="41602"/>
    <cellStyle name="20% - Accent2 4 3 2 5" xfId="15284"/>
    <cellStyle name="20% - Accent2 4 3 2 5 2" xfId="44145"/>
    <cellStyle name="20% - Accent2 4 3 2 6" xfId="29509"/>
    <cellStyle name="20% - Accent2 4 3 3" xfId="2192"/>
    <cellStyle name="20% - Accent2 4 3 3 2" xfId="5079"/>
    <cellStyle name="20% - Accent2 4 3 3 2 2" xfId="11120"/>
    <cellStyle name="20% - Accent2 4 3 3 2 2 2" xfId="28167"/>
    <cellStyle name="20% - Accent2 4 3 3 2 2 2 2" xfId="57028"/>
    <cellStyle name="20% - Accent2 4 3 3 2 2 3" xfId="39981"/>
    <cellStyle name="20% - Accent2 4 3 3 2 3" xfId="22189"/>
    <cellStyle name="20% - Accent2 4 3 3 2 3 2" xfId="51050"/>
    <cellStyle name="20% - Accent2 4 3 3 2 4" xfId="33940"/>
    <cellStyle name="20% - Accent2 4 3 3 3" xfId="8234"/>
    <cellStyle name="20% - Accent2 4 3 3 3 2" xfId="25281"/>
    <cellStyle name="20% - Accent2 4 3 3 3 2 2" xfId="54142"/>
    <cellStyle name="20% - Accent2 4 3 3 3 3" xfId="37095"/>
    <cellStyle name="20% - Accent2 4 3 3 4" xfId="12876"/>
    <cellStyle name="20% - Accent2 4 3 3 4 2" xfId="19509"/>
    <cellStyle name="20% - Accent2 4 3 3 4 2 2" xfId="48370"/>
    <cellStyle name="20% - Accent2 4 3 3 4 3" xfId="41737"/>
    <cellStyle name="20% - Accent2 4 3 3 5" xfId="16829"/>
    <cellStyle name="20% - Accent2 4 3 3 5 2" xfId="45690"/>
    <cellStyle name="20% - Accent2 4 3 3 6" xfId="31054"/>
    <cellStyle name="20% - Accent2 4 3 4" xfId="3122"/>
    <cellStyle name="20% - Accent2 4 3 4 2" xfId="9163"/>
    <cellStyle name="20% - Accent2 4 3 4 2 2" xfId="26210"/>
    <cellStyle name="20% - Accent2 4 3 4 2 2 2" xfId="55071"/>
    <cellStyle name="20% - Accent2 4 3 4 2 3" xfId="38024"/>
    <cellStyle name="20% - Accent2 4 3 4 3" xfId="20232"/>
    <cellStyle name="20% - Accent2 4 3 4 3 2" xfId="49093"/>
    <cellStyle name="20% - Accent2 4 3 4 4" xfId="31983"/>
    <cellStyle name="20% - Accent2 4 3 5" xfId="6277"/>
    <cellStyle name="20% - Accent2 4 3 5 2" xfId="23324"/>
    <cellStyle name="20% - Accent2 4 3 5 2 2" xfId="52185"/>
    <cellStyle name="20% - Accent2 4 3 5 3" xfId="35138"/>
    <cellStyle name="20% - Accent2 4 3 6" xfId="12952"/>
    <cellStyle name="20% - Accent2 4 3 6 2" xfId="17655"/>
    <cellStyle name="20% - Accent2 4 3 6 2 2" xfId="46516"/>
    <cellStyle name="20% - Accent2 4 3 6 3" xfId="41813"/>
    <cellStyle name="20% - Accent2 4 3 7" xfId="14872"/>
    <cellStyle name="20% - Accent2 4 3 7 2" xfId="43733"/>
    <cellStyle name="20% - Accent2 4 3 8" xfId="29097"/>
    <cellStyle name="20% - Accent2 4 4" xfId="441"/>
    <cellStyle name="20% - Accent2 4 4 2" xfId="3328"/>
    <cellStyle name="20% - Accent2 4 4 2 2" xfId="9369"/>
    <cellStyle name="20% - Accent2 4 4 2 2 2" xfId="26416"/>
    <cellStyle name="20% - Accent2 4 4 2 2 2 2" xfId="55277"/>
    <cellStyle name="20% - Accent2 4 4 2 2 3" xfId="38230"/>
    <cellStyle name="20% - Accent2 4 4 2 3" xfId="20438"/>
    <cellStyle name="20% - Accent2 4 4 2 3 2" xfId="49299"/>
    <cellStyle name="20% - Accent2 4 4 2 4" xfId="32189"/>
    <cellStyle name="20% - Accent2 4 4 3" xfId="6483"/>
    <cellStyle name="20% - Accent2 4 4 3 2" xfId="23530"/>
    <cellStyle name="20% - Accent2 4 4 3 2 2" xfId="52391"/>
    <cellStyle name="20% - Accent2 4 4 3 3" xfId="35344"/>
    <cellStyle name="20% - Accent2 4 4 4" xfId="13337"/>
    <cellStyle name="20% - Accent2 4 4 4 2" xfId="17758"/>
    <cellStyle name="20% - Accent2 4 4 4 2 2" xfId="46619"/>
    <cellStyle name="20% - Accent2 4 4 4 3" xfId="42198"/>
    <cellStyle name="20% - Accent2 4 4 5" xfId="15078"/>
    <cellStyle name="20% - Accent2 4 4 5 2" xfId="43939"/>
    <cellStyle name="20% - Accent2 4 4 6" xfId="29303"/>
    <cellStyle name="20% - Accent2 4 5" xfId="750"/>
    <cellStyle name="20% - Accent2 4 5 2" xfId="3637"/>
    <cellStyle name="20% - Accent2 4 5 2 2" xfId="9678"/>
    <cellStyle name="20% - Accent2 4 5 2 2 2" xfId="26725"/>
    <cellStyle name="20% - Accent2 4 5 2 2 2 2" xfId="55586"/>
    <cellStyle name="20% - Accent2 4 5 2 2 3" xfId="38539"/>
    <cellStyle name="20% - Accent2 4 5 2 3" xfId="20747"/>
    <cellStyle name="20% - Accent2 4 5 2 3 2" xfId="49608"/>
    <cellStyle name="20% - Accent2 4 5 2 4" xfId="32498"/>
    <cellStyle name="20% - Accent2 4 5 3" xfId="6792"/>
    <cellStyle name="20% - Accent2 4 5 3 2" xfId="23839"/>
    <cellStyle name="20% - Accent2 4 5 3 2 2" xfId="52700"/>
    <cellStyle name="20% - Accent2 4 5 3 3" xfId="35653"/>
    <cellStyle name="20% - Accent2 4 5 4" xfId="13655"/>
    <cellStyle name="20% - Accent2 4 5 4 2" xfId="18067"/>
    <cellStyle name="20% - Accent2 4 5 4 2 2" xfId="46928"/>
    <cellStyle name="20% - Accent2 4 5 4 3" xfId="42516"/>
    <cellStyle name="20% - Accent2 4 5 5" xfId="15387"/>
    <cellStyle name="20% - Accent2 4 5 5 2" xfId="44248"/>
    <cellStyle name="20% - Accent2 4 5 6" xfId="29612"/>
    <cellStyle name="20% - Accent2 4 6" xfId="956"/>
    <cellStyle name="20% - Accent2 4 6 2" xfId="3843"/>
    <cellStyle name="20% - Accent2 4 6 2 2" xfId="9884"/>
    <cellStyle name="20% - Accent2 4 6 2 2 2" xfId="26931"/>
    <cellStyle name="20% - Accent2 4 6 2 2 2 2" xfId="55792"/>
    <cellStyle name="20% - Accent2 4 6 2 2 3" xfId="38745"/>
    <cellStyle name="20% - Accent2 4 6 2 3" xfId="20953"/>
    <cellStyle name="20% - Accent2 4 6 2 3 2" xfId="49814"/>
    <cellStyle name="20% - Accent2 4 6 2 4" xfId="32704"/>
    <cellStyle name="20% - Accent2 4 6 3" xfId="6998"/>
    <cellStyle name="20% - Accent2 4 6 3 2" xfId="24045"/>
    <cellStyle name="20% - Accent2 4 6 3 2 2" xfId="52906"/>
    <cellStyle name="20% - Accent2 4 6 3 3" xfId="35859"/>
    <cellStyle name="20% - Accent2 4 6 4" xfId="13280"/>
    <cellStyle name="20% - Accent2 4 6 4 2" xfId="18273"/>
    <cellStyle name="20% - Accent2 4 6 4 2 2" xfId="47134"/>
    <cellStyle name="20% - Accent2 4 6 4 3" xfId="42141"/>
    <cellStyle name="20% - Accent2 4 6 5" xfId="15593"/>
    <cellStyle name="20% - Accent2 4 6 5 2" xfId="44454"/>
    <cellStyle name="20% - Accent2 4 6 6" xfId="29818"/>
    <cellStyle name="20% - Accent2 4 7" xfId="1162"/>
    <cellStyle name="20% - Accent2 4 7 2" xfId="4049"/>
    <cellStyle name="20% - Accent2 4 7 2 2" xfId="10090"/>
    <cellStyle name="20% - Accent2 4 7 2 2 2" xfId="27137"/>
    <cellStyle name="20% - Accent2 4 7 2 2 2 2" xfId="55998"/>
    <cellStyle name="20% - Accent2 4 7 2 2 3" xfId="38951"/>
    <cellStyle name="20% - Accent2 4 7 2 3" xfId="21159"/>
    <cellStyle name="20% - Accent2 4 7 2 3 2" xfId="50020"/>
    <cellStyle name="20% - Accent2 4 7 2 4" xfId="32910"/>
    <cellStyle name="20% - Accent2 4 7 3" xfId="7204"/>
    <cellStyle name="20% - Accent2 4 7 3 2" xfId="24251"/>
    <cellStyle name="20% - Accent2 4 7 3 2 2" xfId="53112"/>
    <cellStyle name="20% - Accent2 4 7 3 3" xfId="36065"/>
    <cellStyle name="20% - Accent2 4 7 4" xfId="14110"/>
    <cellStyle name="20% - Accent2 4 7 4 2" xfId="18479"/>
    <cellStyle name="20% - Accent2 4 7 4 2 2" xfId="47340"/>
    <cellStyle name="20% - Accent2 4 7 4 3" xfId="42971"/>
    <cellStyle name="20% - Accent2 4 7 5" xfId="15799"/>
    <cellStyle name="20% - Accent2 4 7 5 2" xfId="44660"/>
    <cellStyle name="20% - Accent2 4 7 6" xfId="30024"/>
    <cellStyle name="20% - Accent2 4 8" xfId="1368"/>
    <cellStyle name="20% - Accent2 4 8 2" xfId="4255"/>
    <cellStyle name="20% - Accent2 4 8 2 2" xfId="10296"/>
    <cellStyle name="20% - Accent2 4 8 2 2 2" xfId="27343"/>
    <cellStyle name="20% - Accent2 4 8 2 2 2 2" xfId="56204"/>
    <cellStyle name="20% - Accent2 4 8 2 2 3" xfId="39157"/>
    <cellStyle name="20% - Accent2 4 8 2 3" xfId="21365"/>
    <cellStyle name="20% - Accent2 4 8 2 3 2" xfId="50226"/>
    <cellStyle name="20% - Accent2 4 8 2 4" xfId="33116"/>
    <cellStyle name="20% - Accent2 4 8 3" xfId="7410"/>
    <cellStyle name="20% - Accent2 4 8 3 2" xfId="24457"/>
    <cellStyle name="20% - Accent2 4 8 3 2 2" xfId="53318"/>
    <cellStyle name="20% - Accent2 4 8 3 3" xfId="36271"/>
    <cellStyle name="20% - Accent2 4 8 4" xfId="14222"/>
    <cellStyle name="20% - Accent2 4 8 4 2" xfId="18685"/>
    <cellStyle name="20% - Accent2 4 8 4 2 2" xfId="47546"/>
    <cellStyle name="20% - Accent2 4 8 4 3" xfId="43083"/>
    <cellStyle name="20% - Accent2 4 8 5" xfId="16005"/>
    <cellStyle name="20% - Accent2 4 8 5 2" xfId="44866"/>
    <cellStyle name="20% - Accent2 4 8 6" xfId="30230"/>
    <cellStyle name="20% - Accent2 4 9" xfId="1574"/>
    <cellStyle name="20% - Accent2 4 9 2" xfId="4461"/>
    <cellStyle name="20% - Accent2 4 9 2 2" xfId="10502"/>
    <cellStyle name="20% - Accent2 4 9 2 2 2" xfId="27549"/>
    <cellStyle name="20% - Accent2 4 9 2 2 2 2" xfId="56410"/>
    <cellStyle name="20% - Accent2 4 9 2 2 3" xfId="39363"/>
    <cellStyle name="20% - Accent2 4 9 2 3" xfId="21571"/>
    <cellStyle name="20% - Accent2 4 9 2 3 2" xfId="50432"/>
    <cellStyle name="20% - Accent2 4 9 2 4" xfId="33322"/>
    <cellStyle name="20% - Accent2 4 9 3" xfId="7616"/>
    <cellStyle name="20% - Accent2 4 9 3 2" xfId="24663"/>
    <cellStyle name="20% - Accent2 4 9 3 2 2" xfId="53524"/>
    <cellStyle name="20% - Accent2 4 9 3 3" xfId="36477"/>
    <cellStyle name="20% - Accent2 4 9 4" xfId="13617"/>
    <cellStyle name="20% - Accent2 4 9 4 2" xfId="18891"/>
    <cellStyle name="20% - Accent2 4 9 4 2 2" xfId="47752"/>
    <cellStyle name="20% - Accent2 4 9 4 3" xfId="42478"/>
    <cellStyle name="20% - Accent2 4 9 5" xfId="16211"/>
    <cellStyle name="20% - Accent2 4 9 5 2" xfId="45072"/>
    <cellStyle name="20% - Accent2 4 9 6" xfId="30436"/>
    <cellStyle name="20% - Accent2 5" xfId="285"/>
    <cellStyle name="20% - Accent2 5 10" xfId="2448"/>
    <cellStyle name="20% - Accent2 5 10 2" xfId="5335"/>
    <cellStyle name="20% - Accent2 5 10 2 2" xfId="11376"/>
    <cellStyle name="20% - Accent2 5 10 2 2 2" xfId="28423"/>
    <cellStyle name="20% - Accent2 5 10 2 2 2 2" xfId="57284"/>
    <cellStyle name="20% - Accent2 5 10 2 2 3" xfId="40237"/>
    <cellStyle name="20% - Accent2 5 10 2 3" xfId="22445"/>
    <cellStyle name="20% - Accent2 5 10 2 3 2" xfId="51306"/>
    <cellStyle name="20% - Accent2 5 10 2 4" xfId="34196"/>
    <cellStyle name="20% - Accent2 5 10 3" xfId="8490"/>
    <cellStyle name="20% - Accent2 5 10 3 2" xfId="25537"/>
    <cellStyle name="20% - Accent2 5 10 3 2 2" xfId="54398"/>
    <cellStyle name="20% - Accent2 5 10 3 3" xfId="37351"/>
    <cellStyle name="20% - Accent2 5 10 4" xfId="12896"/>
    <cellStyle name="20% - Accent2 5 10 4 2" xfId="19765"/>
    <cellStyle name="20% - Accent2 5 10 4 2 2" xfId="48626"/>
    <cellStyle name="20% - Accent2 5 10 4 3" xfId="41757"/>
    <cellStyle name="20% - Accent2 5 10 5" xfId="17085"/>
    <cellStyle name="20% - Accent2 5 10 5 2" xfId="45946"/>
    <cellStyle name="20% - Accent2 5 10 6" xfId="31310"/>
    <cellStyle name="20% - Accent2 5 11" xfId="2657"/>
    <cellStyle name="20% - Accent2 5 11 2" xfId="5543"/>
    <cellStyle name="20% - Accent2 5 11 2 2" xfId="11584"/>
    <cellStyle name="20% - Accent2 5 11 2 2 2" xfId="28631"/>
    <cellStyle name="20% - Accent2 5 11 2 2 2 2" xfId="57492"/>
    <cellStyle name="20% - Accent2 5 11 2 2 3" xfId="40445"/>
    <cellStyle name="20% - Accent2 5 11 2 3" xfId="22653"/>
    <cellStyle name="20% - Accent2 5 11 2 3 2" xfId="51514"/>
    <cellStyle name="20% - Accent2 5 11 2 4" xfId="34404"/>
    <cellStyle name="20% - Accent2 5 11 3" xfId="8698"/>
    <cellStyle name="20% - Accent2 5 11 3 2" xfId="25745"/>
    <cellStyle name="20% - Accent2 5 11 3 2 2" xfId="54606"/>
    <cellStyle name="20% - Accent2 5 11 3 3" xfId="37559"/>
    <cellStyle name="20% - Accent2 5 11 4" xfId="13212"/>
    <cellStyle name="20% - Accent2 5 11 4 2" xfId="19973"/>
    <cellStyle name="20% - Accent2 5 11 4 2 2" xfId="48834"/>
    <cellStyle name="20% - Accent2 5 11 4 3" xfId="42073"/>
    <cellStyle name="20% - Accent2 5 11 5" xfId="17293"/>
    <cellStyle name="20% - Accent2 5 11 5 2" xfId="46154"/>
    <cellStyle name="20% - Accent2 5 11 6" xfId="31518"/>
    <cellStyle name="20% - Accent2 5 12" xfId="3172"/>
    <cellStyle name="20% - Accent2 5 12 2" xfId="9213"/>
    <cellStyle name="20% - Accent2 5 12 2 2" xfId="26260"/>
    <cellStyle name="20% - Accent2 5 12 2 2 2" xfId="55121"/>
    <cellStyle name="20% - Accent2 5 12 2 3" xfId="38074"/>
    <cellStyle name="20% - Accent2 5 12 3" xfId="13855"/>
    <cellStyle name="20% - Accent2 5 12 3 2" xfId="20282"/>
    <cellStyle name="20% - Accent2 5 12 3 2 2" xfId="49143"/>
    <cellStyle name="20% - Accent2 5 12 3 3" xfId="42716"/>
    <cellStyle name="20% - Accent2 5 12 4" xfId="14922"/>
    <cellStyle name="20% - Accent2 5 12 4 2" xfId="43783"/>
    <cellStyle name="20% - Accent2 5 12 5" xfId="32033"/>
    <cellStyle name="20% - Accent2 5 13" xfId="2863"/>
    <cellStyle name="20% - Accent2 5 13 2" xfId="8904"/>
    <cellStyle name="20% - Accent2 5 13 2 2" xfId="25951"/>
    <cellStyle name="20% - Accent2 5 13 2 2 2" xfId="54812"/>
    <cellStyle name="20% - Accent2 5 13 2 3" xfId="37765"/>
    <cellStyle name="20% - Accent2 5 13 3" xfId="17499"/>
    <cellStyle name="20% - Accent2 5 13 3 2" xfId="46360"/>
    <cellStyle name="20% - Accent2 5 13 4" xfId="31724"/>
    <cellStyle name="20% - Accent2 5 14" xfId="5749"/>
    <cellStyle name="20% - Accent2 5 14 2" xfId="11790"/>
    <cellStyle name="20% - Accent2 5 14 2 2" xfId="28837"/>
    <cellStyle name="20% - Accent2 5 14 2 2 2" xfId="57698"/>
    <cellStyle name="20% - Accent2 5 14 2 3" xfId="40651"/>
    <cellStyle name="20% - Accent2 5 14 3" xfId="22859"/>
    <cellStyle name="20% - Accent2 5 14 3 2" xfId="51720"/>
    <cellStyle name="20% - Accent2 5 14 4" xfId="34610"/>
    <cellStyle name="20% - Accent2 5 15" xfId="5966"/>
    <cellStyle name="20% - Accent2 5 15 2" xfId="23065"/>
    <cellStyle name="20% - Accent2 5 15 2 2" xfId="51926"/>
    <cellStyle name="20% - Accent2 5 15 3" xfId="34827"/>
    <cellStyle name="20% - Accent2 5 16" xfId="6327"/>
    <cellStyle name="20% - Accent2 5 16 2" xfId="23374"/>
    <cellStyle name="20% - Accent2 5 16 2 2" xfId="52235"/>
    <cellStyle name="20% - Accent2 5 16 3" xfId="35188"/>
    <cellStyle name="20% - Accent2 5 17" xfId="14613"/>
    <cellStyle name="20% - Accent2 5 17 2" xfId="43474"/>
    <cellStyle name="20% - Accent2 5 18" xfId="29147"/>
    <cellStyle name="20% - Accent2 5 2" xfId="491"/>
    <cellStyle name="20% - Accent2 5 2 2" xfId="2242"/>
    <cellStyle name="20% - Accent2 5 2 2 2" xfId="5129"/>
    <cellStyle name="20% - Accent2 5 2 2 2 2" xfId="11170"/>
    <cellStyle name="20% - Accent2 5 2 2 2 2 2" xfId="28217"/>
    <cellStyle name="20% - Accent2 5 2 2 2 2 2 2" xfId="57078"/>
    <cellStyle name="20% - Accent2 5 2 2 2 2 3" xfId="40031"/>
    <cellStyle name="20% - Accent2 5 2 2 2 3" xfId="22239"/>
    <cellStyle name="20% - Accent2 5 2 2 2 3 2" xfId="51100"/>
    <cellStyle name="20% - Accent2 5 2 2 2 4" xfId="33990"/>
    <cellStyle name="20% - Accent2 5 2 2 3" xfId="8284"/>
    <cellStyle name="20% - Accent2 5 2 2 3 2" xfId="25331"/>
    <cellStyle name="20% - Accent2 5 2 2 3 2 2" xfId="54192"/>
    <cellStyle name="20% - Accent2 5 2 2 3 3" xfId="37145"/>
    <cellStyle name="20% - Accent2 5 2 2 4" xfId="13081"/>
    <cellStyle name="20% - Accent2 5 2 2 4 2" xfId="19559"/>
    <cellStyle name="20% - Accent2 5 2 2 4 2 2" xfId="48420"/>
    <cellStyle name="20% - Accent2 5 2 2 4 3" xfId="41942"/>
    <cellStyle name="20% - Accent2 5 2 2 5" xfId="16879"/>
    <cellStyle name="20% - Accent2 5 2 2 5 2" xfId="45740"/>
    <cellStyle name="20% - Accent2 5 2 2 6" xfId="31104"/>
    <cellStyle name="20% - Accent2 5 2 3" xfId="3378"/>
    <cellStyle name="20% - Accent2 5 2 3 2" xfId="9419"/>
    <cellStyle name="20% - Accent2 5 2 3 2 2" xfId="26466"/>
    <cellStyle name="20% - Accent2 5 2 3 2 2 2" xfId="55327"/>
    <cellStyle name="20% - Accent2 5 2 3 2 3" xfId="38280"/>
    <cellStyle name="20% - Accent2 5 2 3 3" xfId="20488"/>
    <cellStyle name="20% - Accent2 5 2 3 3 2" xfId="49349"/>
    <cellStyle name="20% - Accent2 5 2 3 4" xfId="32239"/>
    <cellStyle name="20% - Accent2 5 2 4" xfId="6533"/>
    <cellStyle name="20% - Accent2 5 2 4 2" xfId="23580"/>
    <cellStyle name="20% - Accent2 5 2 4 2 2" xfId="52441"/>
    <cellStyle name="20% - Accent2 5 2 4 3" xfId="35394"/>
    <cellStyle name="20% - Accent2 5 2 5" xfId="13127"/>
    <cellStyle name="20% - Accent2 5 2 5 2" xfId="17808"/>
    <cellStyle name="20% - Accent2 5 2 5 2 2" xfId="46669"/>
    <cellStyle name="20% - Accent2 5 2 5 3" xfId="41988"/>
    <cellStyle name="20% - Accent2 5 2 6" xfId="15128"/>
    <cellStyle name="20% - Accent2 5 2 6 2" xfId="43989"/>
    <cellStyle name="20% - Accent2 5 2 7" xfId="29353"/>
    <cellStyle name="20% - Accent2 5 3" xfId="800"/>
    <cellStyle name="20% - Accent2 5 3 2" xfId="3687"/>
    <cellStyle name="20% - Accent2 5 3 2 2" xfId="9728"/>
    <cellStyle name="20% - Accent2 5 3 2 2 2" xfId="26775"/>
    <cellStyle name="20% - Accent2 5 3 2 2 2 2" xfId="55636"/>
    <cellStyle name="20% - Accent2 5 3 2 2 3" xfId="38589"/>
    <cellStyle name="20% - Accent2 5 3 2 3" xfId="20797"/>
    <cellStyle name="20% - Accent2 5 3 2 3 2" xfId="49658"/>
    <cellStyle name="20% - Accent2 5 3 2 4" xfId="32548"/>
    <cellStyle name="20% - Accent2 5 3 3" xfId="6842"/>
    <cellStyle name="20% - Accent2 5 3 3 2" xfId="23889"/>
    <cellStyle name="20% - Accent2 5 3 3 2 2" xfId="52750"/>
    <cellStyle name="20% - Accent2 5 3 3 3" xfId="35703"/>
    <cellStyle name="20% - Accent2 5 3 4" xfId="12702"/>
    <cellStyle name="20% - Accent2 5 3 4 2" xfId="18117"/>
    <cellStyle name="20% - Accent2 5 3 4 2 2" xfId="46978"/>
    <cellStyle name="20% - Accent2 5 3 4 3" xfId="41563"/>
    <cellStyle name="20% - Accent2 5 3 5" xfId="15437"/>
    <cellStyle name="20% - Accent2 5 3 5 2" xfId="44298"/>
    <cellStyle name="20% - Accent2 5 3 6" xfId="29662"/>
    <cellStyle name="20% - Accent2 5 4" xfId="1006"/>
    <cellStyle name="20% - Accent2 5 4 2" xfId="3893"/>
    <cellStyle name="20% - Accent2 5 4 2 2" xfId="9934"/>
    <cellStyle name="20% - Accent2 5 4 2 2 2" xfId="26981"/>
    <cellStyle name="20% - Accent2 5 4 2 2 2 2" xfId="55842"/>
    <cellStyle name="20% - Accent2 5 4 2 2 3" xfId="38795"/>
    <cellStyle name="20% - Accent2 5 4 2 3" xfId="21003"/>
    <cellStyle name="20% - Accent2 5 4 2 3 2" xfId="49864"/>
    <cellStyle name="20% - Accent2 5 4 2 4" xfId="32754"/>
    <cellStyle name="20% - Accent2 5 4 3" xfId="7048"/>
    <cellStyle name="20% - Accent2 5 4 3 2" xfId="24095"/>
    <cellStyle name="20% - Accent2 5 4 3 2 2" xfId="52956"/>
    <cellStyle name="20% - Accent2 5 4 3 3" xfId="35909"/>
    <cellStyle name="20% - Accent2 5 4 4" xfId="12224"/>
    <cellStyle name="20% - Accent2 5 4 4 2" xfId="18323"/>
    <cellStyle name="20% - Accent2 5 4 4 2 2" xfId="47184"/>
    <cellStyle name="20% - Accent2 5 4 4 3" xfId="41085"/>
    <cellStyle name="20% - Accent2 5 4 5" xfId="15643"/>
    <cellStyle name="20% - Accent2 5 4 5 2" xfId="44504"/>
    <cellStyle name="20% - Accent2 5 4 6" xfId="29868"/>
    <cellStyle name="20% - Accent2 5 5" xfId="1212"/>
    <cellStyle name="20% - Accent2 5 5 2" xfId="4099"/>
    <cellStyle name="20% - Accent2 5 5 2 2" xfId="10140"/>
    <cellStyle name="20% - Accent2 5 5 2 2 2" xfId="27187"/>
    <cellStyle name="20% - Accent2 5 5 2 2 2 2" xfId="56048"/>
    <cellStyle name="20% - Accent2 5 5 2 2 3" xfId="39001"/>
    <cellStyle name="20% - Accent2 5 5 2 3" xfId="21209"/>
    <cellStyle name="20% - Accent2 5 5 2 3 2" xfId="50070"/>
    <cellStyle name="20% - Accent2 5 5 2 4" xfId="32960"/>
    <cellStyle name="20% - Accent2 5 5 3" xfId="7254"/>
    <cellStyle name="20% - Accent2 5 5 3 2" xfId="24301"/>
    <cellStyle name="20% - Accent2 5 5 3 2 2" xfId="53162"/>
    <cellStyle name="20% - Accent2 5 5 3 3" xfId="36115"/>
    <cellStyle name="20% - Accent2 5 5 4" xfId="13429"/>
    <cellStyle name="20% - Accent2 5 5 4 2" xfId="18529"/>
    <cellStyle name="20% - Accent2 5 5 4 2 2" xfId="47390"/>
    <cellStyle name="20% - Accent2 5 5 4 3" xfId="42290"/>
    <cellStyle name="20% - Accent2 5 5 5" xfId="15849"/>
    <cellStyle name="20% - Accent2 5 5 5 2" xfId="44710"/>
    <cellStyle name="20% - Accent2 5 5 6" xfId="30074"/>
    <cellStyle name="20% - Accent2 5 6" xfId="1418"/>
    <cellStyle name="20% - Accent2 5 6 2" xfId="4305"/>
    <cellStyle name="20% - Accent2 5 6 2 2" xfId="10346"/>
    <cellStyle name="20% - Accent2 5 6 2 2 2" xfId="27393"/>
    <cellStyle name="20% - Accent2 5 6 2 2 2 2" xfId="56254"/>
    <cellStyle name="20% - Accent2 5 6 2 2 3" xfId="39207"/>
    <cellStyle name="20% - Accent2 5 6 2 3" xfId="21415"/>
    <cellStyle name="20% - Accent2 5 6 2 3 2" xfId="50276"/>
    <cellStyle name="20% - Accent2 5 6 2 4" xfId="33166"/>
    <cellStyle name="20% - Accent2 5 6 3" xfId="7460"/>
    <cellStyle name="20% - Accent2 5 6 3 2" xfId="24507"/>
    <cellStyle name="20% - Accent2 5 6 3 2 2" xfId="53368"/>
    <cellStyle name="20% - Accent2 5 6 3 3" xfId="36321"/>
    <cellStyle name="20% - Accent2 5 6 4" xfId="13131"/>
    <cellStyle name="20% - Accent2 5 6 4 2" xfId="18735"/>
    <cellStyle name="20% - Accent2 5 6 4 2 2" xfId="47596"/>
    <cellStyle name="20% - Accent2 5 6 4 3" xfId="41992"/>
    <cellStyle name="20% - Accent2 5 6 5" xfId="16055"/>
    <cellStyle name="20% - Accent2 5 6 5 2" xfId="44916"/>
    <cellStyle name="20% - Accent2 5 6 6" xfId="30280"/>
    <cellStyle name="20% - Accent2 5 7" xfId="1624"/>
    <cellStyle name="20% - Accent2 5 7 2" xfId="4511"/>
    <cellStyle name="20% - Accent2 5 7 2 2" xfId="10552"/>
    <cellStyle name="20% - Accent2 5 7 2 2 2" xfId="27599"/>
    <cellStyle name="20% - Accent2 5 7 2 2 2 2" xfId="56460"/>
    <cellStyle name="20% - Accent2 5 7 2 2 3" xfId="39413"/>
    <cellStyle name="20% - Accent2 5 7 2 3" xfId="21621"/>
    <cellStyle name="20% - Accent2 5 7 2 3 2" xfId="50482"/>
    <cellStyle name="20% - Accent2 5 7 2 4" xfId="33372"/>
    <cellStyle name="20% - Accent2 5 7 3" xfId="7666"/>
    <cellStyle name="20% - Accent2 5 7 3 2" xfId="24713"/>
    <cellStyle name="20% - Accent2 5 7 3 2 2" xfId="53574"/>
    <cellStyle name="20% - Accent2 5 7 3 3" xfId="36527"/>
    <cellStyle name="20% - Accent2 5 7 4" xfId="13892"/>
    <cellStyle name="20% - Accent2 5 7 4 2" xfId="18941"/>
    <cellStyle name="20% - Accent2 5 7 4 2 2" xfId="47802"/>
    <cellStyle name="20% - Accent2 5 7 4 3" xfId="42753"/>
    <cellStyle name="20% - Accent2 5 7 5" xfId="16261"/>
    <cellStyle name="20% - Accent2 5 7 5 2" xfId="45122"/>
    <cellStyle name="20% - Accent2 5 7 6" xfId="30486"/>
    <cellStyle name="20% - Accent2 5 8" xfId="1830"/>
    <cellStyle name="20% - Accent2 5 8 2" xfId="4717"/>
    <cellStyle name="20% - Accent2 5 8 2 2" xfId="10758"/>
    <cellStyle name="20% - Accent2 5 8 2 2 2" xfId="27805"/>
    <cellStyle name="20% - Accent2 5 8 2 2 2 2" xfId="56666"/>
    <cellStyle name="20% - Accent2 5 8 2 2 3" xfId="39619"/>
    <cellStyle name="20% - Accent2 5 8 2 3" xfId="21827"/>
    <cellStyle name="20% - Accent2 5 8 2 3 2" xfId="50688"/>
    <cellStyle name="20% - Accent2 5 8 2 4" xfId="33578"/>
    <cellStyle name="20% - Accent2 5 8 3" xfId="7872"/>
    <cellStyle name="20% - Accent2 5 8 3 2" xfId="24919"/>
    <cellStyle name="20% - Accent2 5 8 3 2 2" xfId="53780"/>
    <cellStyle name="20% - Accent2 5 8 3 3" xfId="36733"/>
    <cellStyle name="20% - Accent2 5 8 4" xfId="12770"/>
    <cellStyle name="20% - Accent2 5 8 4 2" xfId="19147"/>
    <cellStyle name="20% - Accent2 5 8 4 2 2" xfId="48008"/>
    <cellStyle name="20% - Accent2 5 8 4 3" xfId="41631"/>
    <cellStyle name="20% - Accent2 5 8 5" xfId="16467"/>
    <cellStyle name="20% - Accent2 5 8 5 2" xfId="45328"/>
    <cellStyle name="20% - Accent2 5 8 6" xfId="30692"/>
    <cellStyle name="20% - Accent2 5 9" xfId="2036"/>
    <cellStyle name="20% - Accent2 5 9 2" xfId="4923"/>
    <cellStyle name="20% - Accent2 5 9 2 2" xfId="10964"/>
    <cellStyle name="20% - Accent2 5 9 2 2 2" xfId="28011"/>
    <cellStyle name="20% - Accent2 5 9 2 2 2 2" xfId="56872"/>
    <cellStyle name="20% - Accent2 5 9 2 2 3" xfId="39825"/>
    <cellStyle name="20% - Accent2 5 9 2 3" xfId="22033"/>
    <cellStyle name="20% - Accent2 5 9 2 3 2" xfId="50894"/>
    <cellStyle name="20% - Accent2 5 9 2 4" xfId="33784"/>
    <cellStyle name="20% - Accent2 5 9 3" xfId="8078"/>
    <cellStyle name="20% - Accent2 5 9 3 2" xfId="25125"/>
    <cellStyle name="20% - Accent2 5 9 3 2 2" xfId="53986"/>
    <cellStyle name="20% - Accent2 5 9 3 3" xfId="36939"/>
    <cellStyle name="20% - Accent2 5 9 4" xfId="12407"/>
    <cellStyle name="20% - Accent2 5 9 4 2" xfId="19353"/>
    <cellStyle name="20% - Accent2 5 9 4 2 2" xfId="48214"/>
    <cellStyle name="20% - Accent2 5 9 4 3" xfId="41268"/>
    <cellStyle name="20% - Accent2 5 9 5" xfId="16673"/>
    <cellStyle name="20% - Accent2 5 9 5 2" xfId="45534"/>
    <cellStyle name="20% - Accent2 5 9 6" xfId="30898"/>
    <cellStyle name="20% - Accent2 6" xfId="182"/>
    <cellStyle name="20% - Accent2 6 2" xfId="594"/>
    <cellStyle name="20% - Accent2 6 2 2" xfId="3481"/>
    <cellStyle name="20% - Accent2 6 2 2 2" xfId="9522"/>
    <cellStyle name="20% - Accent2 6 2 2 2 2" xfId="26569"/>
    <cellStyle name="20% - Accent2 6 2 2 2 2 2" xfId="55430"/>
    <cellStyle name="20% - Accent2 6 2 2 2 3" xfId="38383"/>
    <cellStyle name="20% - Accent2 6 2 2 3" xfId="20591"/>
    <cellStyle name="20% - Accent2 6 2 2 3 2" xfId="49452"/>
    <cellStyle name="20% - Accent2 6 2 2 4" xfId="32342"/>
    <cellStyle name="20% - Accent2 6 2 3" xfId="6636"/>
    <cellStyle name="20% - Accent2 6 2 3 2" xfId="23683"/>
    <cellStyle name="20% - Accent2 6 2 3 2 2" xfId="52544"/>
    <cellStyle name="20% - Accent2 6 2 3 3" xfId="35497"/>
    <cellStyle name="20% - Accent2 6 2 4" xfId="13938"/>
    <cellStyle name="20% - Accent2 6 2 4 2" xfId="17911"/>
    <cellStyle name="20% - Accent2 6 2 4 2 2" xfId="46772"/>
    <cellStyle name="20% - Accent2 6 2 4 3" xfId="42799"/>
    <cellStyle name="20% - Accent2 6 2 5" xfId="15231"/>
    <cellStyle name="20% - Accent2 6 2 5 2" xfId="44092"/>
    <cellStyle name="20% - Accent2 6 2 6" xfId="29456"/>
    <cellStyle name="20% - Accent2 6 3" xfId="2139"/>
    <cellStyle name="20% - Accent2 6 3 2" xfId="5026"/>
    <cellStyle name="20% - Accent2 6 3 2 2" xfId="11067"/>
    <cellStyle name="20% - Accent2 6 3 2 2 2" xfId="28114"/>
    <cellStyle name="20% - Accent2 6 3 2 2 2 2" xfId="56975"/>
    <cellStyle name="20% - Accent2 6 3 2 2 3" xfId="39928"/>
    <cellStyle name="20% - Accent2 6 3 2 3" xfId="22136"/>
    <cellStyle name="20% - Accent2 6 3 2 3 2" xfId="50997"/>
    <cellStyle name="20% - Accent2 6 3 2 4" xfId="33887"/>
    <cellStyle name="20% - Accent2 6 3 3" xfId="8181"/>
    <cellStyle name="20% - Accent2 6 3 3 2" xfId="25228"/>
    <cellStyle name="20% - Accent2 6 3 3 2 2" xfId="54089"/>
    <cellStyle name="20% - Accent2 6 3 3 3" xfId="37042"/>
    <cellStyle name="20% - Accent2 6 3 4" xfId="5857"/>
    <cellStyle name="20% - Accent2 6 3 4 2" xfId="19456"/>
    <cellStyle name="20% - Accent2 6 3 4 2 2" xfId="48317"/>
    <cellStyle name="20% - Accent2 6 3 4 3" xfId="34718"/>
    <cellStyle name="20% - Accent2 6 3 5" xfId="16776"/>
    <cellStyle name="20% - Accent2 6 3 5 2" xfId="45637"/>
    <cellStyle name="20% - Accent2 6 3 6" xfId="31001"/>
    <cellStyle name="20% - Accent2 6 4" xfId="3069"/>
    <cellStyle name="20% - Accent2 6 4 2" xfId="9110"/>
    <cellStyle name="20% - Accent2 6 4 2 2" xfId="26157"/>
    <cellStyle name="20% - Accent2 6 4 2 2 2" xfId="55018"/>
    <cellStyle name="20% - Accent2 6 4 2 3" xfId="37971"/>
    <cellStyle name="20% - Accent2 6 4 3" xfId="20179"/>
    <cellStyle name="20% - Accent2 6 4 3 2" xfId="49040"/>
    <cellStyle name="20% - Accent2 6 4 4" xfId="31930"/>
    <cellStyle name="20% - Accent2 6 5" xfId="6224"/>
    <cellStyle name="20% - Accent2 6 5 2" xfId="23271"/>
    <cellStyle name="20% - Accent2 6 5 2 2" xfId="52132"/>
    <cellStyle name="20% - Accent2 6 5 3" xfId="35085"/>
    <cellStyle name="20% - Accent2 6 6" xfId="12080"/>
    <cellStyle name="20% - Accent2 6 6 2" xfId="17602"/>
    <cellStyle name="20% - Accent2 6 6 2 2" xfId="46463"/>
    <cellStyle name="20% - Accent2 6 6 3" xfId="40941"/>
    <cellStyle name="20% - Accent2 6 7" xfId="14819"/>
    <cellStyle name="20% - Accent2 6 7 2" xfId="43680"/>
    <cellStyle name="20% - Accent2 6 8" xfId="29044"/>
    <cellStyle name="20% - Accent2 7" xfId="388"/>
    <cellStyle name="20% - Accent2 7 2" xfId="3275"/>
    <cellStyle name="20% - Accent2 7 2 2" xfId="9316"/>
    <cellStyle name="20% - Accent2 7 2 2 2" xfId="26363"/>
    <cellStyle name="20% - Accent2 7 2 2 2 2" xfId="55224"/>
    <cellStyle name="20% - Accent2 7 2 2 3" xfId="38177"/>
    <cellStyle name="20% - Accent2 7 2 3" xfId="20385"/>
    <cellStyle name="20% - Accent2 7 2 3 2" xfId="49246"/>
    <cellStyle name="20% - Accent2 7 2 4" xfId="32136"/>
    <cellStyle name="20% - Accent2 7 3" xfId="6430"/>
    <cellStyle name="20% - Accent2 7 3 2" xfId="23477"/>
    <cellStyle name="20% - Accent2 7 3 2 2" xfId="52338"/>
    <cellStyle name="20% - Accent2 7 3 3" xfId="35291"/>
    <cellStyle name="20% - Accent2 7 4" xfId="13311"/>
    <cellStyle name="20% - Accent2 7 4 2" xfId="17705"/>
    <cellStyle name="20% - Accent2 7 4 2 2" xfId="46566"/>
    <cellStyle name="20% - Accent2 7 4 3" xfId="42172"/>
    <cellStyle name="20% - Accent2 7 5" xfId="15025"/>
    <cellStyle name="20% - Accent2 7 5 2" xfId="43886"/>
    <cellStyle name="20% - Accent2 7 6" xfId="29250"/>
    <cellStyle name="20% - Accent2 8" xfId="697"/>
    <cellStyle name="20% - Accent2 8 2" xfId="3584"/>
    <cellStyle name="20% - Accent2 8 2 2" xfId="9625"/>
    <cellStyle name="20% - Accent2 8 2 2 2" xfId="26672"/>
    <cellStyle name="20% - Accent2 8 2 2 2 2" xfId="55533"/>
    <cellStyle name="20% - Accent2 8 2 2 3" xfId="38486"/>
    <cellStyle name="20% - Accent2 8 2 3" xfId="20694"/>
    <cellStyle name="20% - Accent2 8 2 3 2" xfId="49555"/>
    <cellStyle name="20% - Accent2 8 2 4" xfId="32445"/>
    <cellStyle name="20% - Accent2 8 3" xfId="6739"/>
    <cellStyle name="20% - Accent2 8 3 2" xfId="23786"/>
    <cellStyle name="20% - Accent2 8 3 2 2" xfId="52647"/>
    <cellStyle name="20% - Accent2 8 3 3" xfId="35600"/>
    <cellStyle name="20% - Accent2 8 4" xfId="14159"/>
    <cellStyle name="20% - Accent2 8 4 2" xfId="18014"/>
    <cellStyle name="20% - Accent2 8 4 2 2" xfId="46875"/>
    <cellStyle name="20% - Accent2 8 4 3" xfId="43020"/>
    <cellStyle name="20% - Accent2 8 5" xfId="15334"/>
    <cellStyle name="20% - Accent2 8 5 2" xfId="44195"/>
    <cellStyle name="20% - Accent2 8 6" xfId="29559"/>
    <cellStyle name="20% - Accent2 9" xfId="903"/>
    <cellStyle name="20% - Accent2 9 2" xfId="3790"/>
    <cellStyle name="20% - Accent2 9 2 2" xfId="9831"/>
    <cellStyle name="20% - Accent2 9 2 2 2" xfId="26878"/>
    <cellStyle name="20% - Accent2 9 2 2 2 2" xfId="55739"/>
    <cellStyle name="20% - Accent2 9 2 2 3" xfId="38692"/>
    <cellStyle name="20% - Accent2 9 2 3" xfId="20900"/>
    <cellStyle name="20% - Accent2 9 2 3 2" xfId="49761"/>
    <cellStyle name="20% - Accent2 9 2 4" xfId="32651"/>
    <cellStyle name="20% - Accent2 9 3" xfId="6945"/>
    <cellStyle name="20% - Accent2 9 3 2" xfId="23992"/>
    <cellStyle name="20% - Accent2 9 3 2 2" xfId="52853"/>
    <cellStyle name="20% - Accent2 9 3 3" xfId="35806"/>
    <cellStyle name="20% - Accent2 9 4" xfId="12369"/>
    <cellStyle name="20% - Accent2 9 4 2" xfId="18220"/>
    <cellStyle name="20% - Accent2 9 4 2 2" xfId="47081"/>
    <cellStyle name="20% - Accent2 9 4 3" xfId="41230"/>
    <cellStyle name="20% - Accent2 9 5" xfId="15540"/>
    <cellStyle name="20% - Accent2 9 5 2" xfId="44401"/>
    <cellStyle name="20% - Accent2 9 6" xfId="29765"/>
    <cellStyle name="20% - Accent3" xfId="74" builtinId="38" customBuiltin="1"/>
    <cellStyle name="20% - Accent3 10" xfId="1111"/>
    <cellStyle name="20% - Accent3 10 2" xfId="3998"/>
    <cellStyle name="20% - Accent3 10 2 2" xfId="10039"/>
    <cellStyle name="20% - Accent3 10 2 2 2" xfId="27086"/>
    <cellStyle name="20% - Accent3 10 2 2 2 2" xfId="55947"/>
    <cellStyle name="20% - Accent3 10 2 2 3" xfId="38900"/>
    <cellStyle name="20% - Accent3 10 2 3" xfId="21108"/>
    <cellStyle name="20% - Accent3 10 2 3 2" xfId="49969"/>
    <cellStyle name="20% - Accent3 10 2 4" xfId="32859"/>
    <cellStyle name="20% - Accent3 10 3" xfId="7153"/>
    <cellStyle name="20% - Accent3 10 3 2" xfId="24200"/>
    <cellStyle name="20% - Accent3 10 3 2 2" xfId="53061"/>
    <cellStyle name="20% - Accent3 10 3 3" xfId="36014"/>
    <cellStyle name="20% - Accent3 10 4" xfId="13223"/>
    <cellStyle name="20% - Accent3 10 4 2" xfId="18428"/>
    <cellStyle name="20% - Accent3 10 4 2 2" xfId="47289"/>
    <cellStyle name="20% - Accent3 10 4 3" xfId="42084"/>
    <cellStyle name="20% - Accent3 10 5" xfId="15748"/>
    <cellStyle name="20% - Accent3 10 5 2" xfId="44609"/>
    <cellStyle name="20% - Accent3 10 6" xfId="29973"/>
    <cellStyle name="20% - Accent3 11" xfId="1317"/>
    <cellStyle name="20% - Accent3 11 2" xfId="4204"/>
    <cellStyle name="20% - Accent3 11 2 2" xfId="10245"/>
    <cellStyle name="20% - Accent3 11 2 2 2" xfId="27292"/>
    <cellStyle name="20% - Accent3 11 2 2 2 2" xfId="56153"/>
    <cellStyle name="20% - Accent3 11 2 2 3" xfId="39106"/>
    <cellStyle name="20% - Accent3 11 2 3" xfId="21314"/>
    <cellStyle name="20% - Accent3 11 2 3 2" xfId="50175"/>
    <cellStyle name="20% - Accent3 11 2 4" xfId="33065"/>
    <cellStyle name="20% - Accent3 11 3" xfId="7359"/>
    <cellStyle name="20% - Accent3 11 3 2" xfId="24406"/>
    <cellStyle name="20% - Accent3 11 3 2 2" xfId="53267"/>
    <cellStyle name="20% - Accent3 11 3 3" xfId="36220"/>
    <cellStyle name="20% - Accent3 11 4" xfId="12285"/>
    <cellStyle name="20% - Accent3 11 4 2" xfId="18634"/>
    <cellStyle name="20% - Accent3 11 4 2 2" xfId="47495"/>
    <cellStyle name="20% - Accent3 11 4 3" xfId="41146"/>
    <cellStyle name="20% - Accent3 11 5" xfId="15954"/>
    <cellStyle name="20% - Accent3 11 5 2" xfId="44815"/>
    <cellStyle name="20% - Accent3 11 6" xfId="30179"/>
    <cellStyle name="20% - Accent3 12" xfId="1523"/>
    <cellStyle name="20% - Accent3 12 2" xfId="4410"/>
    <cellStyle name="20% - Accent3 12 2 2" xfId="10451"/>
    <cellStyle name="20% - Accent3 12 2 2 2" xfId="27498"/>
    <cellStyle name="20% - Accent3 12 2 2 2 2" xfId="56359"/>
    <cellStyle name="20% - Accent3 12 2 2 3" xfId="39312"/>
    <cellStyle name="20% - Accent3 12 2 3" xfId="21520"/>
    <cellStyle name="20% - Accent3 12 2 3 2" xfId="50381"/>
    <cellStyle name="20% - Accent3 12 2 4" xfId="33271"/>
    <cellStyle name="20% - Accent3 12 3" xfId="7565"/>
    <cellStyle name="20% - Accent3 12 3 2" xfId="24612"/>
    <cellStyle name="20% - Accent3 12 3 2 2" xfId="53473"/>
    <cellStyle name="20% - Accent3 12 3 3" xfId="36426"/>
    <cellStyle name="20% - Accent3 12 4" xfId="12069"/>
    <cellStyle name="20% - Accent3 12 4 2" xfId="18840"/>
    <cellStyle name="20% - Accent3 12 4 2 2" xfId="47701"/>
    <cellStyle name="20% - Accent3 12 4 3" xfId="40930"/>
    <cellStyle name="20% - Accent3 12 5" xfId="16160"/>
    <cellStyle name="20% - Accent3 12 5 2" xfId="45021"/>
    <cellStyle name="20% - Accent3 12 6" xfId="30385"/>
    <cellStyle name="20% - Accent3 13" xfId="1729"/>
    <cellStyle name="20% - Accent3 13 2" xfId="4616"/>
    <cellStyle name="20% - Accent3 13 2 2" xfId="10657"/>
    <cellStyle name="20% - Accent3 13 2 2 2" xfId="27704"/>
    <cellStyle name="20% - Accent3 13 2 2 2 2" xfId="56565"/>
    <cellStyle name="20% - Accent3 13 2 2 3" xfId="39518"/>
    <cellStyle name="20% - Accent3 13 2 3" xfId="21726"/>
    <cellStyle name="20% - Accent3 13 2 3 2" xfId="50587"/>
    <cellStyle name="20% - Accent3 13 2 4" xfId="33477"/>
    <cellStyle name="20% - Accent3 13 3" xfId="7771"/>
    <cellStyle name="20% - Accent3 13 3 2" xfId="24818"/>
    <cellStyle name="20% - Accent3 13 3 2 2" xfId="53679"/>
    <cellStyle name="20% - Accent3 13 3 3" xfId="36632"/>
    <cellStyle name="20% - Accent3 13 4" xfId="13984"/>
    <cellStyle name="20% - Accent3 13 4 2" xfId="19046"/>
    <cellStyle name="20% - Accent3 13 4 2 2" xfId="47907"/>
    <cellStyle name="20% - Accent3 13 4 3" xfId="42845"/>
    <cellStyle name="20% - Accent3 13 5" xfId="16366"/>
    <cellStyle name="20% - Accent3 13 5 2" xfId="45227"/>
    <cellStyle name="20% - Accent3 13 6" xfId="30591"/>
    <cellStyle name="20% - Accent3 14" xfId="1935"/>
    <cellStyle name="20% - Accent3 14 2" xfId="4822"/>
    <cellStyle name="20% - Accent3 14 2 2" xfId="10863"/>
    <cellStyle name="20% - Accent3 14 2 2 2" xfId="27910"/>
    <cellStyle name="20% - Accent3 14 2 2 2 2" xfId="56771"/>
    <cellStyle name="20% - Accent3 14 2 2 3" xfId="39724"/>
    <cellStyle name="20% - Accent3 14 2 3" xfId="21932"/>
    <cellStyle name="20% - Accent3 14 2 3 2" xfId="50793"/>
    <cellStyle name="20% - Accent3 14 2 4" xfId="33683"/>
    <cellStyle name="20% - Accent3 14 3" xfId="7977"/>
    <cellStyle name="20% - Accent3 14 3 2" xfId="25024"/>
    <cellStyle name="20% - Accent3 14 3 2 2" xfId="53885"/>
    <cellStyle name="20% - Accent3 14 3 3" xfId="36838"/>
    <cellStyle name="20% - Accent3 14 4" xfId="13859"/>
    <cellStyle name="20% - Accent3 14 4 2" xfId="19252"/>
    <cellStyle name="20% - Accent3 14 4 2 2" xfId="48113"/>
    <cellStyle name="20% - Accent3 14 4 3" xfId="42720"/>
    <cellStyle name="20% - Accent3 14 5" xfId="16572"/>
    <cellStyle name="20% - Accent3 14 5 2" xfId="45433"/>
    <cellStyle name="20% - Accent3 14 6" xfId="30797"/>
    <cellStyle name="20% - Accent3 15" xfId="2347"/>
    <cellStyle name="20% - Accent3 15 2" xfId="5234"/>
    <cellStyle name="20% - Accent3 15 2 2" xfId="11275"/>
    <cellStyle name="20% - Accent3 15 2 2 2" xfId="28322"/>
    <cellStyle name="20% - Accent3 15 2 2 2 2" xfId="57183"/>
    <cellStyle name="20% - Accent3 15 2 2 3" xfId="40136"/>
    <cellStyle name="20% - Accent3 15 2 3" xfId="22344"/>
    <cellStyle name="20% - Accent3 15 2 3 2" xfId="51205"/>
    <cellStyle name="20% - Accent3 15 2 4" xfId="34095"/>
    <cellStyle name="20% - Accent3 15 3" xfId="8389"/>
    <cellStyle name="20% - Accent3 15 3 2" xfId="25436"/>
    <cellStyle name="20% - Accent3 15 3 2 2" xfId="54297"/>
    <cellStyle name="20% - Accent3 15 3 3" xfId="37250"/>
    <cellStyle name="20% - Accent3 15 4" xfId="12158"/>
    <cellStyle name="20% - Accent3 15 4 2" xfId="19664"/>
    <cellStyle name="20% - Accent3 15 4 2 2" xfId="48525"/>
    <cellStyle name="20% - Accent3 15 4 3" xfId="41019"/>
    <cellStyle name="20% - Accent3 15 5" xfId="16984"/>
    <cellStyle name="20% - Accent3 15 5 2" xfId="45845"/>
    <cellStyle name="20% - Accent3 15 6" xfId="31209"/>
    <cellStyle name="20% - Accent3 16" xfId="2556"/>
    <cellStyle name="20% - Accent3 16 2" xfId="5442"/>
    <cellStyle name="20% - Accent3 16 2 2" xfId="11483"/>
    <cellStyle name="20% - Accent3 16 2 2 2" xfId="28530"/>
    <cellStyle name="20% - Accent3 16 2 2 2 2" xfId="57391"/>
    <cellStyle name="20% - Accent3 16 2 2 3" xfId="40344"/>
    <cellStyle name="20% - Accent3 16 2 3" xfId="22552"/>
    <cellStyle name="20% - Accent3 16 2 3 2" xfId="51413"/>
    <cellStyle name="20% - Accent3 16 2 4" xfId="34303"/>
    <cellStyle name="20% - Accent3 16 3" xfId="8597"/>
    <cellStyle name="20% - Accent3 16 3 2" xfId="25644"/>
    <cellStyle name="20% - Accent3 16 3 2 2" xfId="54505"/>
    <cellStyle name="20% - Accent3 16 3 3" xfId="37458"/>
    <cellStyle name="20% - Accent3 16 4" xfId="12964"/>
    <cellStyle name="20% - Accent3 16 4 2" xfId="19872"/>
    <cellStyle name="20% - Accent3 16 4 2 2" xfId="48733"/>
    <cellStyle name="20% - Accent3 16 4 3" xfId="41825"/>
    <cellStyle name="20% - Accent3 16 5" xfId="17192"/>
    <cellStyle name="20% - Accent3 16 5 2" xfId="46053"/>
    <cellStyle name="20% - Accent3 16 6" xfId="31417"/>
    <cellStyle name="20% - Accent3 17" xfId="2968"/>
    <cellStyle name="20% - Accent3 17 2" xfId="9009"/>
    <cellStyle name="20% - Accent3 17 2 2" xfId="26056"/>
    <cellStyle name="20% - Accent3 17 2 2 2" xfId="54917"/>
    <cellStyle name="20% - Accent3 17 2 3" xfId="37870"/>
    <cellStyle name="20% - Accent3 17 3" xfId="14163"/>
    <cellStyle name="20% - Accent3 17 3 2" xfId="20078"/>
    <cellStyle name="20% - Accent3 17 3 2 2" xfId="48939"/>
    <cellStyle name="20% - Accent3 17 3 3" xfId="43024"/>
    <cellStyle name="20% - Accent3 17 4" xfId="14718"/>
    <cellStyle name="20% - Accent3 17 4 2" xfId="43579"/>
    <cellStyle name="20% - Accent3 17 5" xfId="31829"/>
    <cellStyle name="20% - Accent3 18" xfId="2762"/>
    <cellStyle name="20% - Accent3 18 2" xfId="8803"/>
    <cellStyle name="20% - Accent3 18 2 2" xfId="25850"/>
    <cellStyle name="20% - Accent3 18 2 2 2" xfId="54711"/>
    <cellStyle name="20% - Accent3 18 2 3" xfId="37664"/>
    <cellStyle name="20% - Accent3 18 3" xfId="17398"/>
    <cellStyle name="20% - Accent3 18 3 2" xfId="46259"/>
    <cellStyle name="20% - Accent3 18 4" xfId="31623"/>
    <cellStyle name="20% - Accent3 19" xfId="5648"/>
    <cellStyle name="20% - Accent3 19 2" xfId="11689"/>
    <cellStyle name="20% - Accent3 19 2 2" xfId="28736"/>
    <cellStyle name="20% - Accent3 19 2 2 2" xfId="57597"/>
    <cellStyle name="20% - Accent3 19 2 3" xfId="40550"/>
    <cellStyle name="20% - Accent3 19 3" xfId="22758"/>
    <cellStyle name="20% - Accent3 19 3 2" xfId="51619"/>
    <cellStyle name="20% - Accent3 19 4" xfId="34509"/>
    <cellStyle name="20% - Accent3 2" xfId="95"/>
    <cellStyle name="20% - Accent3 2 10" xfId="1331"/>
    <cellStyle name="20% - Accent3 2 10 2" xfId="4218"/>
    <cellStyle name="20% - Accent3 2 10 2 2" xfId="10259"/>
    <cellStyle name="20% - Accent3 2 10 2 2 2" xfId="27306"/>
    <cellStyle name="20% - Accent3 2 10 2 2 2 2" xfId="56167"/>
    <cellStyle name="20% - Accent3 2 10 2 2 3" xfId="39120"/>
    <cellStyle name="20% - Accent3 2 10 2 3" xfId="21328"/>
    <cellStyle name="20% - Accent3 2 10 2 3 2" xfId="50189"/>
    <cellStyle name="20% - Accent3 2 10 2 4" xfId="33079"/>
    <cellStyle name="20% - Accent3 2 10 3" xfId="7373"/>
    <cellStyle name="20% - Accent3 2 10 3 2" xfId="24420"/>
    <cellStyle name="20% - Accent3 2 10 3 2 2" xfId="53281"/>
    <cellStyle name="20% - Accent3 2 10 3 3" xfId="36234"/>
    <cellStyle name="20% - Accent3 2 10 4" xfId="13635"/>
    <cellStyle name="20% - Accent3 2 10 4 2" xfId="18648"/>
    <cellStyle name="20% - Accent3 2 10 4 2 2" xfId="47509"/>
    <cellStyle name="20% - Accent3 2 10 4 3" xfId="42496"/>
    <cellStyle name="20% - Accent3 2 10 5" xfId="15968"/>
    <cellStyle name="20% - Accent3 2 10 5 2" xfId="44829"/>
    <cellStyle name="20% - Accent3 2 10 6" xfId="30193"/>
    <cellStyle name="20% - Accent3 2 11" xfId="1537"/>
    <cellStyle name="20% - Accent3 2 11 2" xfId="4424"/>
    <cellStyle name="20% - Accent3 2 11 2 2" xfId="10465"/>
    <cellStyle name="20% - Accent3 2 11 2 2 2" xfId="27512"/>
    <cellStyle name="20% - Accent3 2 11 2 2 2 2" xfId="56373"/>
    <cellStyle name="20% - Accent3 2 11 2 2 3" xfId="39326"/>
    <cellStyle name="20% - Accent3 2 11 2 3" xfId="21534"/>
    <cellStyle name="20% - Accent3 2 11 2 3 2" xfId="50395"/>
    <cellStyle name="20% - Accent3 2 11 2 4" xfId="33285"/>
    <cellStyle name="20% - Accent3 2 11 3" xfId="7579"/>
    <cellStyle name="20% - Accent3 2 11 3 2" xfId="24626"/>
    <cellStyle name="20% - Accent3 2 11 3 2 2" xfId="53487"/>
    <cellStyle name="20% - Accent3 2 11 3 3" xfId="36440"/>
    <cellStyle name="20% - Accent3 2 11 4" xfId="11984"/>
    <cellStyle name="20% - Accent3 2 11 4 2" xfId="18854"/>
    <cellStyle name="20% - Accent3 2 11 4 2 2" xfId="47715"/>
    <cellStyle name="20% - Accent3 2 11 4 3" xfId="40845"/>
    <cellStyle name="20% - Accent3 2 11 5" xfId="16174"/>
    <cellStyle name="20% - Accent3 2 11 5 2" xfId="45035"/>
    <cellStyle name="20% - Accent3 2 11 6" xfId="30399"/>
    <cellStyle name="20% - Accent3 2 12" xfId="1743"/>
    <cellStyle name="20% - Accent3 2 12 2" xfId="4630"/>
    <cellStyle name="20% - Accent3 2 12 2 2" xfId="10671"/>
    <cellStyle name="20% - Accent3 2 12 2 2 2" xfId="27718"/>
    <cellStyle name="20% - Accent3 2 12 2 2 2 2" xfId="56579"/>
    <cellStyle name="20% - Accent3 2 12 2 2 3" xfId="39532"/>
    <cellStyle name="20% - Accent3 2 12 2 3" xfId="21740"/>
    <cellStyle name="20% - Accent3 2 12 2 3 2" xfId="50601"/>
    <cellStyle name="20% - Accent3 2 12 2 4" xfId="33491"/>
    <cellStyle name="20% - Accent3 2 12 3" xfId="7785"/>
    <cellStyle name="20% - Accent3 2 12 3 2" xfId="24832"/>
    <cellStyle name="20% - Accent3 2 12 3 2 2" xfId="53693"/>
    <cellStyle name="20% - Accent3 2 12 3 3" xfId="36646"/>
    <cellStyle name="20% - Accent3 2 12 4" xfId="14356"/>
    <cellStyle name="20% - Accent3 2 12 4 2" xfId="19060"/>
    <cellStyle name="20% - Accent3 2 12 4 2 2" xfId="47921"/>
    <cellStyle name="20% - Accent3 2 12 4 3" xfId="43217"/>
    <cellStyle name="20% - Accent3 2 12 5" xfId="16380"/>
    <cellStyle name="20% - Accent3 2 12 5 2" xfId="45241"/>
    <cellStyle name="20% - Accent3 2 12 6" xfId="30605"/>
    <cellStyle name="20% - Accent3 2 13" xfId="1949"/>
    <cellStyle name="20% - Accent3 2 13 2" xfId="4836"/>
    <cellStyle name="20% - Accent3 2 13 2 2" xfId="10877"/>
    <cellStyle name="20% - Accent3 2 13 2 2 2" xfId="27924"/>
    <cellStyle name="20% - Accent3 2 13 2 2 2 2" xfId="56785"/>
    <cellStyle name="20% - Accent3 2 13 2 2 3" xfId="39738"/>
    <cellStyle name="20% - Accent3 2 13 2 3" xfId="21946"/>
    <cellStyle name="20% - Accent3 2 13 2 3 2" xfId="50807"/>
    <cellStyle name="20% - Accent3 2 13 2 4" xfId="33697"/>
    <cellStyle name="20% - Accent3 2 13 3" xfId="7991"/>
    <cellStyle name="20% - Accent3 2 13 3 2" xfId="25038"/>
    <cellStyle name="20% - Accent3 2 13 3 2 2" xfId="53899"/>
    <cellStyle name="20% - Accent3 2 13 3 3" xfId="36852"/>
    <cellStyle name="20% - Accent3 2 13 4" xfId="12947"/>
    <cellStyle name="20% - Accent3 2 13 4 2" xfId="19266"/>
    <cellStyle name="20% - Accent3 2 13 4 2 2" xfId="48127"/>
    <cellStyle name="20% - Accent3 2 13 4 3" xfId="41808"/>
    <cellStyle name="20% - Accent3 2 13 5" xfId="16586"/>
    <cellStyle name="20% - Accent3 2 13 5 2" xfId="45447"/>
    <cellStyle name="20% - Accent3 2 13 6" xfId="30811"/>
    <cellStyle name="20% - Accent3 2 14" xfId="2361"/>
    <cellStyle name="20% - Accent3 2 14 2" xfId="5248"/>
    <cellStyle name="20% - Accent3 2 14 2 2" xfId="11289"/>
    <cellStyle name="20% - Accent3 2 14 2 2 2" xfId="28336"/>
    <cellStyle name="20% - Accent3 2 14 2 2 2 2" xfId="57197"/>
    <cellStyle name="20% - Accent3 2 14 2 2 3" xfId="40150"/>
    <cellStyle name="20% - Accent3 2 14 2 3" xfId="22358"/>
    <cellStyle name="20% - Accent3 2 14 2 3 2" xfId="51219"/>
    <cellStyle name="20% - Accent3 2 14 2 4" xfId="34109"/>
    <cellStyle name="20% - Accent3 2 14 3" xfId="8403"/>
    <cellStyle name="20% - Accent3 2 14 3 2" xfId="25450"/>
    <cellStyle name="20% - Accent3 2 14 3 2 2" xfId="54311"/>
    <cellStyle name="20% - Accent3 2 14 3 3" xfId="37264"/>
    <cellStyle name="20% - Accent3 2 14 4" xfId="13549"/>
    <cellStyle name="20% - Accent3 2 14 4 2" xfId="19678"/>
    <cellStyle name="20% - Accent3 2 14 4 2 2" xfId="48539"/>
    <cellStyle name="20% - Accent3 2 14 4 3" xfId="42410"/>
    <cellStyle name="20% - Accent3 2 14 5" xfId="16998"/>
    <cellStyle name="20% - Accent3 2 14 5 2" xfId="45859"/>
    <cellStyle name="20% - Accent3 2 14 6" xfId="31223"/>
    <cellStyle name="20% - Accent3 2 15" xfId="2570"/>
    <cellStyle name="20% - Accent3 2 15 2" xfId="5456"/>
    <cellStyle name="20% - Accent3 2 15 2 2" xfId="11497"/>
    <cellStyle name="20% - Accent3 2 15 2 2 2" xfId="28544"/>
    <cellStyle name="20% - Accent3 2 15 2 2 2 2" xfId="57405"/>
    <cellStyle name="20% - Accent3 2 15 2 2 3" xfId="40358"/>
    <cellStyle name="20% - Accent3 2 15 2 3" xfId="22566"/>
    <cellStyle name="20% - Accent3 2 15 2 3 2" xfId="51427"/>
    <cellStyle name="20% - Accent3 2 15 2 4" xfId="34317"/>
    <cellStyle name="20% - Accent3 2 15 3" xfId="8611"/>
    <cellStyle name="20% - Accent3 2 15 3 2" xfId="25658"/>
    <cellStyle name="20% - Accent3 2 15 3 2 2" xfId="54519"/>
    <cellStyle name="20% - Accent3 2 15 3 3" xfId="37472"/>
    <cellStyle name="20% - Accent3 2 15 4" xfId="12708"/>
    <cellStyle name="20% - Accent3 2 15 4 2" xfId="19886"/>
    <cellStyle name="20% - Accent3 2 15 4 2 2" xfId="48747"/>
    <cellStyle name="20% - Accent3 2 15 4 3" xfId="41569"/>
    <cellStyle name="20% - Accent3 2 15 5" xfId="17206"/>
    <cellStyle name="20% - Accent3 2 15 5 2" xfId="46067"/>
    <cellStyle name="20% - Accent3 2 15 6" xfId="31431"/>
    <cellStyle name="20% - Accent3 2 16" xfId="2982"/>
    <cellStyle name="20% - Accent3 2 16 2" xfId="9023"/>
    <cellStyle name="20% - Accent3 2 16 2 2" xfId="26070"/>
    <cellStyle name="20% - Accent3 2 16 2 2 2" xfId="54931"/>
    <cellStyle name="20% - Accent3 2 16 2 3" xfId="37884"/>
    <cellStyle name="20% - Accent3 2 16 3" xfId="14237"/>
    <cellStyle name="20% - Accent3 2 16 3 2" xfId="20092"/>
    <cellStyle name="20% - Accent3 2 16 3 2 2" xfId="48953"/>
    <cellStyle name="20% - Accent3 2 16 3 3" xfId="43098"/>
    <cellStyle name="20% - Accent3 2 16 4" xfId="14732"/>
    <cellStyle name="20% - Accent3 2 16 4 2" xfId="43593"/>
    <cellStyle name="20% - Accent3 2 16 5" xfId="31843"/>
    <cellStyle name="20% - Accent3 2 17" xfId="2776"/>
    <cellStyle name="20% - Accent3 2 17 2" xfId="8817"/>
    <cellStyle name="20% - Accent3 2 17 2 2" xfId="25864"/>
    <cellStyle name="20% - Accent3 2 17 2 2 2" xfId="54725"/>
    <cellStyle name="20% - Accent3 2 17 2 3" xfId="37678"/>
    <cellStyle name="20% - Accent3 2 17 3" xfId="17412"/>
    <cellStyle name="20% - Accent3 2 17 3 2" xfId="46273"/>
    <cellStyle name="20% - Accent3 2 17 4" xfId="31637"/>
    <cellStyle name="20% - Accent3 2 18" xfId="5662"/>
    <cellStyle name="20% - Accent3 2 18 2" xfId="11703"/>
    <cellStyle name="20% - Accent3 2 18 2 2" xfId="28750"/>
    <cellStyle name="20% - Accent3 2 18 2 2 2" xfId="57611"/>
    <cellStyle name="20% - Accent3 2 18 2 3" xfId="40564"/>
    <cellStyle name="20% - Accent3 2 18 3" xfId="22772"/>
    <cellStyle name="20% - Accent3 2 18 3 2" xfId="51633"/>
    <cellStyle name="20% - Accent3 2 18 4" xfId="34523"/>
    <cellStyle name="20% - Accent3 2 19" xfId="5879"/>
    <cellStyle name="20% - Accent3 2 19 2" xfId="22978"/>
    <cellStyle name="20% - Accent3 2 19 2 2" xfId="51839"/>
    <cellStyle name="20% - Accent3 2 19 3" xfId="34740"/>
    <cellStyle name="20% - Accent3 2 2" xfId="121"/>
    <cellStyle name="20% - Accent3 2 2 10" xfId="1769"/>
    <cellStyle name="20% - Accent3 2 2 10 2" xfId="4656"/>
    <cellStyle name="20% - Accent3 2 2 10 2 2" xfId="10697"/>
    <cellStyle name="20% - Accent3 2 2 10 2 2 2" xfId="27744"/>
    <cellStyle name="20% - Accent3 2 2 10 2 2 2 2" xfId="56605"/>
    <cellStyle name="20% - Accent3 2 2 10 2 2 3" xfId="39558"/>
    <cellStyle name="20% - Accent3 2 2 10 2 3" xfId="21766"/>
    <cellStyle name="20% - Accent3 2 2 10 2 3 2" xfId="50627"/>
    <cellStyle name="20% - Accent3 2 2 10 2 4" xfId="33517"/>
    <cellStyle name="20% - Accent3 2 2 10 3" xfId="7811"/>
    <cellStyle name="20% - Accent3 2 2 10 3 2" xfId="24858"/>
    <cellStyle name="20% - Accent3 2 2 10 3 2 2" xfId="53719"/>
    <cellStyle name="20% - Accent3 2 2 10 3 3" xfId="36672"/>
    <cellStyle name="20% - Accent3 2 2 10 4" xfId="13579"/>
    <cellStyle name="20% - Accent3 2 2 10 4 2" xfId="19086"/>
    <cellStyle name="20% - Accent3 2 2 10 4 2 2" xfId="47947"/>
    <cellStyle name="20% - Accent3 2 2 10 4 3" xfId="42440"/>
    <cellStyle name="20% - Accent3 2 2 10 5" xfId="16406"/>
    <cellStyle name="20% - Accent3 2 2 10 5 2" xfId="45267"/>
    <cellStyle name="20% - Accent3 2 2 10 6" xfId="30631"/>
    <cellStyle name="20% - Accent3 2 2 11" xfId="1975"/>
    <cellStyle name="20% - Accent3 2 2 11 2" xfId="4862"/>
    <cellStyle name="20% - Accent3 2 2 11 2 2" xfId="10903"/>
    <cellStyle name="20% - Accent3 2 2 11 2 2 2" xfId="27950"/>
    <cellStyle name="20% - Accent3 2 2 11 2 2 2 2" xfId="56811"/>
    <cellStyle name="20% - Accent3 2 2 11 2 2 3" xfId="39764"/>
    <cellStyle name="20% - Accent3 2 2 11 2 3" xfId="21972"/>
    <cellStyle name="20% - Accent3 2 2 11 2 3 2" xfId="50833"/>
    <cellStyle name="20% - Accent3 2 2 11 2 4" xfId="33723"/>
    <cellStyle name="20% - Accent3 2 2 11 3" xfId="8017"/>
    <cellStyle name="20% - Accent3 2 2 11 3 2" xfId="25064"/>
    <cellStyle name="20% - Accent3 2 2 11 3 2 2" xfId="53925"/>
    <cellStyle name="20% - Accent3 2 2 11 3 3" xfId="36878"/>
    <cellStyle name="20% - Accent3 2 2 11 4" xfId="12605"/>
    <cellStyle name="20% - Accent3 2 2 11 4 2" xfId="19292"/>
    <cellStyle name="20% - Accent3 2 2 11 4 2 2" xfId="48153"/>
    <cellStyle name="20% - Accent3 2 2 11 4 3" xfId="41466"/>
    <cellStyle name="20% - Accent3 2 2 11 5" xfId="16612"/>
    <cellStyle name="20% - Accent3 2 2 11 5 2" xfId="45473"/>
    <cellStyle name="20% - Accent3 2 2 11 6" xfId="30837"/>
    <cellStyle name="20% - Accent3 2 2 12" xfId="2387"/>
    <cellStyle name="20% - Accent3 2 2 12 2" xfId="5274"/>
    <cellStyle name="20% - Accent3 2 2 12 2 2" xfId="11315"/>
    <cellStyle name="20% - Accent3 2 2 12 2 2 2" xfId="28362"/>
    <cellStyle name="20% - Accent3 2 2 12 2 2 2 2" xfId="57223"/>
    <cellStyle name="20% - Accent3 2 2 12 2 2 3" xfId="40176"/>
    <cellStyle name="20% - Accent3 2 2 12 2 3" xfId="22384"/>
    <cellStyle name="20% - Accent3 2 2 12 2 3 2" xfId="51245"/>
    <cellStyle name="20% - Accent3 2 2 12 2 4" xfId="34135"/>
    <cellStyle name="20% - Accent3 2 2 12 3" xfId="8429"/>
    <cellStyle name="20% - Accent3 2 2 12 3 2" xfId="25476"/>
    <cellStyle name="20% - Accent3 2 2 12 3 2 2" xfId="54337"/>
    <cellStyle name="20% - Accent3 2 2 12 3 3" xfId="37290"/>
    <cellStyle name="20% - Accent3 2 2 12 4" xfId="12244"/>
    <cellStyle name="20% - Accent3 2 2 12 4 2" xfId="19704"/>
    <cellStyle name="20% - Accent3 2 2 12 4 2 2" xfId="48565"/>
    <cellStyle name="20% - Accent3 2 2 12 4 3" xfId="41105"/>
    <cellStyle name="20% - Accent3 2 2 12 5" xfId="17024"/>
    <cellStyle name="20% - Accent3 2 2 12 5 2" xfId="45885"/>
    <cellStyle name="20% - Accent3 2 2 12 6" xfId="31249"/>
    <cellStyle name="20% - Accent3 2 2 13" xfId="2596"/>
    <cellStyle name="20% - Accent3 2 2 13 2" xfId="5482"/>
    <cellStyle name="20% - Accent3 2 2 13 2 2" xfId="11523"/>
    <cellStyle name="20% - Accent3 2 2 13 2 2 2" xfId="28570"/>
    <cellStyle name="20% - Accent3 2 2 13 2 2 2 2" xfId="57431"/>
    <cellStyle name="20% - Accent3 2 2 13 2 2 3" xfId="40384"/>
    <cellStyle name="20% - Accent3 2 2 13 2 3" xfId="22592"/>
    <cellStyle name="20% - Accent3 2 2 13 2 3 2" xfId="51453"/>
    <cellStyle name="20% - Accent3 2 2 13 2 4" xfId="34343"/>
    <cellStyle name="20% - Accent3 2 2 13 3" xfId="8637"/>
    <cellStyle name="20% - Accent3 2 2 13 3 2" xfId="25684"/>
    <cellStyle name="20% - Accent3 2 2 13 3 2 2" xfId="54545"/>
    <cellStyle name="20% - Accent3 2 2 13 3 3" xfId="37498"/>
    <cellStyle name="20% - Accent3 2 2 13 4" xfId="14106"/>
    <cellStyle name="20% - Accent3 2 2 13 4 2" xfId="19912"/>
    <cellStyle name="20% - Accent3 2 2 13 4 2 2" xfId="48773"/>
    <cellStyle name="20% - Accent3 2 2 13 4 3" xfId="42967"/>
    <cellStyle name="20% - Accent3 2 2 13 5" xfId="17232"/>
    <cellStyle name="20% - Accent3 2 2 13 5 2" xfId="46093"/>
    <cellStyle name="20% - Accent3 2 2 13 6" xfId="31457"/>
    <cellStyle name="20% - Accent3 2 2 14" xfId="3008"/>
    <cellStyle name="20% - Accent3 2 2 14 2" xfId="9049"/>
    <cellStyle name="20% - Accent3 2 2 14 2 2" xfId="26096"/>
    <cellStyle name="20% - Accent3 2 2 14 2 2 2" xfId="54957"/>
    <cellStyle name="20% - Accent3 2 2 14 2 3" xfId="37910"/>
    <cellStyle name="20% - Accent3 2 2 14 3" xfId="12695"/>
    <cellStyle name="20% - Accent3 2 2 14 3 2" xfId="20118"/>
    <cellStyle name="20% - Accent3 2 2 14 3 2 2" xfId="48979"/>
    <cellStyle name="20% - Accent3 2 2 14 3 3" xfId="41556"/>
    <cellStyle name="20% - Accent3 2 2 14 4" xfId="14758"/>
    <cellStyle name="20% - Accent3 2 2 14 4 2" xfId="43619"/>
    <cellStyle name="20% - Accent3 2 2 14 5" xfId="31869"/>
    <cellStyle name="20% - Accent3 2 2 15" xfId="2802"/>
    <cellStyle name="20% - Accent3 2 2 15 2" xfId="8843"/>
    <cellStyle name="20% - Accent3 2 2 15 2 2" xfId="25890"/>
    <cellStyle name="20% - Accent3 2 2 15 2 2 2" xfId="54751"/>
    <cellStyle name="20% - Accent3 2 2 15 2 3" xfId="37704"/>
    <cellStyle name="20% - Accent3 2 2 15 3" xfId="17438"/>
    <cellStyle name="20% - Accent3 2 2 15 3 2" xfId="46299"/>
    <cellStyle name="20% - Accent3 2 2 15 4" xfId="31663"/>
    <cellStyle name="20% - Accent3 2 2 16" xfId="5688"/>
    <cellStyle name="20% - Accent3 2 2 16 2" xfId="11729"/>
    <cellStyle name="20% - Accent3 2 2 16 2 2" xfId="28776"/>
    <cellStyle name="20% - Accent3 2 2 16 2 2 2" xfId="57637"/>
    <cellStyle name="20% - Accent3 2 2 16 2 3" xfId="40590"/>
    <cellStyle name="20% - Accent3 2 2 16 3" xfId="22798"/>
    <cellStyle name="20% - Accent3 2 2 16 3 2" xfId="51659"/>
    <cellStyle name="20% - Accent3 2 2 16 4" xfId="34549"/>
    <cellStyle name="20% - Accent3 2 2 17" xfId="5905"/>
    <cellStyle name="20% - Accent3 2 2 17 2" xfId="23004"/>
    <cellStyle name="20% - Accent3 2 2 17 2 2" xfId="51865"/>
    <cellStyle name="20% - Accent3 2 2 17 3" xfId="34766"/>
    <cellStyle name="20% - Accent3 2 2 18" xfId="6163"/>
    <cellStyle name="20% - Accent3 2 2 18 2" xfId="23210"/>
    <cellStyle name="20% - Accent3 2 2 18 2 2" xfId="52071"/>
    <cellStyle name="20% - Accent3 2 2 18 3" xfId="35024"/>
    <cellStyle name="20% - Accent3 2 2 19" xfId="14552"/>
    <cellStyle name="20% - Accent3 2 2 19 2" xfId="43413"/>
    <cellStyle name="20% - Accent3 2 2 2" xfId="327"/>
    <cellStyle name="20% - Accent3 2 2 2 10" xfId="2490"/>
    <cellStyle name="20% - Accent3 2 2 2 10 2" xfId="5377"/>
    <cellStyle name="20% - Accent3 2 2 2 10 2 2" xfId="11418"/>
    <cellStyle name="20% - Accent3 2 2 2 10 2 2 2" xfId="28465"/>
    <cellStyle name="20% - Accent3 2 2 2 10 2 2 2 2" xfId="57326"/>
    <cellStyle name="20% - Accent3 2 2 2 10 2 2 3" xfId="40279"/>
    <cellStyle name="20% - Accent3 2 2 2 10 2 3" xfId="22487"/>
    <cellStyle name="20% - Accent3 2 2 2 10 2 3 2" xfId="51348"/>
    <cellStyle name="20% - Accent3 2 2 2 10 2 4" xfId="34238"/>
    <cellStyle name="20% - Accent3 2 2 2 10 3" xfId="8532"/>
    <cellStyle name="20% - Accent3 2 2 2 10 3 2" xfId="25579"/>
    <cellStyle name="20% - Accent3 2 2 2 10 3 2 2" xfId="54440"/>
    <cellStyle name="20% - Accent3 2 2 2 10 3 3" xfId="37393"/>
    <cellStyle name="20% - Accent3 2 2 2 10 4" xfId="13242"/>
    <cellStyle name="20% - Accent3 2 2 2 10 4 2" xfId="19807"/>
    <cellStyle name="20% - Accent3 2 2 2 10 4 2 2" xfId="48668"/>
    <cellStyle name="20% - Accent3 2 2 2 10 4 3" xfId="42103"/>
    <cellStyle name="20% - Accent3 2 2 2 10 5" xfId="17127"/>
    <cellStyle name="20% - Accent3 2 2 2 10 5 2" xfId="45988"/>
    <cellStyle name="20% - Accent3 2 2 2 10 6" xfId="31352"/>
    <cellStyle name="20% - Accent3 2 2 2 11" xfId="2699"/>
    <cellStyle name="20% - Accent3 2 2 2 11 2" xfId="5585"/>
    <cellStyle name="20% - Accent3 2 2 2 11 2 2" xfId="11626"/>
    <cellStyle name="20% - Accent3 2 2 2 11 2 2 2" xfId="28673"/>
    <cellStyle name="20% - Accent3 2 2 2 11 2 2 2 2" xfId="57534"/>
    <cellStyle name="20% - Accent3 2 2 2 11 2 2 3" xfId="40487"/>
    <cellStyle name="20% - Accent3 2 2 2 11 2 3" xfId="22695"/>
    <cellStyle name="20% - Accent3 2 2 2 11 2 3 2" xfId="51556"/>
    <cellStyle name="20% - Accent3 2 2 2 11 2 4" xfId="34446"/>
    <cellStyle name="20% - Accent3 2 2 2 11 3" xfId="8740"/>
    <cellStyle name="20% - Accent3 2 2 2 11 3 2" xfId="25787"/>
    <cellStyle name="20% - Accent3 2 2 2 11 3 2 2" xfId="54648"/>
    <cellStyle name="20% - Accent3 2 2 2 11 3 3" xfId="37601"/>
    <cellStyle name="20% - Accent3 2 2 2 11 4" xfId="13813"/>
    <cellStyle name="20% - Accent3 2 2 2 11 4 2" xfId="20015"/>
    <cellStyle name="20% - Accent3 2 2 2 11 4 2 2" xfId="48876"/>
    <cellStyle name="20% - Accent3 2 2 2 11 4 3" xfId="42674"/>
    <cellStyle name="20% - Accent3 2 2 2 11 5" xfId="17335"/>
    <cellStyle name="20% - Accent3 2 2 2 11 5 2" xfId="46196"/>
    <cellStyle name="20% - Accent3 2 2 2 11 6" xfId="31560"/>
    <cellStyle name="20% - Accent3 2 2 2 12" xfId="3214"/>
    <cellStyle name="20% - Accent3 2 2 2 12 2" xfId="9255"/>
    <cellStyle name="20% - Accent3 2 2 2 12 2 2" xfId="26302"/>
    <cellStyle name="20% - Accent3 2 2 2 12 2 2 2" xfId="55163"/>
    <cellStyle name="20% - Accent3 2 2 2 12 2 3" xfId="38116"/>
    <cellStyle name="20% - Accent3 2 2 2 12 3" xfId="13666"/>
    <cellStyle name="20% - Accent3 2 2 2 12 3 2" xfId="20324"/>
    <cellStyle name="20% - Accent3 2 2 2 12 3 2 2" xfId="49185"/>
    <cellStyle name="20% - Accent3 2 2 2 12 3 3" xfId="42527"/>
    <cellStyle name="20% - Accent3 2 2 2 12 4" xfId="14964"/>
    <cellStyle name="20% - Accent3 2 2 2 12 4 2" xfId="43825"/>
    <cellStyle name="20% - Accent3 2 2 2 12 5" xfId="32075"/>
    <cellStyle name="20% - Accent3 2 2 2 13" xfId="2905"/>
    <cellStyle name="20% - Accent3 2 2 2 13 2" xfId="8946"/>
    <cellStyle name="20% - Accent3 2 2 2 13 2 2" xfId="25993"/>
    <cellStyle name="20% - Accent3 2 2 2 13 2 2 2" xfId="54854"/>
    <cellStyle name="20% - Accent3 2 2 2 13 2 3" xfId="37807"/>
    <cellStyle name="20% - Accent3 2 2 2 13 3" xfId="17541"/>
    <cellStyle name="20% - Accent3 2 2 2 13 3 2" xfId="46402"/>
    <cellStyle name="20% - Accent3 2 2 2 13 4" xfId="31766"/>
    <cellStyle name="20% - Accent3 2 2 2 14" xfId="5791"/>
    <cellStyle name="20% - Accent3 2 2 2 14 2" xfId="11832"/>
    <cellStyle name="20% - Accent3 2 2 2 14 2 2" xfId="28879"/>
    <cellStyle name="20% - Accent3 2 2 2 14 2 2 2" xfId="57740"/>
    <cellStyle name="20% - Accent3 2 2 2 14 2 3" xfId="40693"/>
    <cellStyle name="20% - Accent3 2 2 2 14 3" xfId="22901"/>
    <cellStyle name="20% - Accent3 2 2 2 14 3 2" xfId="51762"/>
    <cellStyle name="20% - Accent3 2 2 2 14 4" xfId="34652"/>
    <cellStyle name="20% - Accent3 2 2 2 15" xfId="6008"/>
    <cellStyle name="20% - Accent3 2 2 2 15 2" xfId="23107"/>
    <cellStyle name="20% - Accent3 2 2 2 15 2 2" xfId="51968"/>
    <cellStyle name="20% - Accent3 2 2 2 15 3" xfId="34869"/>
    <cellStyle name="20% - Accent3 2 2 2 16" xfId="6369"/>
    <cellStyle name="20% - Accent3 2 2 2 16 2" xfId="23416"/>
    <cellStyle name="20% - Accent3 2 2 2 16 2 2" xfId="52277"/>
    <cellStyle name="20% - Accent3 2 2 2 16 3" xfId="35230"/>
    <cellStyle name="20% - Accent3 2 2 2 17" xfId="14655"/>
    <cellStyle name="20% - Accent3 2 2 2 17 2" xfId="43516"/>
    <cellStyle name="20% - Accent3 2 2 2 18" xfId="29189"/>
    <cellStyle name="20% - Accent3 2 2 2 2" xfId="533"/>
    <cellStyle name="20% - Accent3 2 2 2 2 2" xfId="2284"/>
    <cellStyle name="20% - Accent3 2 2 2 2 2 2" xfId="5171"/>
    <cellStyle name="20% - Accent3 2 2 2 2 2 2 2" xfId="11212"/>
    <cellStyle name="20% - Accent3 2 2 2 2 2 2 2 2" xfId="28259"/>
    <cellStyle name="20% - Accent3 2 2 2 2 2 2 2 2 2" xfId="57120"/>
    <cellStyle name="20% - Accent3 2 2 2 2 2 2 2 3" xfId="40073"/>
    <cellStyle name="20% - Accent3 2 2 2 2 2 2 3" xfId="22281"/>
    <cellStyle name="20% - Accent3 2 2 2 2 2 2 3 2" xfId="51142"/>
    <cellStyle name="20% - Accent3 2 2 2 2 2 2 4" xfId="34032"/>
    <cellStyle name="20% - Accent3 2 2 2 2 2 3" xfId="8326"/>
    <cellStyle name="20% - Accent3 2 2 2 2 2 3 2" xfId="25373"/>
    <cellStyle name="20% - Accent3 2 2 2 2 2 3 2 2" xfId="54234"/>
    <cellStyle name="20% - Accent3 2 2 2 2 2 3 3" xfId="37187"/>
    <cellStyle name="20% - Accent3 2 2 2 2 2 4" xfId="12621"/>
    <cellStyle name="20% - Accent3 2 2 2 2 2 4 2" xfId="19601"/>
    <cellStyle name="20% - Accent3 2 2 2 2 2 4 2 2" xfId="48462"/>
    <cellStyle name="20% - Accent3 2 2 2 2 2 4 3" xfId="41482"/>
    <cellStyle name="20% - Accent3 2 2 2 2 2 5" xfId="16921"/>
    <cellStyle name="20% - Accent3 2 2 2 2 2 5 2" xfId="45782"/>
    <cellStyle name="20% - Accent3 2 2 2 2 2 6" xfId="31146"/>
    <cellStyle name="20% - Accent3 2 2 2 2 3" xfId="3420"/>
    <cellStyle name="20% - Accent3 2 2 2 2 3 2" xfId="9461"/>
    <cellStyle name="20% - Accent3 2 2 2 2 3 2 2" xfId="26508"/>
    <cellStyle name="20% - Accent3 2 2 2 2 3 2 2 2" xfId="55369"/>
    <cellStyle name="20% - Accent3 2 2 2 2 3 2 3" xfId="38322"/>
    <cellStyle name="20% - Accent3 2 2 2 2 3 3" xfId="20530"/>
    <cellStyle name="20% - Accent3 2 2 2 2 3 3 2" xfId="49391"/>
    <cellStyle name="20% - Accent3 2 2 2 2 3 4" xfId="32281"/>
    <cellStyle name="20% - Accent3 2 2 2 2 4" xfId="6575"/>
    <cellStyle name="20% - Accent3 2 2 2 2 4 2" xfId="23622"/>
    <cellStyle name="20% - Accent3 2 2 2 2 4 2 2" xfId="52483"/>
    <cellStyle name="20% - Accent3 2 2 2 2 4 3" xfId="35436"/>
    <cellStyle name="20% - Accent3 2 2 2 2 5" xfId="13509"/>
    <cellStyle name="20% - Accent3 2 2 2 2 5 2" xfId="17850"/>
    <cellStyle name="20% - Accent3 2 2 2 2 5 2 2" xfId="46711"/>
    <cellStyle name="20% - Accent3 2 2 2 2 5 3" xfId="42370"/>
    <cellStyle name="20% - Accent3 2 2 2 2 6" xfId="15170"/>
    <cellStyle name="20% - Accent3 2 2 2 2 6 2" xfId="44031"/>
    <cellStyle name="20% - Accent3 2 2 2 2 7" xfId="29395"/>
    <cellStyle name="20% - Accent3 2 2 2 3" xfId="842"/>
    <cellStyle name="20% - Accent3 2 2 2 3 2" xfId="3729"/>
    <cellStyle name="20% - Accent3 2 2 2 3 2 2" xfId="9770"/>
    <cellStyle name="20% - Accent3 2 2 2 3 2 2 2" xfId="26817"/>
    <cellStyle name="20% - Accent3 2 2 2 3 2 2 2 2" xfId="55678"/>
    <cellStyle name="20% - Accent3 2 2 2 3 2 2 3" xfId="38631"/>
    <cellStyle name="20% - Accent3 2 2 2 3 2 3" xfId="20839"/>
    <cellStyle name="20% - Accent3 2 2 2 3 2 3 2" xfId="49700"/>
    <cellStyle name="20% - Accent3 2 2 2 3 2 4" xfId="32590"/>
    <cellStyle name="20% - Accent3 2 2 2 3 3" xfId="6884"/>
    <cellStyle name="20% - Accent3 2 2 2 3 3 2" xfId="23931"/>
    <cellStyle name="20% - Accent3 2 2 2 3 3 2 2" xfId="52792"/>
    <cellStyle name="20% - Accent3 2 2 2 3 3 3" xfId="35745"/>
    <cellStyle name="20% - Accent3 2 2 2 3 4" xfId="12765"/>
    <cellStyle name="20% - Accent3 2 2 2 3 4 2" xfId="18159"/>
    <cellStyle name="20% - Accent3 2 2 2 3 4 2 2" xfId="47020"/>
    <cellStyle name="20% - Accent3 2 2 2 3 4 3" xfId="41626"/>
    <cellStyle name="20% - Accent3 2 2 2 3 5" xfId="15479"/>
    <cellStyle name="20% - Accent3 2 2 2 3 5 2" xfId="44340"/>
    <cellStyle name="20% - Accent3 2 2 2 3 6" xfId="29704"/>
    <cellStyle name="20% - Accent3 2 2 2 4" xfId="1048"/>
    <cellStyle name="20% - Accent3 2 2 2 4 2" xfId="3935"/>
    <cellStyle name="20% - Accent3 2 2 2 4 2 2" xfId="9976"/>
    <cellStyle name="20% - Accent3 2 2 2 4 2 2 2" xfId="27023"/>
    <cellStyle name="20% - Accent3 2 2 2 4 2 2 2 2" xfId="55884"/>
    <cellStyle name="20% - Accent3 2 2 2 4 2 2 3" xfId="38837"/>
    <cellStyle name="20% - Accent3 2 2 2 4 2 3" xfId="21045"/>
    <cellStyle name="20% - Accent3 2 2 2 4 2 3 2" xfId="49906"/>
    <cellStyle name="20% - Accent3 2 2 2 4 2 4" xfId="32796"/>
    <cellStyle name="20% - Accent3 2 2 2 4 3" xfId="7090"/>
    <cellStyle name="20% - Accent3 2 2 2 4 3 2" xfId="24137"/>
    <cellStyle name="20% - Accent3 2 2 2 4 3 2 2" xfId="52998"/>
    <cellStyle name="20% - Accent3 2 2 2 4 3 3" xfId="35951"/>
    <cellStyle name="20% - Accent3 2 2 2 4 4" xfId="13727"/>
    <cellStyle name="20% - Accent3 2 2 2 4 4 2" xfId="18365"/>
    <cellStyle name="20% - Accent3 2 2 2 4 4 2 2" xfId="47226"/>
    <cellStyle name="20% - Accent3 2 2 2 4 4 3" xfId="42588"/>
    <cellStyle name="20% - Accent3 2 2 2 4 5" xfId="15685"/>
    <cellStyle name="20% - Accent3 2 2 2 4 5 2" xfId="44546"/>
    <cellStyle name="20% - Accent3 2 2 2 4 6" xfId="29910"/>
    <cellStyle name="20% - Accent3 2 2 2 5" xfId="1254"/>
    <cellStyle name="20% - Accent3 2 2 2 5 2" xfId="4141"/>
    <cellStyle name="20% - Accent3 2 2 2 5 2 2" xfId="10182"/>
    <cellStyle name="20% - Accent3 2 2 2 5 2 2 2" xfId="27229"/>
    <cellStyle name="20% - Accent3 2 2 2 5 2 2 2 2" xfId="56090"/>
    <cellStyle name="20% - Accent3 2 2 2 5 2 2 3" xfId="39043"/>
    <cellStyle name="20% - Accent3 2 2 2 5 2 3" xfId="21251"/>
    <cellStyle name="20% - Accent3 2 2 2 5 2 3 2" xfId="50112"/>
    <cellStyle name="20% - Accent3 2 2 2 5 2 4" xfId="33002"/>
    <cellStyle name="20% - Accent3 2 2 2 5 3" xfId="7296"/>
    <cellStyle name="20% - Accent3 2 2 2 5 3 2" xfId="24343"/>
    <cellStyle name="20% - Accent3 2 2 2 5 3 2 2" xfId="53204"/>
    <cellStyle name="20% - Accent3 2 2 2 5 3 3" xfId="36157"/>
    <cellStyle name="20% - Accent3 2 2 2 5 4" xfId="12055"/>
    <cellStyle name="20% - Accent3 2 2 2 5 4 2" xfId="18571"/>
    <cellStyle name="20% - Accent3 2 2 2 5 4 2 2" xfId="47432"/>
    <cellStyle name="20% - Accent3 2 2 2 5 4 3" xfId="40916"/>
    <cellStyle name="20% - Accent3 2 2 2 5 5" xfId="15891"/>
    <cellStyle name="20% - Accent3 2 2 2 5 5 2" xfId="44752"/>
    <cellStyle name="20% - Accent3 2 2 2 5 6" xfId="30116"/>
    <cellStyle name="20% - Accent3 2 2 2 6" xfId="1460"/>
    <cellStyle name="20% - Accent3 2 2 2 6 2" xfId="4347"/>
    <cellStyle name="20% - Accent3 2 2 2 6 2 2" xfId="10388"/>
    <cellStyle name="20% - Accent3 2 2 2 6 2 2 2" xfId="27435"/>
    <cellStyle name="20% - Accent3 2 2 2 6 2 2 2 2" xfId="56296"/>
    <cellStyle name="20% - Accent3 2 2 2 6 2 2 3" xfId="39249"/>
    <cellStyle name="20% - Accent3 2 2 2 6 2 3" xfId="21457"/>
    <cellStyle name="20% - Accent3 2 2 2 6 2 3 2" xfId="50318"/>
    <cellStyle name="20% - Accent3 2 2 2 6 2 4" xfId="33208"/>
    <cellStyle name="20% - Accent3 2 2 2 6 3" xfId="7502"/>
    <cellStyle name="20% - Accent3 2 2 2 6 3 2" xfId="24549"/>
    <cellStyle name="20% - Accent3 2 2 2 6 3 2 2" xfId="53410"/>
    <cellStyle name="20% - Accent3 2 2 2 6 3 3" xfId="36363"/>
    <cellStyle name="20% - Accent3 2 2 2 6 4" xfId="13787"/>
    <cellStyle name="20% - Accent3 2 2 2 6 4 2" xfId="18777"/>
    <cellStyle name="20% - Accent3 2 2 2 6 4 2 2" xfId="47638"/>
    <cellStyle name="20% - Accent3 2 2 2 6 4 3" xfId="42648"/>
    <cellStyle name="20% - Accent3 2 2 2 6 5" xfId="16097"/>
    <cellStyle name="20% - Accent3 2 2 2 6 5 2" xfId="44958"/>
    <cellStyle name="20% - Accent3 2 2 2 6 6" xfId="30322"/>
    <cellStyle name="20% - Accent3 2 2 2 7" xfId="1666"/>
    <cellStyle name="20% - Accent3 2 2 2 7 2" xfId="4553"/>
    <cellStyle name="20% - Accent3 2 2 2 7 2 2" xfId="10594"/>
    <cellStyle name="20% - Accent3 2 2 2 7 2 2 2" xfId="27641"/>
    <cellStyle name="20% - Accent3 2 2 2 7 2 2 2 2" xfId="56502"/>
    <cellStyle name="20% - Accent3 2 2 2 7 2 2 3" xfId="39455"/>
    <cellStyle name="20% - Accent3 2 2 2 7 2 3" xfId="21663"/>
    <cellStyle name="20% - Accent3 2 2 2 7 2 3 2" xfId="50524"/>
    <cellStyle name="20% - Accent3 2 2 2 7 2 4" xfId="33414"/>
    <cellStyle name="20% - Accent3 2 2 2 7 3" xfId="7708"/>
    <cellStyle name="20% - Accent3 2 2 2 7 3 2" xfId="24755"/>
    <cellStyle name="20% - Accent3 2 2 2 7 3 2 2" xfId="53616"/>
    <cellStyle name="20% - Accent3 2 2 2 7 3 3" xfId="36569"/>
    <cellStyle name="20% - Accent3 2 2 2 7 4" xfId="13979"/>
    <cellStyle name="20% - Accent3 2 2 2 7 4 2" xfId="18983"/>
    <cellStyle name="20% - Accent3 2 2 2 7 4 2 2" xfId="47844"/>
    <cellStyle name="20% - Accent3 2 2 2 7 4 3" xfId="42840"/>
    <cellStyle name="20% - Accent3 2 2 2 7 5" xfId="16303"/>
    <cellStyle name="20% - Accent3 2 2 2 7 5 2" xfId="45164"/>
    <cellStyle name="20% - Accent3 2 2 2 7 6" xfId="30528"/>
    <cellStyle name="20% - Accent3 2 2 2 8" xfId="1872"/>
    <cellStyle name="20% - Accent3 2 2 2 8 2" xfId="4759"/>
    <cellStyle name="20% - Accent3 2 2 2 8 2 2" xfId="10800"/>
    <cellStyle name="20% - Accent3 2 2 2 8 2 2 2" xfId="27847"/>
    <cellStyle name="20% - Accent3 2 2 2 8 2 2 2 2" xfId="56708"/>
    <cellStyle name="20% - Accent3 2 2 2 8 2 2 3" xfId="39661"/>
    <cellStyle name="20% - Accent3 2 2 2 8 2 3" xfId="21869"/>
    <cellStyle name="20% - Accent3 2 2 2 8 2 3 2" xfId="50730"/>
    <cellStyle name="20% - Accent3 2 2 2 8 2 4" xfId="33620"/>
    <cellStyle name="20% - Accent3 2 2 2 8 3" xfId="7914"/>
    <cellStyle name="20% - Accent3 2 2 2 8 3 2" xfId="24961"/>
    <cellStyle name="20% - Accent3 2 2 2 8 3 2 2" xfId="53822"/>
    <cellStyle name="20% - Accent3 2 2 2 8 3 3" xfId="36775"/>
    <cellStyle name="20% - Accent3 2 2 2 8 4" xfId="12653"/>
    <cellStyle name="20% - Accent3 2 2 2 8 4 2" xfId="19189"/>
    <cellStyle name="20% - Accent3 2 2 2 8 4 2 2" xfId="48050"/>
    <cellStyle name="20% - Accent3 2 2 2 8 4 3" xfId="41514"/>
    <cellStyle name="20% - Accent3 2 2 2 8 5" xfId="16509"/>
    <cellStyle name="20% - Accent3 2 2 2 8 5 2" xfId="45370"/>
    <cellStyle name="20% - Accent3 2 2 2 8 6" xfId="30734"/>
    <cellStyle name="20% - Accent3 2 2 2 9" xfId="2078"/>
    <cellStyle name="20% - Accent3 2 2 2 9 2" xfId="4965"/>
    <cellStyle name="20% - Accent3 2 2 2 9 2 2" xfId="11006"/>
    <cellStyle name="20% - Accent3 2 2 2 9 2 2 2" xfId="28053"/>
    <cellStyle name="20% - Accent3 2 2 2 9 2 2 2 2" xfId="56914"/>
    <cellStyle name="20% - Accent3 2 2 2 9 2 2 3" xfId="39867"/>
    <cellStyle name="20% - Accent3 2 2 2 9 2 3" xfId="22075"/>
    <cellStyle name="20% - Accent3 2 2 2 9 2 3 2" xfId="50936"/>
    <cellStyle name="20% - Accent3 2 2 2 9 2 4" xfId="33826"/>
    <cellStyle name="20% - Accent3 2 2 2 9 3" xfId="8120"/>
    <cellStyle name="20% - Accent3 2 2 2 9 3 2" xfId="25167"/>
    <cellStyle name="20% - Accent3 2 2 2 9 3 2 2" xfId="54028"/>
    <cellStyle name="20% - Accent3 2 2 2 9 3 3" xfId="36981"/>
    <cellStyle name="20% - Accent3 2 2 2 9 4" xfId="12519"/>
    <cellStyle name="20% - Accent3 2 2 2 9 4 2" xfId="19395"/>
    <cellStyle name="20% - Accent3 2 2 2 9 4 2 2" xfId="48256"/>
    <cellStyle name="20% - Accent3 2 2 2 9 4 3" xfId="41380"/>
    <cellStyle name="20% - Accent3 2 2 2 9 5" xfId="16715"/>
    <cellStyle name="20% - Accent3 2 2 2 9 5 2" xfId="45576"/>
    <cellStyle name="20% - Accent3 2 2 2 9 6" xfId="30940"/>
    <cellStyle name="20% - Accent3 2 2 20" xfId="28983"/>
    <cellStyle name="20% - Accent3 2 2 3" xfId="224"/>
    <cellStyle name="20% - Accent3 2 2 3 2" xfId="636"/>
    <cellStyle name="20% - Accent3 2 2 3 2 2" xfId="3523"/>
    <cellStyle name="20% - Accent3 2 2 3 2 2 2" xfId="9564"/>
    <cellStyle name="20% - Accent3 2 2 3 2 2 2 2" xfId="26611"/>
    <cellStyle name="20% - Accent3 2 2 3 2 2 2 2 2" xfId="55472"/>
    <cellStyle name="20% - Accent3 2 2 3 2 2 2 3" xfId="38425"/>
    <cellStyle name="20% - Accent3 2 2 3 2 2 3" xfId="20633"/>
    <cellStyle name="20% - Accent3 2 2 3 2 2 3 2" xfId="49494"/>
    <cellStyle name="20% - Accent3 2 2 3 2 2 4" xfId="32384"/>
    <cellStyle name="20% - Accent3 2 2 3 2 3" xfId="6678"/>
    <cellStyle name="20% - Accent3 2 2 3 2 3 2" xfId="23725"/>
    <cellStyle name="20% - Accent3 2 2 3 2 3 2 2" xfId="52586"/>
    <cellStyle name="20% - Accent3 2 2 3 2 3 3" xfId="35539"/>
    <cellStyle name="20% - Accent3 2 2 3 2 4" xfId="12102"/>
    <cellStyle name="20% - Accent3 2 2 3 2 4 2" xfId="17953"/>
    <cellStyle name="20% - Accent3 2 2 3 2 4 2 2" xfId="46814"/>
    <cellStyle name="20% - Accent3 2 2 3 2 4 3" xfId="40963"/>
    <cellStyle name="20% - Accent3 2 2 3 2 5" xfId="15273"/>
    <cellStyle name="20% - Accent3 2 2 3 2 5 2" xfId="44134"/>
    <cellStyle name="20% - Accent3 2 2 3 2 6" xfId="29498"/>
    <cellStyle name="20% - Accent3 2 2 3 3" xfId="2181"/>
    <cellStyle name="20% - Accent3 2 2 3 3 2" xfId="5068"/>
    <cellStyle name="20% - Accent3 2 2 3 3 2 2" xfId="11109"/>
    <cellStyle name="20% - Accent3 2 2 3 3 2 2 2" xfId="28156"/>
    <cellStyle name="20% - Accent3 2 2 3 3 2 2 2 2" xfId="57017"/>
    <cellStyle name="20% - Accent3 2 2 3 3 2 2 3" xfId="39970"/>
    <cellStyle name="20% - Accent3 2 2 3 3 2 3" xfId="22178"/>
    <cellStyle name="20% - Accent3 2 2 3 3 2 3 2" xfId="51039"/>
    <cellStyle name="20% - Accent3 2 2 3 3 2 4" xfId="33929"/>
    <cellStyle name="20% - Accent3 2 2 3 3 3" xfId="8223"/>
    <cellStyle name="20% - Accent3 2 2 3 3 3 2" xfId="25270"/>
    <cellStyle name="20% - Accent3 2 2 3 3 3 2 2" xfId="54131"/>
    <cellStyle name="20% - Accent3 2 2 3 3 3 3" xfId="37084"/>
    <cellStyle name="20% - Accent3 2 2 3 3 4" xfId="13375"/>
    <cellStyle name="20% - Accent3 2 2 3 3 4 2" xfId="19498"/>
    <cellStyle name="20% - Accent3 2 2 3 3 4 2 2" xfId="48359"/>
    <cellStyle name="20% - Accent3 2 2 3 3 4 3" xfId="42236"/>
    <cellStyle name="20% - Accent3 2 2 3 3 5" xfId="16818"/>
    <cellStyle name="20% - Accent3 2 2 3 3 5 2" xfId="45679"/>
    <cellStyle name="20% - Accent3 2 2 3 3 6" xfId="31043"/>
    <cellStyle name="20% - Accent3 2 2 3 4" xfId="3111"/>
    <cellStyle name="20% - Accent3 2 2 3 4 2" xfId="9152"/>
    <cellStyle name="20% - Accent3 2 2 3 4 2 2" xfId="26199"/>
    <cellStyle name="20% - Accent3 2 2 3 4 2 2 2" xfId="55060"/>
    <cellStyle name="20% - Accent3 2 2 3 4 2 3" xfId="38013"/>
    <cellStyle name="20% - Accent3 2 2 3 4 3" xfId="20221"/>
    <cellStyle name="20% - Accent3 2 2 3 4 3 2" xfId="49082"/>
    <cellStyle name="20% - Accent3 2 2 3 4 4" xfId="31972"/>
    <cellStyle name="20% - Accent3 2 2 3 5" xfId="6266"/>
    <cellStyle name="20% - Accent3 2 2 3 5 2" xfId="23313"/>
    <cellStyle name="20% - Accent3 2 2 3 5 2 2" xfId="52174"/>
    <cellStyle name="20% - Accent3 2 2 3 5 3" xfId="35127"/>
    <cellStyle name="20% - Accent3 2 2 3 6" xfId="13073"/>
    <cellStyle name="20% - Accent3 2 2 3 6 2" xfId="17644"/>
    <cellStyle name="20% - Accent3 2 2 3 6 2 2" xfId="46505"/>
    <cellStyle name="20% - Accent3 2 2 3 6 3" xfId="41934"/>
    <cellStyle name="20% - Accent3 2 2 3 7" xfId="14861"/>
    <cellStyle name="20% - Accent3 2 2 3 7 2" xfId="43722"/>
    <cellStyle name="20% - Accent3 2 2 3 8" xfId="29086"/>
    <cellStyle name="20% - Accent3 2 2 4" xfId="430"/>
    <cellStyle name="20% - Accent3 2 2 4 2" xfId="3317"/>
    <cellStyle name="20% - Accent3 2 2 4 2 2" xfId="9358"/>
    <cellStyle name="20% - Accent3 2 2 4 2 2 2" xfId="26405"/>
    <cellStyle name="20% - Accent3 2 2 4 2 2 2 2" xfId="55266"/>
    <cellStyle name="20% - Accent3 2 2 4 2 2 3" xfId="38219"/>
    <cellStyle name="20% - Accent3 2 2 4 2 3" xfId="20427"/>
    <cellStyle name="20% - Accent3 2 2 4 2 3 2" xfId="49288"/>
    <cellStyle name="20% - Accent3 2 2 4 2 4" xfId="32178"/>
    <cellStyle name="20% - Accent3 2 2 4 3" xfId="6472"/>
    <cellStyle name="20% - Accent3 2 2 4 3 2" xfId="23519"/>
    <cellStyle name="20% - Accent3 2 2 4 3 2 2" xfId="52380"/>
    <cellStyle name="20% - Accent3 2 2 4 3 3" xfId="35333"/>
    <cellStyle name="20% - Accent3 2 2 4 4" xfId="14208"/>
    <cellStyle name="20% - Accent3 2 2 4 4 2" xfId="17747"/>
    <cellStyle name="20% - Accent3 2 2 4 4 2 2" xfId="46608"/>
    <cellStyle name="20% - Accent3 2 2 4 4 3" xfId="43069"/>
    <cellStyle name="20% - Accent3 2 2 4 5" xfId="15067"/>
    <cellStyle name="20% - Accent3 2 2 4 5 2" xfId="43928"/>
    <cellStyle name="20% - Accent3 2 2 4 6" xfId="29292"/>
    <cellStyle name="20% - Accent3 2 2 5" xfId="739"/>
    <cellStyle name="20% - Accent3 2 2 5 2" xfId="3626"/>
    <cellStyle name="20% - Accent3 2 2 5 2 2" xfId="9667"/>
    <cellStyle name="20% - Accent3 2 2 5 2 2 2" xfId="26714"/>
    <cellStyle name="20% - Accent3 2 2 5 2 2 2 2" xfId="55575"/>
    <cellStyle name="20% - Accent3 2 2 5 2 2 3" xfId="38528"/>
    <cellStyle name="20% - Accent3 2 2 5 2 3" xfId="20736"/>
    <cellStyle name="20% - Accent3 2 2 5 2 3 2" xfId="49597"/>
    <cellStyle name="20% - Accent3 2 2 5 2 4" xfId="32487"/>
    <cellStyle name="20% - Accent3 2 2 5 3" xfId="6781"/>
    <cellStyle name="20% - Accent3 2 2 5 3 2" xfId="23828"/>
    <cellStyle name="20% - Accent3 2 2 5 3 2 2" xfId="52689"/>
    <cellStyle name="20% - Accent3 2 2 5 3 3" xfId="35642"/>
    <cellStyle name="20% - Accent3 2 2 5 4" xfId="13430"/>
    <cellStyle name="20% - Accent3 2 2 5 4 2" xfId="18056"/>
    <cellStyle name="20% - Accent3 2 2 5 4 2 2" xfId="46917"/>
    <cellStyle name="20% - Accent3 2 2 5 4 3" xfId="42291"/>
    <cellStyle name="20% - Accent3 2 2 5 5" xfId="15376"/>
    <cellStyle name="20% - Accent3 2 2 5 5 2" xfId="44237"/>
    <cellStyle name="20% - Accent3 2 2 5 6" xfId="29601"/>
    <cellStyle name="20% - Accent3 2 2 6" xfId="945"/>
    <cellStyle name="20% - Accent3 2 2 6 2" xfId="3832"/>
    <cellStyle name="20% - Accent3 2 2 6 2 2" xfId="9873"/>
    <cellStyle name="20% - Accent3 2 2 6 2 2 2" xfId="26920"/>
    <cellStyle name="20% - Accent3 2 2 6 2 2 2 2" xfId="55781"/>
    <cellStyle name="20% - Accent3 2 2 6 2 2 3" xfId="38734"/>
    <cellStyle name="20% - Accent3 2 2 6 2 3" xfId="20942"/>
    <cellStyle name="20% - Accent3 2 2 6 2 3 2" xfId="49803"/>
    <cellStyle name="20% - Accent3 2 2 6 2 4" xfId="32693"/>
    <cellStyle name="20% - Accent3 2 2 6 3" xfId="6987"/>
    <cellStyle name="20% - Accent3 2 2 6 3 2" xfId="24034"/>
    <cellStyle name="20% - Accent3 2 2 6 3 2 2" xfId="52895"/>
    <cellStyle name="20% - Accent3 2 2 6 3 3" xfId="35848"/>
    <cellStyle name="20% - Accent3 2 2 6 4" xfId="6097"/>
    <cellStyle name="20% - Accent3 2 2 6 4 2" xfId="18262"/>
    <cellStyle name="20% - Accent3 2 2 6 4 2 2" xfId="47123"/>
    <cellStyle name="20% - Accent3 2 2 6 4 3" xfId="34958"/>
    <cellStyle name="20% - Accent3 2 2 6 5" xfId="15582"/>
    <cellStyle name="20% - Accent3 2 2 6 5 2" xfId="44443"/>
    <cellStyle name="20% - Accent3 2 2 6 6" xfId="29807"/>
    <cellStyle name="20% - Accent3 2 2 7" xfId="1151"/>
    <cellStyle name="20% - Accent3 2 2 7 2" xfId="4038"/>
    <cellStyle name="20% - Accent3 2 2 7 2 2" xfId="10079"/>
    <cellStyle name="20% - Accent3 2 2 7 2 2 2" xfId="27126"/>
    <cellStyle name="20% - Accent3 2 2 7 2 2 2 2" xfId="55987"/>
    <cellStyle name="20% - Accent3 2 2 7 2 2 3" xfId="38940"/>
    <cellStyle name="20% - Accent3 2 2 7 2 3" xfId="21148"/>
    <cellStyle name="20% - Accent3 2 2 7 2 3 2" xfId="50009"/>
    <cellStyle name="20% - Accent3 2 2 7 2 4" xfId="32899"/>
    <cellStyle name="20% - Accent3 2 2 7 3" xfId="7193"/>
    <cellStyle name="20% - Accent3 2 2 7 3 2" xfId="24240"/>
    <cellStyle name="20% - Accent3 2 2 7 3 2 2" xfId="53101"/>
    <cellStyle name="20% - Accent3 2 2 7 3 3" xfId="36054"/>
    <cellStyle name="20% - Accent3 2 2 7 4" xfId="13517"/>
    <cellStyle name="20% - Accent3 2 2 7 4 2" xfId="18468"/>
    <cellStyle name="20% - Accent3 2 2 7 4 2 2" xfId="47329"/>
    <cellStyle name="20% - Accent3 2 2 7 4 3" xfId="42378"/>
    <cellStyle name="20% - Accent3 2 2 7 5" xfId="15788"/>
    <cellStyle name="20% - Accent3 2 2 7 5 2" xfId="44649"/>
    <cellStyle name="20% - Accent3 2 2 7 6" xfId="30013"/>
    <cellStyle name="20% - Accent3 2 2 8" xfId="1357"/>
    <cellStyle name="20% - Accent3 2 2 8 2" xfId="4244"/>
    <cellStyle name="20% - Accent3 2 2 8 2 2" xfId="10285"/>
    <cellStyle name="20% - Accent3 2 2 8 2 2 2" xfId="27332"/>
    <cellStyle name="20% - Accent3 2 2 8 2 2 2 2" xfId="56193"/>
    <cellStyle name="20% - Accent3 2 2 8 2 2 3" xfId="39146"/>
    <cellStyle name="20% - Accent3 2 2 8 2 3" xfId="21354"/>
    <cellStyle name="20% - Accent3 2 2 8 2 3 2" xfId="50215"/>
    <cellStyle name="20% - Accent3 2 2 8 2 4" xfId="33105"/>
    <cellStyle name="20% - Accent3 2 2 8 3" xfId="7399"/>
    <cellStyle name="20% - Accent3 2 2 8 3 2" xfId="24446"/>
    <cellStyle name="20% - Accent3 2 2 8 3 2 2" xfId="53307"/>
    <cellStyle name="20% - Accent3 2 2 8 3 3" xfId="36260"/>
    <cellStyle name="20% - Accent3 2 2 8 4" xfId="13108"/>
    <cellStyle name="20% - Accent3 2 2 8 4 2" xfId="18674"/>
    <cellStyle name="20% - Accent3 2 2 8 4 2 2" xfId="47535"/>
    <cellStyle name="20% - Accent3 2 2 8 4 3" xfId="41969"/>
    <cellStyle name="20% - Accent3 2 2 8 5" xfId="15994"/>
    <cellStyle name="20% - Accent3 2 2 8 5 2" xfId="44855"/>
    <cellStyle name="20% - Accent3 2 2 8 6" xfId="30219"/>
    <cellStyle name="20% - Accent3 2 2 9" xfId="1563"/>
    <cellStyle name="20% - Accent3 2 2 9 2" xfId="4450"/>
    <cellStyle name="20% - Accent3 2 2 9 2 2" xfId="10491"/>
    <cellStyle name="20% - Accent3 2 2 9 2 2 2" xfId="27538"/>
    <cellStyle name="20% - Accent3 2 2 9 2 2 2 2" xfId="56399"/>
    <cellStyle name="20% - Accent3 2 2 9 2 2 3" xfId="39352"/>
    <cellStyle name="20% - Accent3 2 2 9 2 3" xfId="21560"/>
    <cellStyle name="20% - Accent3 2 2 9 2 3 2" xfId="50421"/>
    <cellStyle name="20% - Accent3 2 2 9 2 4" xfId="33311"/>
    <cellStyle name="20% - Accent3 2 2 9 3" xfId="7605"/>
    <cellStyle name="20% - Accent3 2 2 9 3 2" xfId="24652"/>
    <cellStyle name="20% - Accent3 2 2 9 3 2 2" xfId="53513"/>
    <cellStyle name="20% - Accent3 2 2 9 3 3" xfId="36466"/>
    <cellStyle name="20% - Accent3 2 2 9 4" xfId="6058"/>
    <cellStyle name="20% - Accent3 2 2 9 4 2" xfId="18880"/>
    <cellStyle name="20% - Accent3 2 2 9 4 2 2" xfId="47741"/>
    <cellStyle name="20% - Accent3 2 2 9 4 3" xfId="34919"/>
    <cellStyle name="20% - Accent3 2 2 9 5" xfId="16200"/>
    <cellStyle name="20% - Accent3 2 2 9 5 2" xfId="45061"/>
    <cellStyle name="20% - Accent3 2 2 9 6" xfId="30425"/>
    <cellStyle name="20% - Accent3 2 20" xfId="6137"/>
    <cellStyle name="20% - Accent3 2 20 2" xfId="23184"/>
    <cellStyle name="20% - Accent3 2 20 2 2" xfId="52045"/>
    <cellStyle name="20% - Accent3 2 20 3" xfId="34998"/>
    <cellStyle name="20% - Accent3 2 21" xfId="14526"/>
    <cellStyle name="20% - Accent3 2 21 2" xfId="43387"/>
    <cellStyle name="20% - Accent3 2 22" xfId="28957"/>
    <cellStyle name="20% - Accent3 2 3" xfId="147"/>
    <cellStyle name="20% - Accent3 2 3 10" xfId="1795"/>
    <cellStyle name="20% - Accent3 2 3 10 2" xfId="4682"/>
    <cellStyle name="20% - Accent3 2 3 10 2 2" xfId="10723"/>
    <cellStyle name="20% - Accent3 2 3 10 2 2 2" xfId="27770"/>
    <cellStyle name="20% - Accent3 2 3 10 2 2 2 2" xfId="56631"/>
    <cellStyle name="20% - Accent3 2 3 10 2 2 3" xfId="39584"/>
    <cellStyle name="20% - Accent3 2 3 10 2 3" xfId="21792"/>
    <cellStyle name="20% - Accent3 2 3 10 2 3 2" xfId="50653"/>
    <cellStyle name="20% - Accent3 2 3 10 2 4" xfId="33543"/>
    <cellStyle name="20% - Accent3 2 3 10 3" xfId="7837"/>
    <cellStyle name="20% - Accent3 2 3 10 3 2" xfId="24884"/>
    <cellStyle name="20% - Accent3 2 3 10 3 2 2" xfId="53745"/>
    <cellStyle name="20% - Accent3 2 3 10 3 3" xfId="36698"/>
    <cellStyle name="20% - Accent3 2 3 10 4" xfId="12631"/>
    <cellStyle name="20% - Accent3 2 3 10 4 2" xfId="19112"/>
    <cellStyle name="20% - Accent3 2 3 10 4 2 2" xfId="47973"/>
    <cellStyle name="20% - Accent3 2 3 10 4 3" xfId="41492"/>
    <cellStyle name="20% - Accent3 2 3 10 5" xfId="16432"/>
    <cellStyle name="20% - Accent3 2 3 10 5 2" xfId="45293"/>
    <cellStyle name="20% - Accent3 2 3 10 6" xfId="30657"/>
    <cellStyle name="20% - Accent3 2 3 11" xfId="2001"/>
    <cellStyle name="20% - Accent3 2 3 11 2" xfId="4888"/>
    <cellStyle name="20% - Accent3 2 3 11 2 2" xfId="10929"/>
    <cellStyle name="20% - Accent3 2 3 11 2 2 2" xfId="27976"/>
    <cellStyle name="20% - Accent3 2 3 11 2 2 2 2" xfId="56837"/>
    <cellStyle name="20% - Accent3 2 3 11 2 2 3" xfId="39790"/>
    <cellStyle name="20% - Accent3 2 3 11 2 3" xfId="21998"/>
    <cellStyle name="20% - Accent3 2 3 11 2 3 2" xfId="50859"/>
    <cellStyle name="20% - Accent3 2 3 11 2 4" xfId="33749"/>
    <cellStyle name="20% - Accent3 2 3 11 3" xfId="8043"/>
    <cellStyle name="20% - Accent3 2 3 11 3 2" xfId="25090"/>
    <cellStyle name="20% - Accent3 2 3 11 3 2 2" xfId="53951"/>
    <cellStyle name="20% - Accent3 2 3 11 3 3" xfId="36904"/>
    <cellStyle name="20% - Accent3 2 3 11 4" xfId="14263"/>
    <cellStyle name="20% - Accent3 2 3 11 4 2" xfId="19318"/>
    <cellStyle name="20% - Accent3 2 3 11 4 2 2" xfId="48179"/>
    <cellStyle name="20% - Accent3 2 3 11 4 3" xfId="43124"/>
    <cellStyle name="20% - Accent3 2 3 11 5" xfId="16638"/>
    <cellStyle name="20% - Accent3 2 3 11 5 2" xfId="45499"/>
    <cellStyle name="20% - Accent3 2 3 11 6" xfId="30863"/>
    <cellStyle name="20% - Accent3 2 3 12" xfId="2413"/>
    <cellStyle name="20% - Accent3 2 3 12 2" xfId="5300"/>
    <cellStyle name="20% - Accent3 2 3 12 2 2" xfId="11341"/>
    <cellStyle name="20% - Accent3 2 3 12 2 2 2" xfId="28388"/>
    <cellStyle name="20% - Accent3 2 3 12 2 2 2 2" xfId="57249"/>
    <cellStyle name="20% - Accent3 2 3 12 2 2 3" xfId="40202"/>
    <cellStyle name="20% - Accent3 2 3 12 2 3" xfId="22410"/>
    <cellStyle name="20% - Accent3 2 3 12 2 3 2" xfId="51271"/>
    <cellStyle name="20% - Accent3 2 3 12 2 4" xfId="34161"/>
    <cellStyle name="20% - Accent3 2 3 12 3" xfId="8455"/>
    <cellStyle name="20% - Accent3 2 3 12 3 2" xfId="25502"/>
    <cellStyle name="20% - Accent3 2 3 12 3 2 2" xfId="54363"/>
    <cellStyle name="20% - Accent3 2 3 12 3 3" xfId="37316"/>
    <cellStyle name="20% - Accent3 2 3 12 4" xfId="14023"/>
    <cellStyle name="20% - Accent3 2 3 12 4 2" xfId="19730"/>
    <cellStyle name="20% - Accent3 2 3 12 4 2 2" xfId="48591"/>
    <cellStyle name="20% - Accent3 2 3 12 4 3" xfId="42884"/>
    <cellStyle name="20% - Accent3 2 3 12 5" xfId="17050"/>
    <cellStyle name="20% - Accent3 2 3 12 5 2" xfId="45911"/>
    <cellStyle name="20% - Accent3 2 3 12 6" xfId="31275"/>
    <cellStyle name="20% - Accent3 2 3 13" xfId="2622"/>
    <cellStyle name="20% - Accent3 2 3 13 2" xfId="5508"/>
    <cellStyle name="20% - Accent3 2 3 13 2 2" xfId="11549"/>
    <cellStyle name="20% - Accent3 2 3 13 2 2 2" xfId="28596"/>
    <cellStyle name="20% - Accent3 2 3 13 2 2 2 2" xfId="57457"/>
    <cellStyle name="20% - Accent3 2 3 13 2 2 3" xfId="40410"/>
    <cellStyle name="20% - Accent3 2 3 13 2 3" xfId="22618"/>
    <cellStyle name="20% - Accent3 2 3 13 2 3 2" xfId="51479"/>
    <cellStyle name="20% - Accent3 2 3 13 2 4" xfId="34369"/>
    <cellStyle name="20% - Accent3 2 3 13 3" xfId="8663"/>
    <cellStyle name="20% - Accent3 2 3 13 3 2" xfId="25710"/>
    <cellStyle name="20% - Accent3 2 3 13 3 2 2" xfId="54571"/>
    <cellStyle name="20% - Accent3 2 3 13 3 3" xfId="37524"/>
    <cellStyle name="20% - Accent3 2 3 13 4" xfId="12147"/>
    <cellStyle name="20% - Accent3 2 3 13 4 2" xfId="19938"/>
    <cellStyle name="20% - Accent3 2 3 13 4 2 2" xfId="48799"/>
    <cellStyle name="20% - Accent3 2 3 13 4 3" xfId="41008"/>
    <cellStyle name="20% - Accent3 2 3 13 5" xfId="17258"/>
    <cellStyle name="20% - Accent3 2 3 13 5 2" xfId="46119"/>
    <cellStyle name="20% - Accent3 2 3 13 6" xfId="31483"/>
    <cellStyle name="20% - Accent3 2 3 14" xfId="3034"/>
    <cellStyle name="20% - Accent3 2 3 14 2" xfId="9075"/>
    <cellStyle name="20% - Accent3 2 3 14 2 2" xfId="26122"/>
    <cellStyle name="20% - Accent3 2 3 14 2 2 2" xfId="54983"/>
    <cellStyle name="20% - Accent3 2 3 14 2 3" xfId="37936"/>
    <cellStyle name="20% - Accent3 2 3 14 3" xfId="12783"/>
    <cellStyle name="20% - Accent3 2 3 14 3 2" xfId="20144"/>
    <cellStyle name="20% - Accent3 2 3 14 3 2 2" xfId="49005"/>
    <cellStyle name="20% - Accent3 2 3 14 3 3" xfId="41644"/>
    <cellStyle name="20% - Accent3 2 3 14 4" xfId="14784"/>
    <cellStyle name="20% - Accent3 2 3 14 4 2" xfId="43645"/>
    <cellStyle name="20% - Accent3 2 3 14 5" xfId="31895"/>
    <cellStyle name="20% - Accent3 2 3 15" xfId="2828"/>
    <cellStyle name="20% - Accent3 2 3 15 2" xfId="8869"/>
    <cellStyle name="20% - Accent3 2 3 15 2 2" xfId="25916"/>
    <cellStyle name="20% - Accent3 2 3 15 2 2 2" xfId="54777"/>
    <cellStyle name="20% - Accent3 2 3 15 2 3" xfId="37730"/>
    <cellStyle name="20% - Accent3 2 3 15 3" xfId="17464"/>
    <cellStyle name="20% - Accent3 2 3 15 3 2" xfId="46325"/>
    <cellStyle name="20% - Accent3 2 3 15 4" xfId="31689"/>
    <cellStyle name="20% - Accent3 2 3 16" xfId="5714"/>
    <cellStyle name="20% - Accent3 2 3 16 2" xfId="11755"/>
    <cellStyle name="20% - Accent3 2 3 16 2 2" xfId="28802"/>
    <cellStyle name="20% - Accent3 2 3 16 2 2 2" xfId="57663"/>
    <cellStyle name="20% - Accent3 2 3 16 2 3" xfId="40616"/>
    <cellStyle name="20% - Accent3 2 3 16 3" xfId="22824"/>
    <cellStyle name="20% - Accent3 2 3 16 3 2" xfId="51685"/>
    <cellStyle name="20% - Accent3 2 3 16 4" xfId="34575"/>
    <cellStyle name="20% - Accent3 2 3 17" xfId="5931"/>
    <cellStyle name="20% - Accent3 2 3 17 2" xfId="23030"/>
    <cellStyle name="20% - Accent3 2 3 17 2 2" xfId="51891"/>
    <cellStyle name="20% - Accent3 2 3 17 3" xfId="34792"/>
    <cellStyle name="20% - Accent3 2 3 18" xfId="6189"/>
    <cellStyle name="20% - Accent3 2 3 18 2" xfId="23236"/>
    <cellStyle name="20% - Accent3 2 3 18 2 2" xfId="52097"/>
    <cellStyle name="20% - Accent3 2 3 18 3" xfId="35050"/>
    <cellStyle name="20% - Accent3 2 3 19" xfId="14578"/>
    <cellStyle name="20% - Accent3 2 3 19 2" xfId="43439"/>
    <cellStyle name="20% - Accent3 2 3 2" xfId="353"/>
    <cellStyle name="20% - Accent3 2 3 2 10" xfId="2516"/>
    <cellStyle name="20% - Accent3 2 3 2 10 2" xfId="5403"/>
    <cellStyle name="20% - Accent3 2 3 2 10 2 2" xfId="11444"/>
    <cellStyle name="20% - Accent3 2 3 2 10 2 2 2" xfId="28491"/>
    <cellStyle name="20% - Accent3 2 3 2 10 2 2 2 2" xfId="57352"/>
    <cellStyle name="20% - Accent3 2 3 2 10 2 2 3" xfId="40305"/>
    <cellStyle name="20% - Accent3 2 3 2 10 2 3" xfId="22513"/>
    <cellStyle name="20% - Accent3 2 3 2 10 2 3 2" xfId="51374"/>
    <cellStyle name="20% - Accent3 2 3 2 10 2 4" xfId="34264"/>
    <cellStyle name="20% - Accent3 2 3 2 10 3" xfId="8558"/>
    <cellStyle name="20% - Accent3 2 3 2 10 3 2" xfId="25605"/>
    <cellStyle name="20% - Accent3 2 3 2 10 3 2 2" xfId="54466"/>
    <cellStyle name="20% - Accent3 2 3 2 10 3 3" xfId="37419"/>
    <cellStyle name="20% - Accent3 2 3 2 10 4" xfId="13207"/>
    <cellStyle name="20% - Accent3 2 3 2 10 4 2" xfId="19833"/>
    <cellStyle name="20% - Accent3 2 3 2 10 4 2 2" xfId="48694"/>
    <cellStyle name="20% - Accent3 2 3 2 10 4 3" xfId="42068"/>
    <cellStyle name="20% - Accent3 2 3 2 10 5" xfId="17153"/>
    <cellStyle name="20% - Accent3 2 3 2 10 5 2" xfId="46014"/>
    <cellStyle name="20% - Accent3 2 3 2 10 6" xfId="31378"/>
    <cellStyle name="20% - Accent3 2 3 2 11" xfId="2725"/>
    <cellStyle name="20% - Accent3 2 3 2 11 2" xfId="5611"/>
    <cellStyle name="20% - Accent3 2 3 2 11 2 2" xfId="11652"/>
    <cellStyle name="20% - Accent3 2 3 2 11 2 2 2" xfId="28699"/>
    <cellStyle name="20% - Accent3 2 3 2 11 2 2 2 2" xfId="57560"/>
    <cellStyle name="20% - Accent3 2 3 2 11 2 2 3" xfId="40513"/>
    <cellStyle name="20% - Accent3 2 3 2 11 2 3" xfId="22721"/>
    <cellStyle name="20% - Accent3 2 3 2 11 2 3 2" xfId="51582"/>
    <cellStyle name="20% - Accent3 2 3 2 11 2 4" xfId="34472"/>
    <cellStyle name="20% - Accent3 2 3 2 11 3" xfId="8766"/>
    <cellStyle name="20% - Accent3 2 3 2 11 3 2" xfId="25813"/>
    <cellStyle name="20% - Accent3 2 3 2 11 3 2 2" xfId="54674"/>
    <cellStyle name="20% - Accent3 2 3 2 11 3 3" xfId="37627"/>
    <cellStyle name="20% - Accent3 2 3 2 11 4" xfId="13621"/>
    <cellStyle name="20% - Accent3 2 3 2 11 4 2" xfId="20041"/>
    <cellStyle name="20% - Accent3 2 3 2 11 4 2 2" xfId="48902"/>
    <cellStyle name="20% - Accent3 2 3 2 11 4 3" xfId="42482"/>
    <cellStyle name="20% - Accent3 2 3 2 11 5" xfId="17361"/>
    <cellStyle name="20% - Accent3 2 3 2 11 5 2" xfId="46222"/>
    <cellStyle name="20% - Accent3 2 3 2 11 6" xfId="31586"/>
    <cellStyle name="20% - Accent3 2 3 2 12" xfId="3240"/>
    <cellStyle name="20% - Accent3 2 3 2 12 2" xfId="9281"/>
    <cellStyle name="20% - Accent3 2 3 2 12 2 2" xfId="26328"/>
    <cellStyle name="20% - Accent3 2 3 2 12 2 2 2" xfId="55189"/>
    <cellStyle name="20% - Accent3 2 3 2 12 2 3" xfId="38142"/>
    <cellStyle name="20% - Accent3 2 3 2 12 3" xfId="12853"/>
    <cellStyle name="20% - Accent3 2 3 2 12 3 2" xfId="20350"/>
    <cellStyle name="20% - Accent3 2 3 2 12 3 2 2" xfId="49211"/>
    <cellStyle name="20% - Accent3 2 3 2 12 3 3" xfId="41714"/>
    <cellStyle name="20% - Accent3 2 3 2 12 4" xfId="14990"/>
    <cellStyle name="20% - Accent3 2 3 2 12 4 2" xfId="43851"/>
    <cellStyle name="20% - Accent3 2 3 2 12 5" xfId="32101"/>
    <cellStyle name="20% - Accent3 2 3 2 13" xfId="2931"/>
    <cellStyle name="20% - Accent3 2 3 2 13 2" xfId="8972"/>
    <cellStyle name="20% - Accent3 2 3 2 13 2 2" xfId="26019"/>
    <cellStyle name="20% - Accent3 2 3 2 13 2 2 2" xfId="54880"/>
    <cellStyle name="20% - Accent3 2 3 2 13 2 3" xfId="37833"/>
    <cellStyle name="20% - Accent3 2 3 2 13 3" xfId="17567"/>
    <cellStyle name="20% - Accent3 2 3 2 13 3 2" xfId="46428"/>
    <cellStyle name="20% - Accent3 2 3 2 13 4" xfId="31792"/>
    <cellStyle name="20% - Accent3 2 3 2 14" xfId="5817"/>
    <cellStyle name="20% - Accent3 2 3 2 14 2" xfId="11858"/>
    <cellStyle name="20% - Accent3 2 3 2 14 2 2" xfId="28905"/>
    <cellStyle name="20% - Accent3 2 3 2 14 2 2 2" xfId="57766"/>
    <cellStyle name="20% - Accent3 2 3 2 14 2 3" xfId="40719"/>
    <cellStyle name="20% - Accent3 2 3 2 14 3" xfId="22927"/>
    <cellStyle name="20% - Accent3 2 3 2 14 3 2" xfId="51788"/>
    <cellStyle name="20% - Accent3 2 3 2 14 4" xfId="34678"/>
    <cellStyle name="20% - Accent3 2 3 2 15" xfId="6034"/>
    <cellStyle name="20% - Accent3 2 3 2 15 2" xfId="23133"/>
    <cellStyle name="20% - Accent3 2 3 2 15 2 2" xfId="51994"/>
    <cellStyle name="20% - Accent3 2 3 2 15 3" xfId="34895"/>
    <cellStyle name="20% - Accent3 2 3 2 16" xfId="6395"/>
    <cellStyle name="20% - Accent3 2 3 2 16 2" xfId="23442"/>
    <cellStyle name="20% - Accent3 2 3 2 16 2 2" xfId="52303"/>
    <cellStyle name="20% - Accent3 2 3 2 16 3" xfId="35256"/>
    <cellStyle name="20% - Accent3 2 3 2 17" xfId="14681"/>
    <cellStyle name="20% - Accent3 2 3 2 17 2" xfId="43542"/>
    <cellStyle name="20% - Accent3 2 3 2 18" xfId="29215"/>
    <cellStyle name="20% - Accent3 2 3 2 2" xfId="559"/>
    <cellStyle name="20% - Accent3 2 3 2 2 2" xfId="2310"/>
    <cellStyle name="20% - Accent3 2 3 2 2 2 2" xfId="5197"/>
    <cellStyle name="20% - Accent3 2 3 2 2 2 2 2" xfId="11238"/>
    <cellStyle name="20% - Accent3 2 3 2 2 2 2 2 2" xfId="28285"/>
    <cellStyle name="20% - Accent3 2 3 2 2 2 2 2 2 2" xfId="57146"/>
    <cellStyle name="20% - Accent3 2 3 2 2 2 2 2 3" xfId="40099"/>
    <cellStyle name="20% - Accent3 2 3 2 2 2 2 3" xfId="22307"/>
    <cellStyle name="20% - Accent3 2 3 2 2 2 2 3 2" xfId="51168"/>
    <cellStyle name="20% - Accent3 2 3 2 2 2 2 4" xfId="34058"/>
    <cellStyle name="20% - Accent3 2 3 2 2 2 3" xfId="8352"/>
    <cellStyle name="20% - Accent3 2 3 2 2 2 3 2" xfId="25399"/>
    <cellStyle name="20% - Accent3 2 3 2 2 2 3 2 2" xfId="54260"/>
    <cellStyle name="20% - Accent3 2 3 2 2 2 3 3" xfId="37213"/>
    <cellStyle name="20% - Accent3 2 3 2 2 2 4" xfId="13696"/>
    <cellStyle name="20% - Accent3 2 3 2 2 2 4 2" xfId="19627"/>
    <cellStyle name="20% - Accent3 2 3 2 2 2 4 2 2" xfId="48488"/>
    <cellStyle name="20% - Accent3 2 3 2 2 2 4 3" xfId="42557"/>
    <cellStyle name="20% - Accent3 2 3 2 2 2 5" xfId="16947"/>
    <cellStyle name="20% - Accent3 2 3 2 2 2 5 2" xfId="45808"/>
    <cellStyle name="20% - Accent3 2 3 2 2 2 6" xfId="31172"/>
    <cellStyle name="20% - Accent3 2 3 2 2 3" xfId="3446"/>
    <cellStyle name="20% - Accent3 2 3 2 2 3 2" xfId="9487"/>
    <cellStyle name="20% - Accent3 2 3 2 2 3 2 2" xfId="26534"/>
    <cellStyle name="20% - Accent3 2 3 2 2 3 2 2 2" xfId="55395"/>
    <cellStyle name="20% - Accent3 2 3 2 2 3 2 3" xfId="38348"/>
    <cellStyle name="20% - Accent3 2 3 2 2 3 3" xfId="20556"/>
    <cellStyle name="20% - Accent3 2 3 2 2 3 3 2" xfId="49417"/>
    <cellStyle name="20% - Accent3 2 3 2 2 3 4" xfId="32307"/>
    <cellStyle name="20% - Accent3 2 3 2 2 4" xfId="6601"/>
    <cellStyle name="20% - Accent3 2 3 2 2 4 2" xfId="23648"/>
    <cellStyle name="20% - Accent3 2 3 2 2 4 2 2" xfId="52509"/>
    <cellStyle name="20% - Accent3 2 3 2 2 4 3" xfId="35462"/>
    <cellStyle name="20% - Accent3 2 3 2 2 5" xfId="12103"/>
    <cellStyle name="20% - Accent3 2 3 2 2 5 2" xfId="17876"/>
    <cellStyle name="20% - Accent3 2 3 2 2 5 2 2" xfId="46737"/>
    <cellStyle name="20% - Accent3 2 3 2 2 5 3" xfId="40964"/>
    <cellStyle name="20% - Accent3 2 3 2 2 6" xfId="15196"/>
    <cellStyle name="20% - Accent3 2 3 2 2 6 2" xfId="44057"/>
    <cellStyle name="20% - Accent3 2 3 2 2 7" xfId="29421"/>
    <cellStyle name="20% - Accent3 2 3 2 3" xfId="868"/>
    <cellStyle name="20% - Accent3 2 3 2 3 2" xfId="3755"/>
    <cellStyle name="20% - Accent3 2 3 2 3 2 2" xfId="9796"/>
    <cellStyle name="20% - Accent3 2 3 2 3 2 2 2" xfId="26843"/>
    <cellStyle name="20% - Accent3 2 3 2 3 2 2 2 2" xfId="55704"/>
    <cellStyle name="20% - Accent3 2 3 2 3 2 2 3" xfId="38657"/>
    <cellStyle name="20% - Accent3 2 3 2 3 2 3" xfId="20865"/>
    <cellStyle name="20% - Accent3 2 3 2 3 2 3 2" xfId="49726"/>
    <cellStyle name="20% - Accent3 2 3 2 3 2 4" xfId="32616"/>
    <cellStyle name="20% - Accent3 2 3 2 3 3" xfId="6910"/>
    <cellStyle name="20% - Accent3 2 3 2 3 3 2" xfId="23957"/>
    <cellStyle name="20% - Accent3 2 3 2 3 3 2 2" xfId="52818"/>
    <cellStyle name="20% - Accent3 2 3 2 3 3 3" xfId="35771"/>
    <cellStyle name="20% - Accent3 2 3 2 3 4" xfId="12342"/>
    <cellStyle name="20% - Accent3 2 3 2 3 4 2" xfId="18185"/>
    <cellStyle name="20% - Accent3 2 3 2 3 4 2 2" xfId="47046"/>
    <cellStyle name="20% - Accent3 2 3 2 3 4 3" xfId="41203"/>
    <cellStyle name="20% - Accent3 2 3 2 3 5" xfId="15505"/>
    <cellStyle name="20% - Accent3 2 3 2 3 5 2" xfId="44366"/>
    <cellStyle name="20% - Accent3 2 3 2 3 6" xfId="29730"/>
    <cellStyle name="20% - Accent3 2 3 2 4" xfId="1074"/>
    <cellStyle name="20% - Accent3 2 3 2 4 2" xfId="3961"/>
    <cellStyle name="20% - Accent3 2 3 2 4 2 2" xfId="10002"/>
    <cellStyle name="20% - Accent3 2 3 2 4 2 2 2" xfId="27049"/>
    <cellStyle name="20% - Accent3 2 3 2 4 2 2 2 2" xfId="55910"/>
    <cellStyle name="20% - Accent3 2 3 2 4 2 2 3" xfId="38863"/>
    <cellStyle name="20% - Accent3 2 3 2 4 2 3" xfId="21071"/>
    <cellStyle name="20% - Accent3 2 3 2 4 2 3 2" xfId="49932"/>
    <cellStyle name="20% - Accent3 2 3 2 4 2 4" xfId="32822"/>
    <cellStyle name="20% - Accent3 2 3 2 4 3" xfId="7116"/>
    <cellStyle name="20% - Accent3 2 3 2 4 3 2" xfId="24163"/>
    <cellStyle name="20% - Accent3 2 3 2 4 3 2 2" xfId="53024"/>
    <cellStyle name="20% - Accent3 2 3 2 4 3 3" xfId="35977"/>
    <cellStyle name="20% - Accent3 2 3 2 4 4" xfId="12599"/>
    <cellStyle name="20% - Accent3 2 3 2 4 4 2" xfId="18391"/>
    <cellStyle name="20% - Accent3 2 3 2 4 4 2 2" xfId="47252"/>
    <cellStyle name="20% - Accent3 2 3 2 4 4 3" xfId="41460"/>
    <cellStyle name="20% - Accent3 2 3 2 4 5" xfId="15711"/>
    <cellStyle name="20% - Accent3 2 3 2 4 5 2" xfId="44572"/>
    <cellStyle name="20% - Accent3 2 3 2 4 6" xfId="29936"/>
    <cellStyle name="20% - Accent3 2 3 2 5" xfId="1280"/>
    <cellStyle name="20% - Accent3 2 3 2 5 2" xfId="4167"/>
    <cellStyle name="20% - Accent3 2 3 2 5 2 2" xfId="10208"/>
    <cellStyle name="20% - Accent3 2 3 2 5 2 2 2" xfId="27255"/>
    <cellStyle name="20% - Accent3 2 3 2 5 2 2 2 2" xfId="56116"/>
    <cellStyle name="20% - Accent3 2 3 2 5 2 2 3" xfId="39069"/>
    <cellStyle name="20% - Accent3 2 3 2 5 2 3" xfId="21277"/>
    <cellStyle name="20% - Accent3 2 3 2 5 2 3 2" xfId="50138"/>
    <cellStyle name="20% - Accent3 2 3 2 5 2 4" xfId="33028"/>
    <cellStyle name="20% - Accent3 2 3 2 5 3" xfId="7322"/>
    <cellStyle name="20% - Accent3 2 3 2 5 3 2" xfId="24369"/>
    <cellStyle name="20% - Accent3 2 3 2 5 3 2 2" xfId="53230"/>
    <cellStyle name="20% - Accent3 2 3 2 5 3 3" xfId="36183"/>
    <cellStyle name="20% - Accent3 2 3 2 5 4" xfId="12067"/>
    <cellStyle name="20% - Accent3 2 3 2 5 4 2" xfId="18597"/>
    <cellStyle name="20% - Accent3 2 3 2 5 4 2 2" xfId="47458"/>
    <cellStyle name="20% - Accent3 2 3 2 5 4 3" xfId="40928"/>
    <cellStyle name="20% - Accent3 2 3 2 5 5" xfId="15917"/>
    <cellStyle name="20% - Accent3 2 3 2 5 5 2" xfId="44778"/>
    <cellStyle name="20% - Accent3 2 3 2 5 6" xfId="30142"/>
    <cellStyle name="20% - Accent3 2 3 2 6" xfId="1486"/>
    <cellStyle name="20% - Accent3 2 3 2 6 2" xfId="4373"/>
    <cellStyle name="20% - Accent3 2 3 2 6 2 2" xfId="10414"/>
    <cellStyle name="20% - Accent3 2 3 2 6 2 2 2" xfId="27461"/>
    <cellStyle name="20% - Accent3 2 3 2 6 2 2 2 2" xfId="56322"/>
    <cellStyle name="20% - Accent3 2 3 2 6 2 2 3" xfId="39275"/>
    <cellStyle name="20% - Accent3 2 3 2 6 2 3" xfId="21483"/>
    <cellStyle name="20% - Accent3 2 3 2 6 2 3 2" xfId="50344"/>
    <cellStyle name="20% - Accent3 2 3 2 6 2 4" xfId="33234"/>
    <cellStyle name="20% - Accent3 2 3 2 6 3" xfId="7528"/>
    <cellStyle name="20% - Accent3 2 3 2 6 3 2" xfId="24575"/>
    <cellStyle name="20% - Accent3 2 3 2 6 3 2 2" xfId="53436"/>
    <cellStyle name="20% - Accent3 2 3 2 6 3 3" xfId="36389"/>
    <cellStyle name="20% - Accent3 2 3 2 6 4" xfId="12487"/>
    <cellStyle name="20% - Accent3 2 3 2 6 4 2" xfId="18803"/>
    <cellStyle name="20% - Accent3 2 3 2 6 4 2 2" xfId="47664"/>
    <cellStyle name="20% - Accent3 2 3 2 6 4 3" xfId="41348"/>
    <cellStyle name="20% - Accent3 2 3 2 6 5" xfId="16123"/>
    <cellStyle name="20% - Accent3 2 3 2 6 5 2" xfId="44984"/>
    <cellStyle name="20% - Accent3 2 3 2 6 6" xfId="30348"/>
    <cellStyle name="20% - Accent3 2 3 2 7" xfId="1692"/>
    <cellStyle name="20% - Accent3 2 3 2 7 2" xfId="4579"/>
    <cellStyle name="20% - Accent3 2 3 2 7 2 2" xfId="10620"/>
    <cellStyle name="20% - Accent3 2 3 2 7 2 2 2" xfId="27667"/>
    <cellStyle name="20% - Accent3 2 3 2 7 2 2 2 2" xfId="56528"/>
    <cellStyle name="20% - Accent3 2 3 2 7 2 2 3" xfId="39481"/>
    <cellStyle name="20% - Accent3 2 3 2 7 2 3" xfId="21689"/>
    <cellStyle name="20% - Accent3 2 3 2 7 2 3 2" xfId="50550"/>
    <cellStyle name="20% - Accent3 2 3 2 7 2 4" xfId="33440"/>
    <cellStyle name="20% - Accent3 2 3 2 7 3" xfId="7734"/>
    <cellStyle name="20% - Accent3 2 3 2 7 3 2" xfId="24781"/>
    <cellStyle name="20% - Accent3 2 3 2 7 3 2 2" xfId="53642"/>
    <cellStyle name="20% - Accent3 2 3 2 7 3 3" xfId="36595"/>
    <cellStyle name="20% - Accent3 2 3 2 7 4" xfId="6099"/>
    <cellStyle name="20% - Accent3 2 3 2 7 4 2" xfId="19009"/>
    <cellStyle name="20% - Accent3 2 3 2 7 4 2 2" xfId="47870"/>
    <cellStyle name="20% - Accent3 2 3 2 7 4 3" xfId="34960"/>
    <cellStyle name="20% - Accent3 2 3 2 7 5" xfId="16329"/>
    <cellStyle name="20% - Accent3 2 3 2 7 5 2" xfId="45190"/>
    <cellStyle name="20% - Accent3 2 3 2 7 6" xfId="30554"/>
    <cellStyle name="20% - Accent3 2 3 2 8" xfId="1898"/>
    <cellStyle name="20% - Accent3 2 3 2 8 2" xfId="4785"/>
    <cellStyle name="20% - Accent3 2 3 2 8 2 2" xfId="10826"/>
    <cellStyle name="20% - Accent3 2 3 2 8 2 2 2" xfId="27873"/>
    <cellStyle name="20% - Accent3 2 3 2 8 2 2 2 2" xfId="56734"/>
    <cellStyle name="20% - Accent3 2 3 2 8 2 2 3" xfId="39687"/>
    <cellStyle name="20% - Accent3 2 3 2 8 2 3" xfId="21895"/>
    <cellStyle name="20% - Accent3 2 3 2 8 2 3 2" xfId="50756"/>
    <cellStyle name="20% - Accent3 2 3 2 8 2 4" xfId="33646"/>
    <cellStyle name="20% - Accent3 2 3 2 8 3" xfId="7940"/>
    <cellStyle name="20% - Accent3 2 3 2 8 3 2" xfId="24987"/>
    <cellStyle name="20% - Accent3 2 3 2 8 3 2 2" xfId="53848"/>
    <cellStyle name="20% - Accent3 2 3 2 8 3 3" xfId="36801"/>
    <cellStyle name="20% - Accent3 2 3 2 8 4" xfId="14285"/>
    <cellStyle name="20% - Accent3 2 3 2 8 4 2" xfId="19215"/>
    <cellStyle name="20% - Accent3 2 3 2 8 4 2 2" xfId="48076"/>
    <cellStyle name="20% - Accent3 2 3 2 8 4 3" xfId="43146"/>
    <cellStyle name="20% - Accent3 2 3 2 8 5" xfId="16535"/>
    <cellStyle name="20% - Accent3 2 3 2 8 5 2" xfId="45396"/>
    <cellStyle name="20% - Accent3 2 3 2 8 6" xfId="30760"/>
    <cellStyle name="20% - Accent3 2 3 2 9" xfId="2104"/>
    <cellStyle name="20% - Accent3 2 3 2 9 2" xfId="4991"/>
    <cellStyle name="20% - Accent3 2 3 2 9 2 2" xfId="11032"/>
    <cellStyle name="20% - Accent3 2 3 2 9 2 2 2" xfId="28079"/>
    <cellStyle name="20% - Accent3 2 3 2 9 2 2 2 2" xfId="56940"/>
    <cellStyle name="20% - Accent3 2 3 2 9 2 2 3" xfId="39893"/>
    <cellStyle name="20% - Accent3 2 3 2 9 2 3" xfId="22101"/>
    <cellStyle name="20% - Accent3 2 3 2 9 2 3 2" xfId="50962"/>
    <cellStyle name="20% - Accent3 2 3 2 9 2 4" xfId="33852"/>
    <cellStyle name="20% - Accent3 2 3 2 9 3" xfId="8146"/>
    <cellStyle name="20% - Accent3 2 3 2 9 3 2" xfId="25193"/>
    <cellStyle name="20% - Accent3 2 3 2 9 3 2 2" xfId="54054"/>
    <cellStyle name="20% - Accent3 2 3 2 9 3 3" xfId="37007"/>
    <cellStyle name="20% - Accent3 2 3 2 9 4" xfId="14248"/>
    <cellStyle name="20% - Accent3 2 3 2 9 4 2" xfId="19421"/>
    <cellStyle name="20% - Accent3 2 3 2 9 4 2 2" xfId="48282"/>
    <cellStyle name="20% - Accent3 2 3 2 9 4 3" xfId="43109"/>
    <cellStyle name="20% - Accent3 2 3 2 9 5" xfId="16741"/>
    <cellStyle name="20% - Accent3 2 3 2 9 5 2" xfId="45602"/>
    <cellStyle name="20% - Accent3 2 3 2 9 6" xfId="30966"/>
    <cellStyle name="20% - Accent3 2 3 20" xfId="29009"/>
    <cellStyle name="20% - Accent3 2 3 3" xfId="250"/>
    <cellStyle name="20% - Accent3 2 3 3 2" xfId="662"/>
    <cellStyle name="20% - Accent3 2 3 3 2 2" xfId="3549"/>
    <cellStyle name="20% - Accent3 2 3 3 2 2 2" xfId="9590"/>
    <cellStyle name="20% - Accent3 2 3 3 2 2 2 2" xfId="26637"/>
    <cellStyle name="20% - Accent3 2 3 3 2 2 2 2 2" xfId="55498"/>
    <cellStyle name="20% - Accent3 2 3 3 2 2 2 3" xfId="38451"/>
    <cellStyle name="20% - Accent3 2 3 3 2 2 3" xfId="20659"/>
    <cellStyle name="20% - Accent3 2 3 3 2 2 3 2" xfId="49520"/>
    <cellStyle name="20% - Accent3 2 3 3 2 2 4" xfId="32410"/>
    <cellStyle name="20% - Accent3 2 3 3 2 3" xfId="6704"/>
    <cellStyle name="20% - Accent3 2 3 3 2 3 2" xfId="23751"/>
    <cellStyle name="20% - Accent3 2 3 3 2 3 2 2" xfId="52612"/>
    <cellStyle name="20% - Accent3 2 3 3 2 3 3" xfId="35565"/>
    <cellStyle name="20% - Accent3 2 3 3 2 4" xfId="13289"/>
    <cellStyle name="20% - Accent3 2 3 3 2 4 2" xfId="17979"/>
    <cellStyle name="20% - Accent3 2 3 3 2 4 2 2" xfId="46840"/>
    <cellStyle name="20% - Accent3 2 3 3 2 4 3" xfId="42150"/>
    <cellStyle name="20% - Accent3 2 3 3 2 5" xfId="15299"/>
    <cellStyle name="20% - Accent3 2 3 3 2 5 2" xfId="44160"/>
    <cellStyle name="20% - Accent3 2 3 3 2 6" xfId="29524"/>
    <cellStyle name="20% - Accent3 2 3 3 3" xfId="2207"/>
    <cellStyle name="20% - Accent3 2 3 3 3 2" xfId="5094"/>
    <cellStyle name="20% - Accent3 2 3 3 3 2 2" xfId="11135"/>
    <cellStyle name="20% - Accent3 2 3 3 3 2 2 2" xfId="28182"/>
    <cellStyle name="20% - Accent3 2 3 3 3 2 2 2 2" xfId="57043"/>
    <cellStyle name="20% - Accent3 2 3 3 3 2 2 3" xfId="39996"/>
    <cellStyle name="20% - Accent3 2 3 3 3 2 3" xfId="22204"/>
    <cellStyle name="20% - Accent3 2 3 3 3 2 3 2" xfId="51065"/>
    <cellStyle name="20% - Accent3 2 3 3 3 2 4" xfId="33955"/>
    <cellStyle name="20% - Accent3 2 3 3 3 3" xfId="8249"/>
    <cellStyle name="20% - Accent3 2 3 3 3 3 2" xfId="25296"/>
    <cellStyle name="20% - Accent3 2 3 3 3 3 2 2" xfId="54157"/>
    <cellStyle name="20% - Accent3 2 3 3 3 3 3" xfId="37110"/>
    <cellStyle name="20% - Accent3 2 3 3 3 4" xfId="13586"/>
    <cellStyle name="20% - Accent3 2 3 3 3 4 2" xfId="19524"/>
    <cellStyle name="20% - Accent3 2 3 3 3 4 2 2" xfId="48385"/>
    <cellStyle name="20% - Accent3 2 3 3 3 4 3" xfId="42447"/>
    <cellStyle name="20% - Accent3 2 3 3 3 5" xfId="16844"/>
    <cellStyle name="20% - Accent3 2 3 3 3 5 2" xfId="45705"/>
    <cellStyle name="20% - Accent3 2 3 3 3 6" xfId="31069"/>
    <cellStyle name="20% - Accent3 2 3 3 4" xfId="3137"/>
    <cellStyle name="20% - Accent3 2 3 3 4 2" xfId="9178"/>
    <cellStyle name="20% - Accent3 2 3 3 4 2 2" xfId="26225"/>
    <cellStyle name="20% - Accent3 2 3 3 4 2 2 2" xfId="55086"/>
    <cellStyle name="20% - Accent3 2 3 3 4 2 3" xfId="38039"/>
    <cellStyle name="20% - Accent3 2 3 3 4 3" xfId="20247"/>
    <cellStyle name="20% - Accent3 2 3 3 4 3 2" xfId="49108"/>
    <cellStyle name="20% - Accent3 2 3 3 4 4" xfId="31998"/>
    <cellStyle name="20% - Accent3 2 3 3 5" xfId="6292"/>
    <cellStyle name="20% - Accent3 2 3 3 5 2" xfId="23339"/>
    <cellStyle name="20% - Accent3 2 3 3 5 2 2" xfId="52200"/>
    <cellStyle name="20% - Accent3 2 3 3 5 3" xfId="35153"/>
    <cellStyle name="20% - Accent3 2 3 3 6" xfId="6065"/>
    <cellStyle name="20% - Accent3 2 3 3 6 2" xfId="17670"/>
    <cellStyle name="20% - Accent3 2 3 3 6 2 2" xfId="46531"/>
    <cellStyle name="20% - Accent3 2 3 3 6 3" xfId="34926"/>
    <cellStyle name="20% - Accent3 2 3 3 7" xfId="14887"/>
    <cellStyle name="20% - Accent3 2 3 3 7 2" xfId="43748"/>
    <cellStyle name="20% - Accent3 2 3 3 8" xfId="29112"/>
    <cellStyle name="20% - Accent3 2 3 4" xfId="456"/>
    <cellStyle name="20% - Accent3 2 3 4 2" xfId="3343"/>
    <cellStyle name="20% - Accent3 2 3 4 2 2" xfId="9384"/>
    <cellStyle name="20% - Accent3 2 3 4 2 2 2" xfId="26431"/>
    <cellStyle name="20% - Accent3 2 3 4 2 2 2 2" xfId="55292"/>
    <cellStyle name="20% - Accent3 2 3 4 2 2 3" xfId="38245"/>
    <cellStyle name="20% - Accent3 2 3 4 2 3" xfId="20453"/>
    <cellStyle name="20% - Accent3 2 3 4 2 3 2" xfId="49314"/>
    <cellStyle name="20% - Accent3 2 3 4 2 4" xfId="32204"/>
    <cellStyle name="20% - Accent3 2 3 4 3" xfId="6498"/>
    <cellStyle name="20% - Accent3 2 3 4 3 2" xfId="23545"/>
    <cellStyle name="20% - Accent3 2 3 4 3 2 2" xfId="52406"/>
    <cellStyle name="20% - Accent3 2 3 4 3 3" xfId="35359"/>
    <cellStyle name="20% - Accent3 2 3 4 4" xfId="12995"/>
    <cellStyle name="20% - Accent3 2 3 4 4 2" xfId="17773"/>
    <cellStyle name="20% - Accent3 2 3 4 4 2 2" xfId="46634"/>
    <cellStyle name="20% - Accent3 2 3 4 4 3" xfId="41856"/>
    <cellStyle name="20% - Accent3 2 3 4 5" xfId="15093"/>
    <cellStyle name="20% - Accent3 2 3 4 5 2" xfId="43954"/>
    <cellStyle name="20% - Accent3 2 3 4 6" xfId="29318"/>
    <cellStyle name="20% - Accent3 2 3 5" xfId="765"/>
    <cellStyle name="20% - Accent3 2 3 5 2" xfId="3652"/>
    <cellStyle name="20% - Accent3 2 3 5 2 2" xfId="9693"/>
    <cellStyle name="20% - Accent3 2 3 5 2 2 2" xfId="26740"/>
    <cellStyle name="20% - Accent3 2 3 5 2 2 2 2" xfId="55601"/>
    <cellStyle name="20% - Accent3 2 3 5 2 2 3" xfId="38554"/>
    <cellStyle name="20% - Accent3 2 3 5 2 3" xfId="20762"/>
    <cellStyle name="20% - Accent3 2 3 5 2 3 2" xfId="49623"/>
    <cellStyle name="20% - Accent3 2 3 5 2 4" xfId="32513"/>
    <cellStyle name="20% - Accent3 2 3 5 3" xfId="6807"/>
    <cellStyle name="20% - Accent3 2 3 5 3 2" xfId="23854"/>
    <cellStyle name="20% - Accent3 2 3 5 3 2 2" xfId="52715"/>
    <cellStyle name="20% - Accent3 2 3 5 3 3" xfId="35668"/>
    <cellStyle name="20% - Accent3 2 3 5 4" xfId="13087"/>
    <cellStyle name="20% - Accent3 2 3 5 4 2" xfId="18082"/>
    <cellStyle name="20% - Accent3 2 3 5 4 2 2" xfId="46943"/>
    <cellStyle name="20% - Accent3 2 3 5 4 3" xfId="41948"/>
    <cellStyle name="20% - Accent3 2 3 5 5" xfId="15402"/>
    <cellStyle name="20% - Accent3 2 3 5 5 2" xfId="44263"/>
    <cellStyle name="20% - Accent3 2 3 5 6" xfId="29627"/>
    <cellStyle name="20% - Accent3 2 3 6" xfId="971"/>
    <cellStyle name="20% - Accent3 2 3 6 2" xfId="3858"/>
    <cellStyle name="20% - Accent3 2 3 6 2 2" xfId="9899"/>
    <cellStyle name="20% - Accent3 2 3 6 2 2 2" xfId="26946"/>
    <cellStyle name="20% - Accent3 2 3 6 2 2 2 2" xfId="55807"/>
    <cellStyle name="20% - Accent3 2 3 6 2 2 3" xfId="38760"/>
    <cellStyle name="20% - Accent3 2 3 6 2 3" xfId="20968"/>
    <cellStyle name="20% - Accent3 2 3 6 2 3 2" xfId="49829"/>
    <cellStyle name="20% - Accent3 2 3 6 2 4" xfId="32719"/>
    <cellStyle name="20% - Accent3 2 3 6 3" xfId="7013"/>
    <cellStyle name="20% - Accent3 2 3 6 3 2" xfId="24060"/>
    <cellStyle name="20% - Accent3 2 3 6 3 2 2" xfId="52921"/>
    <cellStyle name="20% - Accent3 2 3 6 3 3" xfId="35874"/>
    <cellStyle name="20% - Accent3 2 3 6 4" xfId="13697"/>
    <cellStyle name="20% - Accent3 2 3 6 4 2" xfId="18288"/>
    <cellStyle name="20% - Accent3 2 3 6 4 2 2" xfId="47149"/>
    <cellStyle name="20% - Accent3 2 3 6 4 3" xfId="42558"/>
    <cellStyle name="20% - Accent3 2 3 6 5" xfId="15608"/>
    <cellStyle name="20% - Accent3 2 3 6 5 2" xfId="44469"/>
    <cellStyle name="20% - Accent3 2 3 6 6" xfId="29833"/>
    <cellStyle name="20% - Accent3 2 3 7" xfId="1177"/>
    <cellStyle name="20% - Accent3 2 3 7 2" xfId="4064"/>
    <cellStyle name="20% - Accent3 2 3 7 2 2" xfId="10105"/>
    <cellStyle name="20% - Accent3 2 3 7 2 2 2" xfId="27152"/>
    <cellStyle name="20% - Accent3 2 3 7 2 2 2 2" xfId="56013"/>
    <cellStyle name="20% - Accent3 2 3 7 2 2 3" xfId="38966"/>
    <cellStyle name="20% - Accent3 2 3 7 2 3" xfId="21174"/>
    <cellStyle name="20% - Accent3 2 3 7 2 3 2" xfId="50035"/>
    <cellStyle name="20% - Accent3 2 3 7 2 4" xfId="32925"/>
    <cellStyle name="20% - Accent3 2 3 7 3" xfId="7219"/>
    <cellStyle name="20% - Accent3 2 3 7 3 2" xfId="24266"/>
    <cellStyle name="20% - Accent3 2 3 7 3 2 2" xfId="53127"/>
    <cellStyle name="20% - Accent3 2 3 7 3 3" xfId="36080"/>
    <cellStyle name="20% - Accent3 2 3 7 4" xfId="13958"/>
    <cellStyle name="20% - Accent3 2 3 7 4 2" xfId="18494"/>
    <cellStyle name="20% - Accent3 2 3 7 4 2 2" xfId="47355"/>
    <cellStyle name="20% - Accent3 2 3 7 4 3" xfId="42819"/>
    <cellStyle name="20% - Accent3 2 3 7 5" xfId="15814"/>
    <cellStyle name="20% - Accent3 2 3 7 5 2" xfId="44675"/>
    <cellStyle name="20% - Accent3 2 3 7 6" xfId="30039"/>
    <cellStyle name="20% - Accent3 2 3 8" xfId="1383"/>
    <cellStyle name="20% - Accent3 2 3 8 2" xfId="4270"/>
    <cellStyle name="20% - Accent3 2 3 8 2 2" xfId="10311"/>
    <cellStyle name="20% - Accent3 2 3 8 2 2 2" xfId="27358"/>
    <cellStyle name="20% - Accent3 2 3 8 2 2 2 2" xfId="56219"/>
    <cellStyle name="20% - Accent3 2 3 8 2 2 3" xfId="39172"/>
    <cellStyle name="20% - Accent3 2 3 8 2 3" xfId="21380"/>
    <cellStyle name="20% - Accent3 2 3 8 2 3 2" xfId="50241"/>
    <cellStyle name="20% - Accent3 2 3 8 2 4" xfId="33131"/>
    <cellStyle name="20% - Accent3 2 3 8 3" xfId="7425"/>
    <cellStyle name="20% - Accent3 2 3 8 3 2" xfId="24472"/>
    <cellStyle name="20% - Accent3 2 3 8 3 2 2" xfId="53333"/>
    <cellStyle name="20% - Accent3 2 3 8 3 3" xfId="36286"/>
    <cellStyle name="20% - Accent3 2 3 8 4" xfId="12497"/>
    <cellStyle name="20% - Accent3 2 3 8 4 2" xfId="18700"/>
    <cellStyle name="20% - Accent3 2 3 8 4 2 2" xfId="47561"/>
    <cellStyle name="20% - Accent3 2 3 8 4 3" xfId="41358"/>
    <cellStyle name="20% - Accent3 2 3 8 5" xfId="16020"/>
    <cellStyle name="20% - Accent3 2 3 8 5 2" xfId="44881"/>
    <cellStyle name="20% - Accent3 2 3 8 6" xfId="30245"/>
    <cellStyle name="20% - Accent3 2 3 9" xfId="1589"/>
    <cellStyle name="20% - Accent3 2 3 9 2" xfId="4476"/>
    <cellStyle name="20% - Accent3 2 3 9 2 2" xfId="10517"/>
    <cellStyle name="20% - Accent3 2 3 9 2 2 2" xfId="27564"/>
    <cellStyle name="20% - Accent3 2 3 9 2 2 2 2" xfId="56425"/>
    <cellStyle name="20% - Accent3 2 3 9 2 2 3" xfId="39378"/>
    <cellStyle name="20% - Accent3 2 3 9 2 3" xfId="21586"/>
    <cellStyle name="20% - Accent3 2 3 9 2 3 2" xfId="50447"/>
    <cellStyle name="20% - Accent3 2 3 9 2 4" xfId="33337"/>
    <cellStyle name="20% - Accent3 2 3 9 3" xfId="7631"/>
    <cellStyle name="20% - Accent3 2 3 9 3 2" xfId="24678"/>
    <cellStyle name="20% - Accent3 2 3 9 3 2 2" xfId="53539"/>
    <cellStyle name="20% - Accent3 2 3 9 3 3" xfId="36492"/>
    <cellStyle name="20% - Accent3 2 3 9 4" xfId="13934"/>
    <cellStyle name="20% - Accent3 2 3 9 4 2" xfId="18906"/>
    <cellStyle name="20% - Accent3 2 3 9 4 2 2" xfId="47767"/>
    <cellStyle name="20% - Accent3 2 3 9 4 3" xfId="42795"/>
    <cellStyle name="20% - Accent3 2 3 9 5" xfId="16226"/>
    <cellStyle name="20% - Accent3 2 3 9 5 2" xfId="45087"/>
    <cellStyle name="20% - Accent3 2 3 9 6" xfId="30451"/>
    <cellStyle name="20% - Accent3 2 4" xfId="301"/>
    <cellStyle name="20% - Accent3 2 4 10" xfId="2464"/>
    <cellStyle name="20% - Accent3 2 4 10 2" xfId="5351"/>
    <cellStyle name="20% - Accent3 2 4 10 2 2" xfId="11392"/>
    <cellStyle name="20% - Accent3 2 4 10 2 2 2" xfId="28439"/>
    <cellStyle name="20% - Accent3 2 4 10 2 2 2 2" xfId="57300"/>
    <cellStyle name="20% - Accent3 2 4 10 2 2 3" xfId="40253"/>
    <cellStyle name="20% - Accent3 2 4 10 2 3" xfId="22461"/>
    <cellStyle name="20% - Accent3 2 4 10 2 3 2" xfId="51322"/>
    <cellStyle name="20% - Accent3 2 4 10 2 4" xfId="34212"/>
    <cellStyle name="20% - Accent3 2 4 10 3" xfId="8506"/>
    <cellStyle name="20% - Accent3 2 4 10 3 2" xfId="25553"/>
    <cellStyle name="20% - Accent3 2 4 10 3 2 2" xfId="54414"/>
    <cellStyle name="20% - Accent3 2 4 10 3 3" xfId="37367"/>
    <cellStyle name="20% - Accent3 2 4 10 4" xfId="14018"/>
    <cellStyle name="20% - Accent3 2 4 10 4 2" xfId="19781"/>
    <cellStyle name="20% - Accent3 2 4 10 4 2 2" xfId="48642"/>
    <cellStyle name="20% - Accent3 2 4 10 4 3" xfId="42879"/>
    <cellStyle name="20% - Accent3 2 4 10 5" xfId="17101"/>
    <cellStyle name="20% - Accent3 2 4 10 5 2" xfId="45962"/>
    <cellStyle name="20% - Accent3 2 4 10 6" xfId="31326"/>
    <cellStyle name="20% - Accent3 2 4 11" xfId="2673"/>
    <cellStyle name="20% - Accent3 2 4 11 2" xfId="5559"/>
    <cellStyle name="20% - Accent3 2 4 11 2 2" xfId="11600"/>
    <cellStyle name="20% - Accent3 2 4 11 2 2 2" xfId="28647"/>
    <cellStyle name="20% - Accent3 2 4 11 2 2 2 2" xfId="57508"/>
    <cellStyle name="20% - Accent3 2 4 11 2 2 3" xfId="40461"/>
    <cellStyle name="20% - Accent3 2 4 11 2 3" xfId="22669"/>
    <cellStyle name="20% - Accent3 2 4 11 2 3 2" xfId="51530"/>
    <cellStyle name="20% - Accent3 2 4 11 2 4" xfId="34420"/>
    <cellStyle name="20% - Accent3 2 4 11 3" xfId="8714"/>
    <cellStyle name="20% - Accent3 2 4 11 3 2" xfId="25761"/>
    <cellStyle name="20% - Accent3 2 4 11 3 2 2" xfId="54622"/>
    <cellStyle name="20% - Accent3 2 4 11 3 3" xfId="37575"/>
    <cellStyle name="20% - Accent3 2 4 11 4" xfId="14357"/>
    <cellStyle name="20% - Accent3 2 4 11 4 2" xfId="19989"/>
    <cellStyle name="20% - Accent3 2 4 11 4 2 2" xfId="48850"/>
    <cellStyle name="20% - Accent3 2 4 11 4 3" xfId="43218"/>
    <cellStyle name="20% - Accent3 2 4 11 5" xfId="17309"/>
    <cellStyle name="20% - Accent3 2 4 11 5 2" xfId="46170"/>
    <cellStyle name="20% - Accent3 2 4 11 6" xfId="31534"/>
    <cellStyle name="20% - Accent3 2 4 12" xfId="3188"/>
    <cellStyle name="20% - Accent3 2 4 12 2" xfId="9229"/>
    <cellStyle name="20% - Accent3 2 4 12 2 2" xfId="26276"/>
    <cellStyle name="20% - Accent3 2 4 12 2 2 2" xfId="55137"/>
    <cellStyle name="20% - Accent3 2 4 12 2 3" xfId="38090"/>
    <cellStyle name="20% - Accent3 2 4 12 3" xfId="14142"/>
    <cellStyle name="20% - Accent3 2 4 12 3 2" xfId="20298"/>
    <cellStyle name="20% - Accent3 2 4 12 3 2 2" xfId="49159"/>
    <cellStyle name="20% - Accent3 2 4 12 3 3" xfId="43003"/>
    <cellStyle name="20% - Accent3 2 4 12 4" xfId="14938"/>
    <cellStyle name="20% - Accent3 2 4 12 4 2" xfId="43799"/>
    <cellStyle name="20% - Accent3 2 4 12 5" xfId="32049"/>
    <cellStyle name="20% - Accent3 2 4 13" xfId="2879"/>
    <cellStyle name="20% - Accent3 2 4 13 2" xfId="8920"/>
    <cellStyle name="20% - Accent3 2 4 13 2 2" xfId="25967"/>
    <cellStyle name="20% - Accent3 2 4 13 2 2 2" xfId="54828"/>
    <cellStyle name="20% - Accent3 2 4 13 2 3" xfId="37781"/>
    <cellStyle name="20% - Accent3 2 4 13 3" xfId="17515"/>
    <cellStyle name="20% - Accent3 2 4 13 3 2" xfId="46376"/>
    <cellStyle name="20% - Accent3 2 4 13 4" xfId="31740"/>
    <cellStyle name="20% - Accent3 2 4 14" xfId="5765"/>
    <cellStyle name="20% - Accent3 2 4 14 2" xfId="11806"/>
    <cellStyle name="20% - Accent3 2 4 14 2 2" xfId="28853"/>
    <cellStyle name="20% - Accent3 2 4 14 2 2 2" xfId="57714"/>
    <cellStyle name="20% - Accent3 2 4 14 2 3" xfId="40667"/>
    <cellStyle name="20% - Accent3 2 4 14 3" xfId="22875"/>
    <cellStyle name="20% - Accent3 2 4 14 3 2" xfId="51736"/>
    <cellStyle name="20% - Accent3 2 4 14 4" xfId="34626"/>
    <cellStyle name="20% - Accent3 2 4 15" xfId="5982"/>
    <cellStyle name="20% - Accent3 2 4 15 2" xfId="23081"/>
    <cellStyle name="20% - Accent3 2 4 15 2 2" xfId="51942"/>
    <cellStyle name="20% - Accent3 2 4 15 3" xfId="34843"/>
    <cellStyle name="20% - Accent3 2 4 16" xfId="6343"/>
    <cellStyle name="20% - Accent3 2 4 16 2" xfId="23390"/>
    <cellStyle name="20% - Accent3 2 4 16 2 2" xfId="52251"/>
    <cellStyle name="20% - Accent3 2 4 16 3" xfId="35204"/>
    <cellStyle name="20% - Accent3 2 4 17" xfId="14629"/>
    <cellStyle name="20% - Accent3 2 4 17 2" xfId="43490"/>
    <cellStyle name="20% - Accent3 2 4 18" xfId="29163"/>
    <cellStyle name="20% - Accent3 2 4 2" xfId="507"/>
    <cellStyle name="20% - Accent3 2 4 2 2" xfId="2258"/>
    <cellStyle name="20% - Accent3 2 4 2 2 2" xfId="5145"/>
    <cellStyle name="20% - Accent3 2 4 2 2 2 2" xfId="11186"/>
    <cellStyle name="20% - Accent3 2 4 2 2 2 2 2" xfId="28233"/>
    <cellStyle name="20% - Accent3 2 4 2 2 2 2 2 2" xfId="57094"/>
    <cellStyle name="20% - Accent3 2 4 2 2 2 2 3" xfId="40047"/>
    <cellStyle name="20% - Accent3 2 4 2 2 2 3" xfId="22255"/>
    <cellStyle name="20% - Accent3 2 4 2 2 2 3 2" xfId="51116"/>
    <cellStyle name="20% - Accent3 2 4 2 2 2 4" xfId="34006"/>
    <cellStyle name="20% - Accent3 2 4 2 2 3" xfId="8300"/>
    <cellStyle name="20% - Accent3 2 4 2 2 3 2" xfId="25347"/>
    <cellStyle name="20% - Accent3 2 4 2 2 3 2 2" xfId="54208"/>
    <cellStyle name="20% - Accent3 2 4 2 2 3 3" xfId="37161"/>
    <cellStyle name="20% - Accent3 2 4 2 2 4" xfId="12472"/>
    <cellStyle name="20% - Accent3 2 4 2 2 4 2" xfId="19575"/>
    <cellStyle name="20% - Accent3 2 4 2 2 4 2 2" xfId="48436"/>
    <cellStyle name="20% - Accent3 2 4 2 2 4 3" xfId="41333"/>
    <cellStyle name="20% - Accent3 2 4 2 2 5" xfId="16895"/>
    <cellStyle name="20% - Accent3 2 4 2 2 5 2" xfId="45756"/>
    <cellStyle name="20% - Accent3 2 4 2 2 6" xfId="31120"/>
    <cellStyle name="20% - Accent3 2 4 2 3" xfId="3394"/>
    <cellStyle name="20% - Accent3 2 4 2 3 2" xfId="9435"/>
    <cellStyle name="20% - Accent3 2 4 2 3 2 2" xfId="26482"/>
    <cellStyle name="20% - Accent3 2 4 2 3 2 2 2" xfId="55343"/>
    <cellStyle name="20% - Accent3 2 4 2 3 2 3" xfId="38296"/>
    <cellStyle name="20% - Accent3 2 4 2 3 3" xfId="20504"/>
    <cellStyle name="20% - Accent3 2 4 2 3 3 2" xfId="49365"/>
    <cellStyle name="20% - Accent3 2 4 2 3 4" xfId="32255"/>
    <cellStyle name="20% - Accent3 2 4 2 4" xfId="6549"/>
    <cellStyle name="20% - Accent3 2 4 2 4 2" xfId="23596"/>
    <cellStyle name="20% - Accent3 2 4 2 4 2 2" xfId="52457"/>
    <cellStyle name="20% - Accent3 2 4 2 4 3" xfId="35410"/>
    <cellStyle name="20% - Accent3 2 4 2 5" xfId="12504"/>
    <cellStyle name="20% - Accent3 2 4 2 5 2" xfId="17824"/>
    <cellStyle name="20% - Accent3 2 4 2 5 2 2" xfId="46685"/>
    <cellStyle name="20% - Accent3 2 4 2 5 3" xfId="41365"/>
    <cellStyle name="20% - Accent3 2 4 2 6" xfId="15144"/>
    <cellStyle name="20% - Accent3 2 4 2 6 2" xfId="44005"/>
    <cellStyle name="20% - Accent3 2 4 2 7" xfId="29369"/>
    <cellStyle name="20% - Accent3 2 4 3" xfId="816"/>
    <cellStyle name="20% - Accent3 2 4 3 2" xfId="3703"/>
    <cellStyle name="20% - Accent3 2 4 3 2 2" xfId="9744"/>
    <cellStyle name="20% - Accent3 2 4 3 2 2 2" xfId="26791"/>
    <cellStyle name="20% - Accent3 2 4 3 2 2 2 2" xfId="55652"/>
    <cellStyle name="20% - Accent3 2 4 3 2 2 3" xfId="38605"/>
    <cellStyle name="20% - Accent3 2 4 3 2 3" xfId="20813"/>
    <cellStyle name="20% - Accent3 2 4 3 2 3 2" xfId="49674"/>
    <cellStyle name="20% - Accent3 2 4 3 2 4" xfId="32564"/>
    <cellStyle name="20% - Accent3 2 4 3 3" xfId="6858"/>
    <cellStyle name="20% - Accent3 2 4 3 3 2" xfId="23905"/>
    <cellStyle name="20% - Accent3 2 4 3 3 2 2" xfId="52766"/>
    <cellStyle name="20% - Accent3 2 4 3 3 3" xfId="35719"/>
    <cellStyle name="20% - Accent3 2 4 3 4" xfId="13519"/>
    <cellStyle name="20% - Accent3 2 4 3 4 2" xfId="18133"/>
    <cellStyle name="20% - Accent3 2 4 3 4 2 2" xfId="46994"/>
    <cellStyle name="20% - Accent3 2 4 3 4 3" xfId="42380"/>
    <cellStyle name="20% - Accent3 2 4 3 5" xfId="15453"/>
    <cellStyle name="20% - Accent3 2 4 3 5 2" xfId="44314"/>
    <cellStyle name="20% - Accent3 2 4 3 6" xfId="29678"/>
    <cellStyle name="20% - Accent3 2 4 4" xfId="1022"/>
    <cellStyle name="20% - Accent3 2 4 4 2" xfId="3909"/>
    <cellStyle name="20% - Accent3 2 4 4 2 2" xfId="9950"/>
    <cellStyle name="20% - Accent3 2 4 4 2 2 2" xfId="26997"/>
    <cellStyle name="20% - Accent3 2 4 4 2 2 2 2" xfId="55858"/>
    <cellStyle name="20% - Accent3 2 4 4 2 2 3" xfId="38811"/>
    <cellStyle name="20% - Accent3 2 4 4 2 3" xfId="21019"/>
    <cellStyle name="20% - Accent3 2 4 4 2 3 2" xfId="49880"/>
    <cellStyle name="20% - Accent3 2 4 4 2 4" xfId="32770"/>
    <cellStyle name="20% - Accent3 2 4 4 3" xfId="7064"/>
    <cellStyle name="20% - Accent3 2 4 4 3 2" xfId="24111"/>
    <cellStyle name="20% - Accent3 2 4 4 3 2 2" xfId="52972"/>
    <cellStyle name="20% - Accent3 2 4 4 3 3" xfId="35925"/>
    <cellStyle name="20% - Accent3 2 4 4 4" xfId="12062"/>
    <cellStyle name="20% - Accent3 2 4 4 4 2" xfId="18339"/>
    <cellStyle name="20% - Accent3 2 4 4 4 2 2" xfId="47200"/>
    <cellStyle name="20% - Accent3 2 4 4 4 3" xfId="40923"/>
    <cellStyle name="20% - Accent3 2 4 4 5" xfId="15659"/>
    <cellStyle name="20% - Accent3 2 4 4 5 2" xfId="44520"/>
    <cellStyle name="20% - Accent3 2 4 4 6" xfId="29884"/>
    <cellStyle name="20% - Accent3 2 4 5" xfId="1228"/>
    <cellStyle name="20% - Accent3 2 4 5 2" xfId="4115"/>
    <cellStyle name="20% - Accent3 2 4 5 2 2" xfId="10156"/>
    <cellStyle name="20% - Accent3 2 4 5 2 2 2" xfId="27203"/>
    <cellStyle name="20% - Accent3 2 4 5 2 2 2 2" xfId="56064"/>
    <cellStyle name="20% - Accent3 2 4 5 2 2 3" xfId="39017"/>
    <cellStyle name="20% - Accent3 2 4 5 2 3" xfId="21225"/>
    <cellStyle name="20% - Accent3 2 4 5 2 3 2" xfId="50086"/>
    <cellStyle name="20% - Accent3 2 4 5 2 4" xfId="32976"/>
    <cellStyle name="20% - Accent3 2 4 5 3" xfId="7270"/>
    <cellStyle name="20% - Accent3 2 4 5 3 2" xfId="24317"/>
    <cellStyle name="20% - Accent3 2 4 5 3 2 2" xfId="53178"/>
    <cellStyle name="20% - Accent3 2 4 5 3 3" xfId="36131"/>
    <cellStyle name="20% - Accent3 2 4 5 4" xfId="12688"/>
    <cellStyle name="20% - Accent3 2 4 5 4 2" xfId="18545"/>
    <cellStyle name="20% - Accent3 2 4 5 4 2 2" xfId="47406"/>
    <cellStyle name="20% - Accent3 2 4 5 4 3" xfId="41549"/>
    <cellStyle name="20% - Accent3 2 4 5 5" xfId="15865"/>
    <cellStyle name="20% - Accent3 2 4 5 5 2" xfId="44726"/>
    <cellStyle name="20% - Accent3 2 4 5 6" xfId="30090"/>
    <cellStyle name="20% - Accent3 2 4 6" xfId="1434"/>
    <cellStyle name="20% - Accent3 2 4 6 2" xfId="4321"/>
    <cellStyle name="20% - Accent3 2 4 6 2 2" xfId="10362"/>
    <cellStyle name="20% - Accent3 2 4 6 2 2 2" xfId="27409"/>
    <cellStyle name="20% - Accent3 2 4 6 2 2 2 2" xfId="56270"/>
    <cellStyle name="20% - Accent3 2 4 6 2 2 3" xfId="39223"/>
    <cellStyle name="20% - Accent3 2 4 6 2 3" xfId="21431"/>
    <cellStyle name="20% - Accent3 2 4 6 2 3 2" xfId="50292"/>
    <cellStyle name="20% - Accent3 2 4 6 2 4" xfId="33182"/>
    <cellStyle name="20% - Accent3 2 4 6 3" xfId="7476"/>
    <cellStyle name="20% - Accent3 2 4 6 3 2" xfId="24523"/>
    <cellStyle name="20% - Accent3 2 4 6 3 2 2" xfId="53384"/>
    <cellStyle name="20% - Accent3 2 4 6 3 3" xfId="36337"/>
    <cellStyle name="20% - Accent3 2 4 6 4" xfId="13076"/>
    <cellStyle name="20% - Accent3 2 4 6 4 2" xfId="18751"/>
    <cellStyle name="20% - Accent3 2 4 6 4 2 2" xfId="47612"/>
    <cellStyle name="20% - Accent3 2 4 6 4 3" xfId="41937"/>
    <cellStyle name="20% - Accent3 2 4 6 5" xfId="16071"/>
    <cellStyle name="20% - Accent3 2 4 6 5 2" xfId="44932"/>
    <cellStyle name="20% - Accent3 2 4 6 6" xfId="30296"/>
    <cellStyle name="20% - Accent3 2 4 7" xfId="1640"/>
    <cellStyle name="20% - Accent3 2 4 7 2" xfId="4527"/>
    <cellStyle name="20% - Accent3 2 4 7 2 2" xfId="10568"/>
    <cellStyle name="20% - Accent3 2 4 7 2 2 2" xfId="27615"/>
    <cellStyle name="20% - Accent3 2 4 7 2 2 2 2" xfId="56476"/>
    <cellStyle name="20% - Accent3 2 4 7 2 2 3" xfId="39429"/>
    <cellStyle name="20% - Accent3 2 4 7 2 3" xfId="21637"/>
    <cellStyle name="20% - Accent3 2 4 7 2 3 2" xfId="50498"/>
    <cellStyle name="20% - Accent3 2 4 7 2 4" xfId="33388"/>
    <cellStyle name="20% - Accent3 2 4 7 3" xfId="7682"/>
    <cellStyle name="20% - Accent3 2 4 7 3 2" xfId="24729"/>
    <cellStyle name="20% - Accent3 2 4 7 3 2 2" xfId="53590"/>
    <cellStyle name="20% - Accent3 2 4 7 3 3" xfId="36543"/>
    <cellStyle name="20% - Accent3 2 4 7 4" xfId="12043"/>
    <cellStyle name="20% - Accent3 2 4 7 4 2" xfId="18957"/>
    <cellStyle name="20% - Accent3 2 4 7 4 2 2" xfId="47818"/>
    <cellStyle name="20% - Accent3 2 4 7 4 3" xfId="40904"/>
    <cellStyle name="20% - Accent3 2 4 7 5" xfId="16277"/>
    <cellStyle name="20% - Accent3 2 4 7 5 2" xfId="45138"/>
    <cellStyle name="20% - Accent3 2 4 7 6" xfId="30502"/>
    <cellStyle name="20% - Accent3 2 4 8" xfId="1846"/>
    <cellStyle name="20% - Accent3 2 4 8 2" xfId="4733"/>
    <cellStyle name="20% - Accent3 2 4 8 2 2" xfId="10774"/>
    <cellStyle name="20% - Accent3 2 4 8 2 2 2" xfId="27821"/>
    <cellStyle name="20% - Accent3 2 4 8 2 2 2 2" xfId="56682"/>
    <cellStyle name="20% - Accent3 2 4 8 2 2 3" xfId="39635"/>
    <cellStyle name="20% - Accent3 2 4 8 2 3" xfId="21843"/>
    <cellStyle name="20% - Accent3 2 4 8 2 3 2" xfId="50704"/>
    <cellStyle name="20% - Accent3 2 4 8 2 4" xfId="33594"/>
    <cellStyle name="20% - Accent3 2 4 8 3" xfId="7888"/>
    <cellStyle name="20% - Accent3 2 4 8 3 2" xfId="24935"/>
    <cellStyle name="20% - Accent3 2 4 8 3 2 2" xfId="53796"/>
    <cellStyle name="20% - Accent3 2 4 8 3 3" xfId="36749"/>
    <cellStyle name="20% - Accent3 2 4 8 4" xfId="6094"/>
    <cellStyle name="20% - Accent3 2 4 8 4 2" xfId="19163"/>
    <cellStyle name="20% - Accent3 2 4 8 4 2 2" xfId="48024"/>
    <cellStyle name="20% - Accent3 2 4 8 4 3" xfId="34955"/>
    <cellStyle name="20% - Accent3 2 4 8 5" xfId="16483"/>
    <cellStyle name="20% - Accent3 2 4 8 5 2" xfId="45344"/>
    <cellStyle name="20% - Accent3 2 4 8 6" xfId="30708"/>
    <cellStyle name="20% - Accent3 2 4 9" xfId="2052"/>
    <cellStyle name="20% - Accent3 2 4 9 2" xfId="4939"/>
    <cellStyle name="20% - Accent3 2 4 9 2 2" xfId="10980"/>
    <cellStyle name="20% - Accent3 2 4 9 2 2 2" xfId="28027"/>
    <cellStyle name="20% - Accent3 2 4 9 2 2 2 2" xfId="56888"/>
    <cellStyle name="20% - Accent3 2 4 9 2 2 3" xfId="39841"/>
    <cellStyle name="20% - Accent3 2 4 9 2 3" xfId="22049"/>
    <cellStyle name="20% - Accent3 2 4 9 2 3 2" xfId="50910"/>
    <cellStyle name="20% - Accent3 2 4 9 2 4" xfId="33800"/>
    <cellStyle name="20% - Accent3 2 4 9 3" xfId="8094"/>
    <cellStyle name="20% - Accent3 2 4 9 3 2" xfId="25141"/>
    <cellStyle name="20% - Accent3 2 4 9 3 2 2" xfId="54002"/>
    <cellStyle name="20% - Accent3 2 4 9 3 3" xfId="36955"/>
    <cellStyle name="20% - Accent3 2 4 9 4" xfId="13781"/>
    <cellStyle name="20% - Accent3 2 4 9 4 2" xfId="19369"/>
    <cellStyle name="20% - Accent3 2 4 9 4 2 2" xfId="48230"/>
    <cellStyle name="20% - Accent3 2 4 9 4 3" xfId="42642"/>
    <cellStyle name="20% - Accent3 2 4 9 5" xfId="16689"/>
    <cellStyle name="20% - Accent3 2 4 9 5 2" xfId="45550"/>
    <cellStyle name="20% - Accent3 2 4 9 6" xfId="30914"/>
    <cellStyle name="20% - Accent3 2 5" xfId="198"/>
    <cellStyle name="20% - Accent3 2 5 2" xfId="610"/>
    <cellStyle name="20% - Accent3 2 5 2 2" xfId="3497"/>
    <cellStyle name="20% - Accent3 2 5 2 2 2" xfId="9538"/>
    <cellStyle name="20% - Accent3 2 5 2 2 2 2" xfId="26585"/>
    <cellStyle name="20% - Accent3 2 5 2 2 2 2 2" xfId="55446"/>
    <cellStyle name="20% - Accent3 2 5 2 2 2 3" xfId="38399"/>
    <cellStyle name="20% - Accent3 2 5 2 2 3" xfId="20607"/>
    <cellStyle name="20% - Accent3 2 5 2 2 3 2" xfId="49468"/>
    <cellStyle name="20% - Accent3 2 5 2 2 4" xfId="32358"/>
    <cellStyle name="20% - Accent3 2 5 2 3" xfId="6652"/>
    <cellStyle name="20% - Accent3 2 5 2 3 2" xfId="23699"/>
    <cellStyle name="20% - Accent3 2 5 2 3 2 2" xfId="52560"/>
    <cellStyle name="20% - Accent3 2 5 2 3 3" xfId="35513"/>
    <cellStyle name="20% - Accent3 2 5 2 4" xfId="12513"/>
    <cellStyle name="20% - Accent3 2 5 2 4 2" xfId="17927"/>
    <cellStyle name="20% - Accent3 2 5 2 4 2 2" xfId="46788"/>
    <cellStyle name="20% - Accent3 2 5 2 4 3" xfId="41374"/>
    <cellStyle name="20% - Accent3 2 5 2 5" xfId="15247"/>
    <cellStyle name="20% - Accent3 2 5 2 5 2" xfId="44108"/>
    <cellStyle name="20% - Accent3 2 5 2 6" xfId="29472"/>
    <cellStyle name="20% - Accent3 2 5 3" xfId="2155"/>
    <cellStyle name="20% - Accent3 2 5 3 2" xfId="5042"/>
    <cellStyle name="20% - Accent3 2 5 3 2 2" xfId="11083"/>
    <cellStyle name="20% - Accent3 2 5 3 2 2 2" xfId="28130"/>
    <cellStyle name="20% - Accent3 2 5 3 2 2 2 2" xfId="56991"/>
    <cellStyle name="20% - Accent3 2 5 3 2 2 3" xfId="39944"/>
    <cellStyle name="20% - Accent3 2 5 3 2 3" xfId="22152"/>
    <cellStyle name="20% - Accent3 2 5 3 2 3 2" xfId="51013"/>
    <cellStyle name="20% - Accent3 2 5 3 2 4" xfId="33903"/>
    <cellStyle name="20% - Accent3 2 5 3 3" xfId="8197"/>
    <cellStyle name="20% - Accent3 2 5 3 3 2" xfId="25244"/>
    <cellStyle name="20% - Accent3 2 5 3 3 2 2" xfId="54105"/>
    <cellStyle name="20% - Accent3 2 5 3 3 3" xfId="37058"/>
    <cellStyle name="20% - Accent3 2 5 3 4" xfId="14112"/>
    <cellStyle name="20% - Accent3 2 5 3 4 2" xfId="19472"/>
    <cellStyle name="20% - Accent3 2 5 3 4 2 2" xfId="48333"/>
    <cellStyle name="20% - Accent3 2 5 3 4 3" xfId="42973"/>
    <cellStyle name="20% - Accent3 2 5 3 5" xfId="16792"/>
    <cellStyle name="20% - Accent3 2 5 3 5 2" xfId="45653"/>
    <cellStyle name="20% - Accent3 2 5 3 6" xfId="31017"/>
    <cellStyle name="20% - Accent3 2 5 4" xfId="3085"/>
    <cellStyle name="20% - Accent3 2 5 4 2" xfId="9126"/>
    <cellStyle name="20% - Accent3 2 5 4 2 2" xfId="26173"/>
    <cellStyle name="20% - Accent3 2 5 4 2 2 2" xfId="55034"/>
    <cellStyle name="20% - Accent3 2 5 4 2 3" xfId="37987"/>
    <cellStyle name="20% - Accent3 2 5 4 3" xfId="20195"/>
    <cellStyle name="20% - Accent3 2 5 4 3 2" xfId="49056"/>
    <cellStyle name="20% - Accent3 2 5 4 4" xfId="31946"/>
    <cellStyle name="20% - Accent3 2 5 5" xfId="6240"/>
    <cellStyle name="20% - Accent3 2 5 5 2" xfId="23287"/>
    <cellStyle name="20% - Accent3 2 5 5 2 2" xfId="52148"/>
    <cellStyle name="20% - Accent3 2 5 5 3" xfId="35101"/>
    <cellStyle name="20% - Accent3 2 5 6" xfId="14194"/>
    <cellStyle name="20% - Accent3 2 5 6 2" xfId="17618"/>
    <cellStyle name="20% - Accent3 2 5 6 2 2" xfId="46479"/>
    <cellStyle name="20% - Accent3 2 5 6 3" xfId="43055"/>
    <cellStyle name="20% - Accent3 2 5 7" xfId="14835"/>
    <cellStyle name="20% - Accent3 2 5 7 2" xfId="43696"/>
    <cellStyle name="20% - Accent3 2 5 8" xfId="29060"/>
    <cellStyle name="20% - Accent3 2 6" xfId="404"/>
    <cellStyle name="20% - Accent3 2 6 2" xfId="3291"/>
    <cellStyle name="20% - Accent3 2 6 2 2" xfId="9332"/>
    <cellStyle name="20% - Accent3 2 6 2 2 2" xfId="26379"/>
    <cellStyle name="20% - Accent3 2 6 2 2 2 2" xfId="55240"/>
    <cellStyle name="20% - Accent3 2 6 2 2 3" xfId="38193"/>
    <cellStyle name="20% - Accent3 2 6 2 3" xfId="20401"/>
    <cellStyle name="20% - Accent3 2 6 2 3 2" xfId="49262"/>
    <cellStyle name="20% - Accent3 2 6 2 4" xfId="32152"/>
    <cellStyle name="20% - Accent3 2 6 3" xfId="6446"/>
    <cellStyle name="20% - Accent3 2 6 3 2" xfId="23493"/>
    <cellStyle name="20% - Accent3 2 6 3 2 2" xfId="52354"/>
    <cellStyle name="20% - Accent3 2 6 3 3" xfId="35307"/>
    <cellStyle name="20% - Accent3 2 6 4" xfId="12151"/>
    <cellStyle name="20% - Accent3 2 6 4 2" xfId="17721"/>
    <cellStyle name="20% - Accent3 2 6 4 2 2" xfId="46582"/>
    <cellStyle name="20% - Accent3 2 6 4 3" xfId="41012"/>
    <cellStyle name="20% - Accent3 2 6 5" xfId="15041"/>
    <cellStyle name="20% - Accent3 2 6 5 2" xfId="43902"/>
    <cellStyle name="20% - Accent3 2 6 6" xfId="29266"/>
    <cellStyle name="20% - Accent3 2 7" xfId="713"/>
    <cellStyle name="20% - Accent3 2 7 2" xfId="3600"/>
    <cellStyle name="20% - Accent3 2 7 2 2" xfId="9641"/>
    <cellStyle name="20% - Accent3 2 7 2 2 2" xfId="26688"/>
    <cellStyle name="20% - Accent3 2 7 2 2 2 2" xfId="55549"/>
    <cellStyle name="20% - Accent3 2 7 2 2 3" xfId="38502"/>
    <cellStyle name="20% - Accent3 2 7 2 3" xfId="20710"/>
    <cellStyle name="20% - Accent3 2 7 2 3 2" xfId="49571"/>
    <cellStyle name="20% - Accent3 2 7 2 4" xfId="32461"/>
    <cellStyle name="20% - Accent3 2 7 3" xfId="6755"/>
    <cellStyle name="20% - Accent3 2 7 3 2" xfId="23802"/>
    <cellStyle name="20% - Accent3 2 7 3 2 2" xfId="52663"/>
    <cellStyle name="20% - Accent3 2 7 3 3" xfId="35616"/>
    <cellStyle name="20% - Accent3 2 7 4" xfId="14203"/>
    <cellStyle name="20% - Accent3 2 7 4 2" xfId="18030"/>
    <cellStyle name="20% - Accent3 2 7 4 2 2" xfId="46891"/>
    <cellStyle name="20% - Accent3 2 7 4 3" xfId="43064"/>
    <cellStyle name="20% - Accent3 2 7 5" xfId="15350"/>
    <cellStyle name="20% - Accent3 2 7 5 2" xfId="44211"/>
    <cellStyle name="20% - Accent3 2 7 6" xfId="29575"/>
    <cellStyle name="20% - Accent3 2 8" xfId="919"/>
    <cellStyle name="20% - Accent3 2 8 2" xfId="3806"/>
    <cellStyle name="20% - Accent3 2 8 2 2" xfId="9847"/>
    <cellStyle name="20% - Accent3 2 8 2 2 2" xfId="26894"/>
    <cellStyle name="20% - Accent3 2 8 2 2 2 2" xfId="55755"/>
    <cellStyle name="20% - Accent3 2 8 2 2 3" xfId="38708"/>
    <cellStyle name="20% - Accent3 2 8 2 3" xfId="20916"/>
    <cellStyle name="20% - Accent3 2 8 2 3 2" xfId="49777"/>
    <cellStyle name="20% - Accent3 2 8 2 4" xfId="32667"/>
    <cellStyle name="20% - Accent3 2 8 3" xfId="6961"/>
    <cellStyle name="20% - Accent3 2 8 3 2" xfId="24008"/>
    <cellStyle name="20% - Accent3 2 8 3 2 2" xfId="52869"/>
    <cellStyle name="20% - Accent3 2 8 3 3" xfId="35822"/>
    <cellStyle name="20% - Accent3 2 8 4" xfId="13628"/>
    <cellStyle name="20% - Accent3 2 8 4 2" xfId="18236"/>
    <cellStyle name="20% - Accent3 2 8 4 2 2" xfId="47097"/>
    <cellStyle name="20% - Accent3 2 8 4 3" xfId="42489"/>
    <cellStyle name="20% - Accent3 2 8 5" xfId="15556"/>
    <cellStyle name="20% - Accent3 2 8 5 2" xfId="44417"/>
    <cellStyle name="20% - Accent3 2 8 6" xfId="29781"/>
    <cellStyle name="20% - Accent3 2 9" xfId="1125"/>
    <cellStyle name="20% - Accent3 2 9 2" xfId="4012"/>
    <cellStyle name="20% - Accent3 2 9 2 2" xfId="10053"/>
    <cellStyle name="20% - Accent3 2 9 2 2 2" xfId="27100"/>
    <cellStyle name="20% - Accent3 2 9 2 2 2 2" xfId="55961"/>
    <cellStyle name="20% - Accent3 2 9 2 2 3" xfId="38914"/>
    <cellStyle name="20% - Accent3 2 9 2 3" xfId="21122"/>
    <cellStyle name="20% - Accent3 2 9 2 3 2" xfId="49983"/>
    <cellStyle name="20% - Accent3 2 9 2 4" xfId="32873"/>
    <cellStyle name="20% - Accent3 2 9 3" xfId="7167"/>
    <cellStyle name="20% - Accent3 2 9 3 2" xfId="24214"/>
    <cellStyle name="20% - Accent3 2 9 3 2 2" xfId="53075"/>
    <cellStyle name="20% - Accent3 2 9 3 3" xfId="36028"/>
    <cellStyle name="20% - Accent3 2 9 4" xfId="12160"/>
    <cellStyle name="20% - Accent3 2 9 4 2" xfId="18442"/>
    <cellStyle name="20% - Accent3 2 9 4 2 2" xfId="47303"/>
    <cellStyle name="20% - Accent3 2 9 4 3" xfId="41021"/>
    <cellStyle name="20% - Accent3 2 9 5" xfId="15762"/>
    <cellStyle name="20% - Accent3 2 9 5 2" xfId="44623"/>
    <cellStyle name="20% - Accent3 2 9 6" xfId="29987"/>
    <cellStyle name="20% - Accent3 20" xfId="5864"/>
    <cellStyle name="20% - Accent3 20 2" xfId="22964"/>
    <cellStyle name="20% - Accent3 20 2 2" xfId="51825"/>
    <cellStyle name="20% - Accent3 20 3" xfId="34725"/>
    <cellStyle name="20% - Accent3 21" xfId="6123"/>
    <cellStyle name="20% - Accent3 21 2" xfId="23170"/>
    <cellStyle name="20% - Accent3 21 2 2" xfId="52031"/>
    <cellStyle name="20% - Accent3 21 3" xfId="34984"/>
    <cellStyle name="20% - Accent3 22" xfId="14512"/>
    <cellStyle name="20% - Accent3 22 2" xfId="43373"/>
    <cellStyle name="20% - Accent3 23" xfId="28943"/>
    <cellStyle name="20% - Accent3 3" xfId="108"/>
    <cellStyle name="20% - Accent3 3 10" xfId="1756"/>
    <cellStyle name="20% - Accent3 3 10 2" xfId="4643"/>
    <cellStyle name="20% - Accent3 3 10 2 2" xfId="10684"/>
    <cellStyle name="20% - Accent3 3 10 2 2 2" xfId="27731"/>
    <cellStyle name="20% - Accent3 3 10 2 2 2 2" xfId="56592"/>
    <cellStyle name="20% - Accent3 3 10 2 2 3" xfId="39545"/>
    <cellStyle name="20% - Accent3 3 10 2 3" xfId="21753"/>
    <cellStyle name="20% - Accent3 3 10 2 3 2" xfId="50614"/>
    <cellStyle name="20% - Accent3 3 10 2 4" xfId="33504"/>
    <cellStyle name="20% - Accent3 3 10 3" xfId="7798"/>
    <cellStyle name="20% - Accent3 3 10 3 2" xfId="24845"/>
    <cellStyle name="20% - Accent3 3 10 3 2 2" xfId="53706"/>
    <cellStyle name="20% - Accent3 3 10 3 3" xfId="36659"/>
    <cellStyle name="20% - Accent3 3 10 4" xfId="13662"/>
    <cellStyle name="20% - Accent3 3 10 4 2" xfId="19073"/>
    <cellStyle name="20% - Accent3 3 10 4 2 2" xfId="47934"/>
    <cellStyle name="20% - Accent3 3 10 4 3" xfId="42523"/>
    <cellStyle name="20% - Accent3 3 10 5" xfId="16393"/>
    <cellStyle name="20% - Accent3 3 10 5 2" xfId="45254"/>
    <cellStyle name="20% - Accent3 3 10 6" xfId="30618"/>
    <cellStyle name="20% - Accent3 3 11" xfId="1962"/>
    <cellStyle name="20% - Accent3 3 11 2" xfId="4849"/>
    <cellStyle name="20% - Accent3 3 11 2 2" xfId="10890"/>
    <cellStyle name="20% - Accent3 3 11 2 2 2" xfId="27937"/>
    <cellStyle name="20% - Accent3 3 11 2 2 2 2" xfId="56798"/>
    <cellStyle name="20% - Accent3 3 11 2 2 3" xfId="39751"/>
    <cellStyle name="20% - Accent3 3 11 2 3" xfId="21959"/>
    <cellStyle name="20% - Accent3 3 11 2 3 2" xfId="50820"/>
    <cellStyle name="20% - Accent3 3 11 2 4" xfId="33710"/>
    <cellStyle name="20% - Accent3 3 11 3" xfId="8004"/>
    <cellStyle name="20% - Accent3 3 11 3 2" xfId="25051"/>
    <cellStyle name="20% - Accent3 3 11 3 2 2" xfId="53912"/>
    <cellStyle name="20% - Accent3 3 11 3 3" xfId="36865"/>
    <cellStyle name="20% - Accent3 3 11 4" xfId="14122"/>
    <cellStyle name="20% - Accent3 3 11 4 2" xfId="19279"/>
    <cellStyle name="20% - Accent3 3 11 4 2 2" xfId="48140"/>
    <cellStyle name="20% - Accent3 3 11 4 3" xfId="42983"/>
    <cellStyle name="20% - Accent3 3 11 5" xfId="16599"/>
    <cellStyle name="20% - Accent3 3 11 5 2" xfId="45460"/>
    <cellStyle name="20% - Accent3 3 11 6" xfId="30824"/>
    <cellStyle name="20% - Accent3 3 12" xfId="2374"/>
    <cellStyle name="20% - Accent3 3 12 2" xfId="5261"/>
    <cellStyle name="20% - Accent3 3 12 2 2" xfId="11302"/>
    <cellStyle name="20% - Accent3 3 12 2 2 2" xfId="28349"/>
    <cellStyle name="20% - Accent3 3 12 2 2 2 2" xfId="57210"/>
    <cellStyle name="20% - Accent3 3 12 2 2 3" xfId="40163"/>
    <cellStyle name="20% - Accent3 3 12 2 3" xfId="22371"/>
    <cellStyle name="20% - Accent3 3 12 2 3 2" xfId="51232"/>
    <cellStyle name="20% - Accent3 3 12 2 4" xfId="34122"/>
    <cellStyle name="20% - Accent3 3 12 3" xfId="8416"/>
    <cellStyle name="20% - Accent3 3 12 3 2" xfId="25463"/>
    <cellStyle name="20% - Accent3 3 12 3 2 2" xfId="54324"/>
    <cellStyle name="20% - Accent3 3 12 3 3" xfId="37277"/>
    <cellStyle name="20% - Accent3 3 12 4" xfId="14436"/>
    <cellStyle name="20% - Accent3 3 12 4 2" xfId="19691"/>
    <cellStyle name="20% - Accent3 3 12 4 2 2" xfId="48552"/>
    <cellStyle name="20% - Accent3 3 12 4 3" xfId="43297"/>
    <cellStyle name="20% - Accent3 3 12 5" xfId="17011"/>
    <cellStyle name="20% - Accent3 3 12 5 2" xfId="45872"/>
    <cellStyle name="20% - Accent3 3 12 6" xfId="31236"/>
    <cellStyle name="20% - Accent3 3 13" xfId="2583"/>
    <cellStyle name="20% - Accent3 3 13 2" xfId="5469"/>
    <cellStyle name="20% - Accent3 3 13 2 2" xfId="11510"/>
    <cellStyle name="20% - Accent3 3 13 2 2 2" xfId="28557"/>
    <cellStyle name="20% - Accent3 3 13 2 2 2 2" xfId="57418"/>
    <cellStyle name="20% - Accent3 3 13 2 2 3" xfId="40371"/>
    <cellStyle name="20% - Accent3 3 13 2 3" xfId="22579"/>
    <cellStyle name="20% - Accent3 3 13 2 3 2" xfId="51440"/>
    <cellStyle name="20% - Accent3 3 13 2 4" xfId="34330"/>
    <cellStyle name="20% - Accent3 3 13 3" xfId="8624"/>
    <cellStyle name="20% - Accent3 3 13 3 2" xfId="25671"/>
    <cellStyle name="20% - Accent3 3 13 3 2 2" xfId="54532"/>
    <cellStyle name="20% - Accent3 3 13 3 3" xfId="37485"/>
    <cellStyle name="20% - Accent3 3 13 4" xfId="12374"/>
    <cellStyle name="20% - Accent3 3 13 4 2" xfId="19899"/>
    <cellStyle name="20% - Accent3 3 13 4 2 2" xfId="48760"/>
    <cellStyle name="20% - Accent3 3 13 4 3" xfId="41235"/>
    <cellStyle name="20% - Accent3 3 13 5" xfId="17219"/>
    <cellStyle name="20% - Accent3 3 13 5 2" xfId="46080"/>
    <cellStyle name="20% - Accent3 3 13 6" xfId="31444"/>
    <cellStyle name="20% - Accent3 3 14" xfId="2995"/>
    <cellStyle name="20% - Accent3 3 14 2" xfId="9036"/>
    <cellStyle name="20% - Accent3 3 14 2 2" xfId="26083"/>
    <cellStyle name="20% - Accent3 3 14 2 2 2" xfId="54944"/>
    <cellStyle name="20% - Accent3 3 14 2 3" xfId="37897"/>
    <cellStyle name="20% - Accent3 3 14 3" xfId="13871"/>
    <cellStyle name="20% - Accent3 3 14 3 2" xfId="20105"/>
    <cellStyle name="20% - Accent3 3 14 3 2 2" xfId="48966"/>
    <cellStyle name="20% - Accent3 3 14 3 3" xfId="42732"/>
    <cellStyle name="20% - Accent3 3 14 4" xfId="14745"/>
    <cellStyle name="20% - Accent3 3 14 4 2" xfId="43606"/>
    <cellStyle name="20% - Accent3 3 14 5" xfId="31856"/>
    <cellStyle name="20% - Accent3 3 15" xfId="2789"/>
    <cellStyle name="20% - Accent3 3 15 2" xfId="8830"/>
    <cellStyle name="20% - Accent3 3 15 2 2" xfId="25877"/>
    <cellStyle name="20% - Accent3 3 15 2 2 2" xfId="54738"/>
    <cellStyle name="20% - Accent3 3 15 2 3" xfId="37691"/>
    <cellStyle name="20% - Accent3 3 15 3" xfId="17425"/>
    <cellStyle name="20% - Accent3 3 15 3 2" xfId="46286"/>
    <cellStyle name="20% - Accent3 3 15 4" xfId="31650"/>
    <cellStyle name="20% - Accent3 3 16" xfId="5675"/>
    <cellStyle name="20% - Accent3 3 16 2" xfId="11716"/>
    <cellStyle name="20% - Accent3 3 16 2 2" xfId="28763"/>
    <cellStyle name="20% - Accent3 3 16 2 2 2" xfId="57624"/>
    <cellStyle name="20% - Accent3 3 16 2 3" xfId="40577"/>
    <cellStyle name="20% - Accent3 3 16 3" xfId="22785"/>
    <cellStyle name="20% - Accent3 3 16 3 2" xfId="51646"/>
    <cellStyle name="20% - Accent3 3 16 4" xfId="34536"/>
    <cellStyle name="20% - Accent3 3 17" xfId="5892"/>
    <cellStyle name="20% - Accent3 3 17 2" xfId="22991"/>
    <cellStyle name="20% - Accent3 3 17 2 2" xfId="51852"/>
    <cellStyle name="20% - Accent3 3 17 3" xfId="34753"/>
    <cellStyle name="20% - Accent3 3 18" xfId="6150"/>
    <cellStyle name="20% - Accent3 3 18 2" xfId="23197"/>
    <cellStyle name="20% - Accent3 3 18 2 2" xfId="52058"/>
    <cellStyle name="20% - Accent3 3 18 3" xfId="35011"/>
    <cellStyle name="20% - Accent3 3 19" xfId="14539"/>
    <cellStyle name="20% - Accent3 3 19 2" xfId="43400"/>
    <cellStyle name="20% - Accent3 3 2" xfId="314"/>
    <cellStyle name="20% - Accent3 3 2 10" xfId="2477"/>
    <cellStyle name="20% - Accent3 3 2 10 2" xfId="5364"/>
    <cellStyle name="20% - Accent3 3 2 10 2 2" xfId="11405"/>
    <cellStyle name="20% - Accent3 3 2 10 2 2 2" xfId="28452"/>
    <cellStyle name="20% - Accent3 3 2 10 2 2 2 2" xfId="57313"/>
    <cellStyle name="20% - Accent3 3 2 10 2 2 3" xfId="40266"/>
    <cellStyle name="20% - Accent3 3 2 10 2 3" xfId="22474"/>
    <cellStyle name="20% - Accent3 3 2 10 2 3 2" xfId="51335"/>
    <cellStyle name="20% - Accent3 3 2 10 2 4" xfId="34225"/>
    <cellStyle name="20% - Accent3 3 2 10 3" xfId="8519"/>
    <cellStyle name="20% - Accent3 3 2 10 3 2" xfId="25566"/>
    <cellStyle name="20% - Accent3 3 2 10 3 2 2" xfId="54427"/>
    <cellStyle name="20% - Accent3 3 2 10 3 3" xfId="37380"/>
    <cellStyle name="20% - Accent3 3 2 10 4" xfId="14484"/>
    <cellStyle name="20% - Accent3 3 2 10 4 2" xfId="19794"/>
    <cellStyle name="20% - Accent3 3 2 10 4 2 2" xfId="48655"/>
    <cellStyle name="20% - Accent3 3 2 10 4 3" xfId="43345"/>
    <cellStyle name="20% - Accent3 3 2 10 5" xfId="17114"/>
    <cellStyle name="20% - Accent3 3 2 10 5 2" xfId="45975"/>
    <cellStyle name="20% - Accent3 3 2 10 6" xfId="31339"/>
    <cellStyle name="20% - Accent3 3 2 11" xfId="2686"/>
    <cellStyle name="20% - Accent3 3 2 11 2" xfId="5572"/>
    <cellStyle name="20% - Accent3 3 2 11 2 2" xfId="11613"/>
    <cellStyle name="20% - Accent3 3 2 11 2 2 2" xfId="28660"/>
    <cellStyle name="20% - Accent3 3 2 11 2 2 2 2" xfId="57521"/>
    <cellStyle name="20% - Accent3 3 2 11 2 2 3" xfId="40474"/>
    <cellStyle name="20% - Accent3 3 2 11 2 3" xfId="22682"/>
    <cellStyle name="20% - Accent3 3 2 11 2 3 2" xfId="51543"/>
    <cellStyle name="20% - Accent3 3 2 11 2 4" xfId="34433"/>
    <cellStyle name="20% - Accent3 3 2 11 3" xfId="8727"/>
    <cellStyle name="20% - Accent3 3 2 11 3 2" xfId="25774"/>
    <cellStyle name="20% - Accent3 3 2 11 3 2 2" xfId="54635"/>
    <cellStyle name="20% - Accent3 3 2 11 3 3" xfId="37588"/>
    <cellStyle name="20% - Accent3 3 2 11 4" xfId="13463"/>
    <cellStyle name="20% - Accent3 3 2 11 4 2" xfId="20002"/>
    <cellStyle name="20% - Accent3 3 2 11 4 2 2" xfId="48863"/>
    <cellStyle name="20% - Accent3 3 2 11 4 3" xfId="42324"/>
    <cellStyle name="20% - Accent3 3 2 11 5" xfId="17322"/>
    <cellStyle name="20% - Accent3 3 2 11 5 2" xfId="46183"/>
    <cellStyle name="20% - Accent3 3 2 11 6" xfId="31547"/>
    <cellStyle name="20% - Accent3 3 2 12" xfId="3201"/>
    <cellStyle name="20% - Accent3 3 2 12 2" xfId="9242"/>
    <cellStyle name="20% - Accent3 3 2 12 2 2" xfId="26289"/>
    <cellStyle name="20% - Accent3 3 2 12 2 2 2" xfId="55150"/>
    <cellStyle name="20% - Accent3 3 2 12 2 3" xfId="38103"/>
    <cellStyle name="20% - Accent3 3 2 12 3" xfId="13240"/>
    <cellStyle name="20% - Accent3 3 2 12 3 2" xfId="20311"/>
    <cellStyle name="20% - Accent3 3 2 12 3 2 2" xfId="49172"/>
    <cellStyle name="20% - Accent3 3 2 12 3 3" xfId="42101"/>
    <cellStyle name="20% - Accent3 3 2 12 4" xfId="14951"/>
    <cellStyle name="20% - Accent3 3 2 12 4 2" xfId="43812"/>
    <cellStyle name="20% - Accent3 3 2 12 5" xfId="32062"/>
    <cellStyle name="20% - Accent3 3 2 13" xfId="2892"/>
    <cellStyle name="20% - Accent3 3 2 13 2" xfId="8933"/>
    <cellStyle name="20% - Accent3 3 2 13 2 2" xfId="25980"/>
    <cellStyle name="20% - Accent3 3 2 13 2 2 2" xfId="54841"/>
    <cellStyle name="20% - Accent3 3 2 13 2 3" xfId="37794"/>
    <cellStyle name="20% - Accent3 3 2 13 3" xfId="17528"/>
    <cellStyle name="20% - Accent3 3 2 13 3 2" xfId="46389"/>
    <cellStyle name="20% - Accent3 3 2 13 4" xfId="31753"/>
    <cellStyle name="20% - Accent3 3 2 14" xfId="5778"/>
    <cellStyle name="20% - Accent3 3 2 14 2" xfId="11819"/>
    <cellStyle name="20% - Accent3 3 2 14 2 2" xfId="28866"/>
    <cellStyle name="20% - Accent3 3 2 14 2 2 2" xfId="57727"/>
    <cellStyle name="20% - Accent3 3 2 14 2 3" xfId="40680"/>
    <cellStyle name="20% - Accent3 3 2 14 3" xfId="22888"/>
    <cellStyle name="20% - Accent3 3 2 14 3 2" xfId="51749"/>
    <cellStyle name="20% - Accent3 3 2 14 4" xfId="34639"/>
    <cellStyle name="20% - Accent3 3 2 15" xfId="5995"/>
    <cellStyle name="20% - Accent3 3 2 15 2" xfId="23094"/>
    <cellStyle name="20% - Accent3 3 2 15 2 2" xfId="51955"/>
    <cellStyle name="20% - Accent3 3 2 15 3" xfId="34856"/>
    <cellStyle name="20% - Accent3 3 2 16" xfId="6356"/>
    <cellStyle name="20% - Accent3 3 2 16 2" xfId="23403"/>
    <cellStyle name="20% - Accent3 3 2 16 2 2" xfId="52264"/>
    <cellStyle name="20% - Accent3 3 2 16 3" xfId="35217"/>
    <cellStyle name="20% - Accent3 3 2 17" xfId="14642"/>
    <cellStyle name="20% - Accent3 3 2 17 2" xfId="43503"/>
    <cellStyle name="20% - Accent3 3 2 18" xfId="29176"/>
    <cellStyle name="20% - Accent3 3 2 2" xfId="520"/>
    <cellStyle name="20% - Accent3 3 2 2 2" xfId="2271"/>
    <cellStyle name="20% - Accent3 3 2 2 2 2" xfId="5158"/>
    <cellStyle name="20% - Accent3 3 2 2 2 2 2" xfId="11199"/>
    <cellStyle name="20% - Accent3 3 2 2 2 2 2 2" xfId="28246"/>
    <cellStyle name="20% - Accent3 3 2 2 2 2 2 2 2" xfId="57107"/>
    <cellStyle name="20% - Accent3 3 2 2 2 2 2 3" xfId="40060"/>
    <cellStyle name="20% - Accent3 3 2 2 2 2 3" xfId="22268"/>
    <cellStyle name="20% - Accent3 3 2 2 2 2 3 2" xfId="51129"/>
    <cellStyle name="20% - Accent3 3 2 2 2 2 4" xfId="34019"/>
    <cellStyle name="20% - Accent3 3 2 2 2 3" xfId="8313"/>
    <cellStyle name="20% - Accent3 3 2 2 2 3 2" xfId="25360"/>
    <cellStyle name="20% - Accent3 3 2 2 2 3 2 2" xfId="54221"/>
    <cellStyle name="20% - Accent3 3 2 2 2 3 3" xfId="37174"/>
    <cellStyle name="20% - Accent3 3 2 2 2 4" xfId="11997"/>
    <cellStyle name="20% - Accent3 3 2 2 2 4 2" xfId="19588"/>
    <cellStyle name="20% - Accent3 3 2 2 2 4 2 2" xfId="48449"/>
    <cellStyle name="20% - Accent3 3 2 2 2 4 3" xfId="40858"/>
    <cellStyle name="20% - Accent3 3 2 2 2 5" xfId="16908"/>
    <cellStyle name="20% - Accent3 3 2 2 2 5 2" xfId="45769"/>
    <cellStyle name="20% - Accent3 3 2 2 2 6" xfId="31133"/>
    <cellStyle name="20% - Accent3 3 2 2 3" xfId="3407"/>
    <cellStyle name="20% - Accent3 3 2 2 3 2" xfId="9448"/>
    <cellStyle name="20% - Accent3 3 2 2 3 2 2" xfId="26495"/>
    <cellStyle name="20% - Accent3 3 2 2 3 2 2 2" xfId="55356"/>
    <cellStyle name="20% - Accent3 3 2 2 3 2 3" xfId="38309"/>
    <cellStyle name="20% - Accent3 3 2 2 3 3" xfId="20517"/>
    <cellStyle name="20% - Accent3 3 2 2 3 3 2" xfId="49378"/>
    <cellStyle name="20% - Accent3 3 2 2 3 4" xfId="32268"/>
    <cellStyle name="20% - Accent3 3 2 2 4" xfId="6562"/>
    <cellStyle name="20% - Accent3 3 2 2 4 2" xfId="23609"/>
    <cellStyle name="20% - Accent3 3 2 2 4 2 2" xfId="52470"/>
    <cellStyle name="20% - Accent3 3 2 2 4 3" xfId="35423"/>
    <cellStyle name="20% - Accent3 3 2 2 5" xfId="12052"/>
    <cellStyle name="20% - Accent3 3 2 2 5 2" xfId="17837"/>
    <cellStyle name="20% - Accent3 3 2 2 5 2 2" xfId="46698"/>
    <cellStyle name="20% - Accent3 3 2 2 5 3" xfId="40913"/>
    <cellStyle name="20% - Accent3 3 2 2 6" xfId="15157"/>
    <cellStyle name="20% - Accent3 3 2 2 6 2" xfId="44018"/>
    <cellStyle name="20% - Accent3 3 2 2 7" xfId="29382"/>
    <cellStyle name="20% - Accent3 3 2 3" xfId="829"/>
    <cellStyle name="20% - Accent3 3 2 3 2" xfId="3716"/>
    <cellStyle name="20% - Accent3 3 2 3 2 2" xfId="9757"/>
    <cellStyle name="20% - Accent3 3 2 3 2 2 2" xfId="26804"/>
    <cellStyle name="20% - Accent3 3 2 3 2 2 2 2" xfId="55665"/>
    <cellStyle name="20% - Accent3 3 2 3 2 2 3" xfId="38618"/>
    <cellStyle name="20% - Accent3 3 2 3 2 3" xfId="20826"/>
    <cellStyle name="20% - Accent3 3 2 3 2 3 2" xfId="49687"/>
    <cellStyle name="20% - Accent3 3 2 3 2 4" xfId="32577"/>
    <cellStyle name="20% - Accent3 3 2 3 3" xfId="6871"/>
    <cellStyle name="20% - Accent3 3 2 3 3 2" xfId="23918"/>
    <cellStyle name="20% - Accent3 3 2 3 3 2 2" xfId="52779"/>
    <cellStyle name="20% - Accent3 3 2 3 3 3" xfId="35732"/>
    <cellStyle name="20% - Accent3 3 2 3 4" xfId="12971"/>
    <cellStyle name="20% - Accent3 3 2 3 4 2" xfId="18146"/>
    <cellStyle name="20% - Accent3 3 2 3 4 2 2" xfId="47007"/>
    <cellStyle name="20% - Accent3 3 2 3 4 3" xfId="41832"/>
    <cellStyle name="20% - Accent3 3 2 3 5" xfId="15466"/>
    <cellStyle name="20% - Accent3 3 2 3 5 2" xfId="44327"/>
    <cellStyle name="20% - Accent3 3 2 3 6" xfId="29691"/>
    <cellStyle name="20% - Accent3 3 2 4" xfId="1035"/>
    <cellStyle name="20% - Accent3 3 2 4 2" xfId="3922"/>
    <cellStyle name="20% - Accent3 3 2 4 2 2" xfId="9963"/>
    <cellStyle name="20% - Accent3 3 2 4 2 2 2" xfId="27010"/>
    <cellStyle name="20% - Accent3 3 2 4 2 2 2 2" xfId="55871"/>
    <cellStyle name="20% - Accent3 3 2 4 2 2 3" xfId="38824"/>
    <cellStyle name="20% - Accent3 3 2 4 2 3" xfId="21032"/>
    <cellStyle name="20% - Accent3 3 2 4 2 3 2" xfId="49893"/>
    <cellStyle name="20% - Accent3 3 2 4 2 4" xfId="32783"/>
    <cellStyle name="20% - Accent3 3 2 4 3" xfId="7077"/>
    <cellStyle name="20% - Accent3 3 2 4 3 2" xfId="24124"/>
    <cellStyle name="20% - Accent3 3 2 4 3 2 2" xfId="52985"/>
    <cellStyle name="20% - Accent3 3 2 4 3 3" xfId="35938"/>
    <cellStyle name="20% - Accent3 3 2 4 4" xfId="14462"/>
    <cellStyle name="20% - Accent3 3 2 4 4 2" xfId="18352"/>
    <cellStyle name="20% - Accent3 3 2 4 4 2 2" xfId="47213"/>
    <cellStyle name="20% - Accent3 3 2 4 4 3" xfId="43323"/>
    <cellStyle name="20% - Accent3 3 2 4 5" xfId="15672"/>
    <cellStyle name="20% - Accent3 3 2 4 5 2" xfId="44533"/>
    <cellStyle name="20% - Accent3 3 2 4 6" xfId="29897"/>
    <cellStyle name="20% - Accent3 3 2 5" xfId="1241"/>
    <cellStyle name="20% - Accent3 3 2 5 2" xfId="4128"/>
    <cellStyle name="20% - Accent3 3 2 5 2 2" xfId="10169"/>
    <cellStyle name="20% - Accent3 3 2 5 2 2 2" xfId="27216"/>
    <cellStyle name="20% - Accent3 3 2 5 2 2 2 2" xfId="56077"/>
    <cellStyle name="20% - Accent3 3 2 5 2 2 3" xfId="39030"/>
    <cellStyle name="20% - Accent3 3 2 5 2 3" xfId="21238"/>
    <cellStyle name="20% - Accent3 3 2 5 2 3 2" xfId="50099"/>
    <cellStyle name="20% - Accent3 3 2 5 2 4" xfId="32989"/>
    <cellStyle name="20% - Accent3 3 2 5 3" xfId="7283"/>
    <cellStyle name="20% - Accent3 3 2 5 3 2" xfId="24330"/>
    <cellStyle name="20% - Accent3 3 2 5 3 2 2" xfId="53191"/>
    <cellStyle name="20% - Accent3 3 2 5 3 3" xfId="36144"/>
    <cellStyle name="20% - Accent3 3 2 5 4" xfId="12914"/>
    <cellStyle name="20% - Accent3 3 2 5 4 2" xfId="18558"/>
    <cellStyle name="20% - Accent3 3 2 5 4 2 2" xfId="47419"/>
    <cellStyle name="20% - Accent3 3 2 5 4 3" xfId="41775"/>
    <cellStyle name="20% - Accent3 3 2 5 5" xfId="15878"/>
    <cellStyle name="20% - Accent3 3 2 5 5 2" xfId="44739"/>
    <cellStyle name="20% - Accent3 3 2 5 6" xfId="30103"/>
    <cellStyle name="20% - Accent3 3 2 6" xfId="1447"/>
    <cellStyle name="20% - Accent3 3 2 6 2" xfId="4334"/>
    <cellStyle name="20% - Accent3 3 2 6 2 2" xfId="10375"/>
    <cellStyle name="20% - Accent3 3 2 6 2 2 2" xfId="27422"/>
    <cellStyle name="20% - Accent3 3 2 6 2 2 2 2" xfId="56283"/>
    <cellStyle name="20% - Accent3 3 2 6 2 2 3" xfId="39236"/>
    <cellStyle name="20% - Accent3 3 2 6 2 3" xfId="21444"/>
    <cellStyle name="20% - Accent3 3 2 6 2 3 2" xfId="50305"/>
    <cellStyle name="20% - Accent3 3 2 6 2 4" xfId="33195"/>
    <cellStyle name="20% - Accent3 3 2 6 3" xfId="7489"/>
    <cellStyle name="20% - Accent3 3 2 6 3 2" xfId="24536"/>
    <cellStyle name="20% - Accent3 3 2 6 3 2 2" xfId="53397"/>
    <cellStyle name="20% - Accent3 3 2 6 3 3" xfId="36350"/>
    <cellStyle name="20% - Accent3 3 2 6 4" xfId="13481"/>
    <cellStyle name="20% - Accent3 3 2 6 4 2" xfId="18764"/>
    <cellStyle name="20% - Accent3 3 2 6 4 2 2" xfId="47625"/>
    <cellStyle name="20% - Accent3 3 2 6 4 3" xfId="42342"/>
    <cellStyle name="20% - Accent3 3 2 6 5" xfId="16084"/>
    <cellStyle name="20% - Accent3 3 2 6 5 2" xfId="44945"/>
    <cellStyle name="20% - Accent3 3 2 6 6" xfId="30309"/>
    <cellStyle name="20% - Accent3 3 2 7" xfId="1653"/>
    <cellStyle name="20% - Accent3 3 2 7 2" xfId="4540"/>
    <cellStyle name="20% - Accent3 3 2 7 2 2" xfId="10581"/>
    <cellStyle name="20% - Accent3 3 2 7 2 2 2" xfId="27628"/>
    <cellStyle name="20% - Accent3 3 2 7 2 2 2 2" xfId="56489"/>
    <cellStyle name="20% - Accent3 3 2 7 2 2 3" xfId="39442"/>
    <cellStyle name="20% - Accent3 3 2 7 2 3" xfId="21650"/>
    <cellStyle name="20% - Accent3 3 2 7 2 3 2" xfId="50511"/>
    <cellStyle name="20% - Accent3 3 2 7 2 4" xfId="33401"/>
    <cellStyle name="20% - Accent3 3 2 7 3" xfId="7695"/>
    <cellStyle name="20% - Accent3 3 2 7 3 2" xfId="24742"/>
    <cellStyle name="20% - Accent3 3 2 7 3 2 2" xfId="53603"/>
    <cellStyle name="20% - Accent3 3 2 7 3 3" xfId="36556"/>
    <cellStyle name="20% - Accent3 3 2 7 4" xfId="13548"/>
    <cellStyle name="20% - Accent3 3 2 7 4 2" xfId="18970"/>
    <cellStyle name="20% - Accent3 3 2 7 4 2 2" xfId="47831"/>
    <cellStyle name="20% - Accent3 3 2 7 4 3" xfId="42409"/>
    <cellStyle name="20% - Accent3 3 2 7 5" xfId="16290"/>
    <cellStyle name="20% - Accent3 3 2 7 5 2" xfId="45151"/>
    <cellStyle name="20% - Accent3 3 2 7 6" xfId="30515"/>
    <cellStyle name="20% - Accent3 3 2 8" xfId="1859"/>
    <cellStyle name="20% - Accent3 3 2 8 2" xfId="4746"/>
    <cellStyle name="20% - Accent3 3 2 8 2 2" xfId="10787"/>
    <cellStyle name="20% - Accent3 3 2 8 2 2 2" xfId="27834"/>
    <cellStyle name="20% - Accent3 3 2 8 2 2 2 2" xfId="56695"/>
    <cellStyle name="20% - Accent3 3 2 8 2 2 3" xfId="39648"/>
    <cellStyle name="20% - Accent3 3 2 8 2 3" xfId="21856"/>
    <cellStyle name="20% - Accent3 3 2 8 2 3 2" xfId="50717"/>
    <cellStyle name="20% - Accent3 3 2 8 2 4" xfId="33607"/>
    <cellStyle name="20% - Accent3 3 2 8 3" xfId="7901"/>
    <cellStyle name="20% - Accent3 3 2 8 3 2" xfId="24948"/>
    <cellStyle name="20% - Accent3 3 2 8 3 2 2" xfId="53809"/>
    <cellStyle name="20% - Accent3 3 2 8 3 3" xfId="36762"/>
    <cellStyle name="20% - Accent3 3 2 8 4" xfId="13297"/>
    <cellStyle name="20% - Accent3 3 2 8 4 2" xfId="19176"/>
    <cellStyle name="20% - Accent3 3 2 8 4 2 2" xfId="48037"/>
    <cellStyle name="20% - Accent3 3 2 8 4 3" xfId="42158"/>
    <cellStyle name="20% - Accent3 3 2 8 5" xfId="16496"/>
    <cellStyle name="20% - Accent3 3 2 8 5 2" xfId="45357"/>
    <cellStyle name="20% - Accent3 3 2 8 6" xfId="30721"/>
    <cellStyle name="20% - Accent3 3 2 9" xfId="2065"/>
    <cellStyle name="20% - Accent3 3 2 9 2" xfId="4952"/>
    <cellStyle name="20% - Accent3 3 2 9 2 2" xfId="10993"/>
    <cellStyle name="20% - Accent3 3 2 9 2 2 2" xfId="28040"/>
    <cellStyle name="20% - Accent3 3 2 9 2 2 2 2" xfId="56901"/>
    <cellStyle name="20% - Accent3 3 2 9 2 2 3" xfId="39854"/>
    <cellStyle name="20% - Accent3 3 2 9 2 3" xfId="22062"/>
    <cellStyle name="20% - Accent3 3 2 9 2 3 2" xfId="50923"/>
    <cellStyle name="20% - Accent3 3 2 9 2 4" xfId="33813"/>
    <cellStyle name="20% - Accent3 3 2 9 3" xfId="8107"/>
    <cellStyle name="20% - Accent3 3 2 9 3 2" xfId="25154"/>
    <cellStyle name="20% - Accent3 3 2 9 3 2 2" xfId="54015"/>
    <cellStyle name="20% - Accent3 3 2 9 3 3" xfId="36968"/>
    <cellStyle name="20% - Accent3 3 2 9 4" xfId="12931"/>
    <cellStyle name="20% - Accent3 3 2 9 4 2" xfId="19382"/>
    <cellStyle name="20% - Accent3 3 2 9 4 2 2" xfId="48243"/>
    <cellStyle name="20% - Accent3 3 2 9 4 3" xfId="41792"/>
    <cellStyle name="20% - Accent3 3 2 9 5" xfId="16702"/>
    <cellStyle name="20% - Accent3 3 2 9 5 2" xfId="45563"/>
    <cellStyle name="20% - Accent3 3 2 9 6" xfId="30927"/>
    <cellStyle name="20% - Accent3 3 20" xfId="28970"/>
    <cellStyle name="20% - Accent3 3 3" xfId="211"/>
    <cellStyle name="20% - Accent3 3 3 2" xfId="623"/>
    <cellStyle name="20% - Accent3 3 3 2 2" xfId="3510"/>
    <cellStyle name="20% - Accent3 3 3 2 2 2" xfId="9551"/>
    <cellStyle name="20% - Accent3 3 3 2 2 2 2" xfId="26598"/>
    <cellStyle name="20% - Accent3 3 3 2 2 2 2 2" xfId="55459"/>
    <cellStyle name="20% - Accent3 3 3 2 2 2 3" xfId="38412"/>
    <cellStyle name="20% - Accent3 3 3 2 2 3" xfId="20620"/>
    <cellStyle name="20% - Accent3 3 3 2 2 3 2" xfId="49481"/>
    <cellStyle name="20% - Accent3 3 3 2 2 4" xfId="32371"/>
    <cellStyle name="20% - Accent3 3 3 2 3" xfId="6665"/>
    <cellStyle name="20% - Accent3 3 3 2 3 2" xfId="23712"/>
    <cellStyle name="20% - Accent3 3 3 2 3 2 2" xfId="52573"/>
    <cellStyle name="20% - Accent3 3 3 2 3 3" xfId="35526"/>
    <cellStyle name="20% - Accent3 3 3 2 4" xfId="11987"/>
    <cellStyle name="20% - Accent3 3 3 2 4 2" xfId="17940"/>
    <cellStyle name="20% - Accent3 3 3 2 4 2 2" xfId="46801"/>
    <cellStyle name="20% - Accent3 3 3 2 4 3" xfId="40848"/>
    <cellStyle name="20% - Accent3 3 3 2 5" xfId="15260"/>
    <cellStyle name="20% - Accent3 3 3 2 5 2" xfId="44121"/>
    <cellStyle name="20% - Accent3 3 3 2 6" xfId="29485"/>
    <cellStyle name="20% - Accent3 3 3 3" xfId="2168"/>
    <cellStyle name="20% - Accent3 3 3 3 2" xfId="5055"/>
    <cellStyle name="20% - Accent3 3 3 3 2 2" xfId="11096"/>
    <cellStyle name="20% - Accent3 3 3 3 2 2 2" xfId="28143"/>
    <cellStyle name="20% - Accent3 3 3 3 2 2 2 2" xfId="57004"/>
    <cellStyle name="20% - Accent3 3 3 3 2 2 3" xfId="39957"/>
    <cellStyle name="20% - Accent3 3 3 3 2 3" xfId="22165"/>
    <cellStyle name="20% - Accent3 3 3 3 2 3 2" xfId="51026"/>
    <cellStyle name="20% - Accent3 3 3 3 2 4" xfId="33916"/>
    <cellStyle name="20% - Accent3 3 3 3 3" xfId="8210"/>
    <cellStyle name="20% - Accent3 3 3 3 3 2" xfId="25257"/>
    <cellStyle name="20% - Accent3 3 3 3 3 2 2" xfId="54118"/>
    <cellStyle name="20% - Accent3 3 3 3 3 3" xfId="37071"/>
    <cellStyle name="20% - Accent3 3 3 3 4" xfId="12389"/>
    <cellStyle name="20% - Accent3 3 3 3 4 2" xfId="19485"/>
    <cellStyle name="20% - Accent3 3 3 3 4 2 2" xfId="48346"/>
    <cellStyle name="20% - Accent3 3 3 3 4 3" xfId="41250"/>
    <cellStyle name="20% - Accent3 3 3 3 5" xfId="16805"/>
    <cellStyle name="20% - Accent3 3 3 3 5 2" xfId="45666"/>
    <cellStyle name="20% - Accent3 3 3 3 6" xfId="31030"/>
    <cellStyle name="20% - Accent3 3 3 4" xfId="3098"/>
    <cellStyle name="20% - Accent3 3 3 4 2" xfId="9139"/>
    <cellStyle name="20% - Accent3 3 3 4 2 2" xfId="26186"/>
    <cellStyle name="20% - Accent3 3 3 4 2 2 2" xfId="55047"/>
    <cellStyle name="20% - Accent3 3 3 4 2 3" xfId="38000"/>
    <cellStyle name="20% - Accent3 3 3 4 3" xfId="20208"/>
    <cellStyle name="20% - Accent3 3 3 4 3 2" xfId="49069"/>
    <cellStyle name="20% - Accent3 3 3 4 4" xfId="31959"/>
    <cellStyle name="20% - Accent3 3 3 5" xfId="6253"/>
    <cellStyle name="20% - Accent3 3 3 5 2" xfId="23300"/>
    <cellStyle name="20% - Accent3 3 3 5 2 2" xfId="52161"/>
    <cellStyle name="20% - Accent3 3 3 5 3" xfId="35114"/>
    <cellStyle name="20% - Accent3 3 3 6" xfId="14388"/>
    <cellStyle name="20% - Accent3 3 3 6 2" xfId="17631"/>
    <cellStyle name="20% - Accent3 3 3 6 2 2" xfId="46492"/>
    <cellStyle name="20% - Accent3 3 3 6 3" xfId="43249"/>
    <cellStyle name="20% - Accent3 3 3 7" xfId="14848"/>
    <cellStyle name="20% - Accent3 3 3 7 2" xfId="43709"/>
    <cellStyle name="20% - Accent3 3 3 8" xfId="29073"/>
    <cellStyle name="20% - Accent3 3 4" xfId="417"/>
    <cellStyle name="20% - Accent3 3 4 2" xfId="3304"/>
    <cellStyle name="20% - Accent3 3 4 2 2" xfId="9345"/>
    <cellStyle name="20% - Accent3 3 4 2 2 2" xfId="26392"/>
    <cellStyle name="20% - Accent3 3 4 2 2 2 2" xfId="55253"/>
    <cellStyle name="20% - Accent3 3 4 2 2 3" xfId="38206"/>
    <cellStyle name="20% - Accent3 3 4 2 3" xfId="20414"/>
    <cellStyle name="20% - Accent3 3 4 2 3 2" xfId="49275"/>
    <cellStyle name="20% - Accent3 3 4 2 4" xfId="32165"/>
    <cellStyle name="20% - Accent3 3 4 3" xfId="6459"/>
    <cellStyle name="20% - Accent3 3 4 3 2" xfId="23506"/>
    <cellStyle name="20% - Accent3 3 4 3 2 2" xfId="52367"/>
    <cellStyle name="20% - Accent3 3 4 3 3" xfId="35320"/>
    <cellStyle name="20% - Accent3 3 4 4" xfId="12297"/>
    <cellStyle name="20% - Accent3 3 4 4 2" xfId="17734"/>
    <cellStyle name="20% - Accent3 3 4 4 2 2" xfId="46595"/>
    <cellStyle name="20% - Accent3 3 4 4 3" xfId="41158"/>
    <cellStyle name="20% - Accent3 3 4 5" xfId="15054"/>
    <cellStyle name="20% - Accent3 3 4 5 2" xfId="43915"/>
    <cellStyle name="20% - Accent3 3 4 6" xfId="29279"/>
    <cellStyle name="20% - Accent3 3 5" xfId="726"/>
    <cellStyle name="20% - Accent3 3 5 2" xfId="3613"/>
    <cellStyle name="20% - Accent3 3 5 2 2" xfId="9654"/>
    <cellStyle name="20% - Accent3 3 5 2 2 2" xfId="26701"/>
    <cellStyle name="20% - Accent3 3 5 2 2 2 2" xfId="55562"/>
    <cellStyle name="20% - Accent3 3 5 2 2 3" xfId="38515"/>
    <cellStyle name="20% - Accent3 3 5 2 3" xfId="20723"/>
    <cellStyle name="20% - Accent3 3 5 2 3 2" xfId="49584"/>
    <cellStyle name="20% - Accent3 3 5 2 4" xfId="32474"/>
    <cellStyle name="20% - Accent3 3 5 3" xfId="6768"/>
    <cellStyle name="20% - Accent3 3 5 3 2" xfId="23815"/>
    <cellStyle name="20% - Accent3 3 5 3 2 2" xfId="52676"/>
    <cellStyle name="20% - Accent3 3 5 3 3" xfId="35629"/>
    <cellStyle name="20% - Accent3 3 5 4" xfId="14295"/>
    <cellStyle name="20% - Accent3 3 5 4 2" xfId="18043"/>
    <cellStyle name="20% - Accent3 3 5 4 2 2" xfId="46904"/>
    <cellStyle name="20% - Accent3 3 5 4 3" xfId="43156"/>
    <cellStyle name="20% - Accent3 3 5 5" xfId="15363"/>
    <cellStyle name="20% - Accent3 3 5 5 2" xfId="44224"/>
    <cellStyle name="20% - Accent3 3 5 6" xfId="29588"/>
    <cellStyle name="20% - Accent3 3 6" xfId="932"/>
    <cellStyle name="20% - Accent3 3 6 2" xfId="3819"/>
    <cellStyle name="20% - Accent3 3 6 2 2" xfId="9860"/>
    <cellStyle name="20% - Accent3 3 6 2 2 2" xfId="26907"/>
    <cellStyle name="20% - Accent3 3 6 2 2 2 2" xfId="55768"/>
    <cellStyle name="20% - Accent3 3 6 2 2 3" xfId="38721"/>
    <cellStyle name="20% - Accent3 3 6 2 3" xfId="20929"/>
    <cellStyle name="20% - Accent3 3 6 2 3 2" xfId="49790"/>
    <cellStyle name="20% - Accent3 3 6 2 4" xfId="32680"/>
    <cellStyle name="20% - Accent3 3 6 3" xfId="6974"/>
    <cellStyle name="20% - Accent3 3 6 3 2" xfId="24021"/>
    <cellStyle name="20% - Accent3 3 6 3 2 2" xfId="52882"/>
    <cellStyle name="20% - Accent3 3 6 3 3" xfId="35835"/>
    <cellStyle name="20% - Accent3 3 6 4" xfId="12583"/>
    <cellStyle name="20% - Accent3 3 6 4 2" xfId="18249"/>
    <cellStyle name="20% - Accent3 3 6 4 2 2" xfId="47110"/>
    <cellStyle name="20% - Accent3 3 6 4 3" xfId="41444"/>
    <cellStyle name="20% - Accent3 3 6 5" xfId="15569"/>
    <cellStyle name="20% - Accent3 3 6 5 2" xfId="44430"/>
    <cellStyle name="20% - Accent3 3 6 6" xfId="29794"/>
    <cellStyle name="20% - Accent3 3 7" xfId="1138"/>
    <cellStyle name="20% - Accent3 3 7 2" xfId="4025"/>
    <cellStyle name="20% - Accent3 3 7 2 2" xfId="10066"/>
    <cellStyle name="20% - Accent3 3 7 2 2 2" xfId="27113"/>
    <cellStyle name="20% - Accent3 3 7 2 2 2 2" xfId="55974"/>
    <cellStyle name="20% - Accent3 3 7 2 2 3" xfId="38927"/>
    <cellStyle name="20% - Accent3 3 7 2 3" xfId="21135"/>
    <cellStyle name="20% - Accent3 3 7 2 3 2" xfId="49996"/>
    <cellStyle name="20% - Accent3 3 7 2 4" xfId="32886"/>
    <cellStyle name="20% - Accent3 3 7 3" xfId="7180"/>
    <cellStyle name="20% - Accent3 3 7 3 2" xfId="24227"/>
    <cellStyle name="20% - Accent3 3 7 3 2 2" xfId="53088"/>
    <cellStyle name="20% - Accent3 3 7 3 3" xfId="36041"/>
    <cellStyle name="20% - Accent3 3 7 4" xfId="13312"/>
    <cellStyle name="20% - Accent3 3 7 4 2" xfId="18455"/>
    <cellStyle name="20% - Accent3 3 7 4 2 2" xfId="47316"/>
    <cellStyle name="20% - Accent3 3 7 4 3" xfId="42173"/>
    <cellStyle name="20% - Accent3 3 7 5" xfId="15775"/>
    <cellStyle name="20% - Accent3 3 7 5 2" xfId="44636"/>
    <cellStyle name="20% - Accent3 3 7 6" xfId="30000"/>
    <cellStyle name="20% - Accent3 3 8" xfId="1344"/>
    <cellStyle name="20% - Accent3 3 8 2" xfId="4231"/>
    <cellStyle name="20% - Accent3 3 8 2 2" xfId="10272"/>
    <cellStyle name="20% - Accent3 3 8 2 2 2" xfId="27319"/>
    <cellStyle name="20% - Accent3 3 8 2 2 2 2" xfId="56180"/>
    <cellStyle name="20% - Accent3 3 8 2 2 3" xfId="39133"/>
    <cellStyle name="20% - Accent3 3 8 2 3" xfId="21341"/>
    <cellStyle name="20% - Accent3 3 8 2 3 2" xfId="50202"/>
    <cellStyle name="20% - Accent3 3 8 2 4" xfId="33092"/>
    <cellStyle name="20% - Accent3 3 8 3" xfId="7386"/>
    <cellStyle name="20% - Accent3 3 8 3 2" xfId="24433"/>
    <cellStyle name="20% - Accent3 3 8 3 2 2" xfId="53294"/>
    <cellStyle name="20% - Accent3 3 8 3 3" xfId="36247"/>
    <cellStyle name="20% - Accent3 3 8 4" xfId="12123"/>
    <cellStyle name="20% - Accent3 3 8 4 2" xfId="18661"/>
    <cellStyle name="20% - Accent3 3 8 4 2 2" xfId="47522"/>
    <cellStyle name="20% - Accent3 3 8 4 3" xfId="40984"/>
    <cellStyle name="20% - Accent3 3 8 5" xfId="15981"/>
    <cellStyle name="20% - Accent3 3 8 5 2" xfId="44842"/>
    <cellStyle name="20% - Accent3 3 8 6" xfId="30206"/>
    <cellStyle name="20% - Accent3 3 9" xfId="1550"/>
    <cellStyle name="20% - Accent3 3 9 2" xfId="4437"/>
    <cellStyle name="20% - Accent3 3 9 2 2" xfId="10478"/>
    <cellStyle name="20% - Accent3 3 9 2 2 2" xfId="27525"/>
    <cellStyle name="20% - Accent3 3 9 2 2 2 2" xfId="56386"/>
    <cellStyle name="20% - Accent3 3 9 2 2 3" xfId="39339"/>
    <cellStyle name="20% - Accent3 3 9 2 3" xfId="21547"/>
    <cellStyle name="20% - Accent3 3 9 2 3 2" xfId="50408"/>
    <cellStyle name="20% - Accent3 3 9 2 4" xfId="33298"/>
    <cellStyle name="20% - Accent3 3 9 3" xfId="7592"/>
    <cellStyle name="20% - Accent3 3 9 3 2" xfId="24639"/>
    <cellStyle name="20% - Accent3 3 9 3 2 2" xfId="53500"/>
    <cellStyle name="20% - Accent3 3 9 3 3" xfId="36453"/>
    <cellStyle name="20% - Accent3 3 9 4" xfId="12489"/>
    <cellStyle name="20% - Accent3 3 9 4 2" xfId="18867"/>
    <cellStyle name="20% - Accent3 3 9 4 2 2" xfId="47728"/>
    <cellStyle name="20% - Accent3 3 9 4 3" xfId="41350"/>
    <cellStyle name="20% - Accent3 3 9 5" xfId="16187"/>
    <cellStyle name="20% - Accent3 3 9 5 2" xfId="45048"/>
    <cellStyle name="20% - Accent3 3 9 6" xfId="30412"/>
    <cellStyle name="20% - Accent3 4" xfId="134"/>
    <cellStyle name="20% - Accent3 4 10" xfId="1782"/>
    <cellStyle name="20% - Accent3 4 10 2" xfId="4669"/>
    <cellStyle name="20% - Accent3 4 10 2 2" xfId="10710"/>
    <cellStyle name="20% - Accent3 4 10 2 2 2" xfId="27757"/>
    <cellStyle name="20% - Accent3 4 10 2 2 2 2" xfId="56618"/>
    <cellStyle name="20% - Accent3 4 10 2 2 3" xfId="39571"/>
    <cellStyle name="20% - Accent3 4 10 2 3" xfId="21779"/>
    <cellStyle name="20% - Accent3 4 10 2 3 2" xfId="50640"/>
    <cellStyle name="20% - Accent3 4 10 2 4" xfId="33530"/>
    <cellStyle name="20% - Accent3 4 10 3" xfId="7824"/>
    <cellStyle name="20% - Accent3 4 10 3 2" xfId="24871"/>
    <cellStyle name="20% - Accent3 4 10 3 2 2" xfId="53732"/>
    <cellStyle name="20% - Accent3 4 10 3 3" xfId="36685"/>
    <cellStyle name="20% - Accent3 4 10 4" xfId="13882"/>
    <cellStyle name="20% - Accent3 4 10 4 2" xfId="19099"/>
    <cellStyle name="20% - Accent3 4 10 4 2 2" xfId="47960"/>
    <cellStyle name="20% - Accent3 4 10 4 3" xfId="42743"/>
    <cellStyle name="20% - Accent3 4 10 5" xfId="16419"/>
    <cellStyle name="20% - Accent3 4 10 5 2" xfId="45280"/>
    <cellStyle name="20% - Accent3 4 10 6" xfId="30644"/>
    <cellStyle name="20% - Accent3 4 11" xfId="1988"/>
    <cellStyle name="20% - Accent3 4 11 2" xfId="4875"/>
    <cellStyle name="20% - Accent3 4 11 2 2" xfId="10916"/>
    <cellStyle name="20% - Accent3 4 11 2 2 2" xfId="27963"/>
    <cellStyle name="20% - Accent3 4 11 2 2 2 2" xfId="56824"/>
    <cellStyle name="20% - Accent3 4 11 2 2 3" xfId="39777"/>
    <cellStyle name="20% - Accent3 4 11 2 3" xfId="21985"/>
    <cellStyle name="20% - Accent3 4 11 2 3 2" xfId="50846"/>
    <cellStyle name="20% - Accent3 4 11 2 4" xfId="33736"/>
    <cellStyle name="20% - Accent3 4 11 3" xfId="8030"/>
    <cellStyle name="20% - Accent3 4 11 3 2" xfId="25077"/>
    <cellStyle name="20% - Accent3 4 11 3 2 2" xfId="53938"/>
    <cellStyle name="20% - Accent3 4 11 3 3" xfId="36891"/>
    <cellStyle name="20% - Accent3 4 11 4" xfId="14323"/>
    <cellStyle name="20% - Accent3 4 11 4 2" xfId="19305"/>
    <cellStyle name="20% - Accent3 4 11 4 2 2" xfId="48166"/>
    <cellStyle name="20% - Accent3 4 11 4 3" xfId="43184"/>
    <cellStyle name="20% - Accent3 4 11 5" xfId="16625"/>
    <cellStyle name="20% - Accent3 4 11 5 2" xfId="45486"/>
    <cellStyle name="20% - Accent3 4 11 6" xfId="30850"/>
    <cellStyle name="20% - Accent3 4 12" xfId="2400"/>
    <cellStyle name="20% - Accent3 4 12 2" xfId="5287"/>
    <cellStyle name="20% - Accent3 4 12 2 2" xfId="11328"/>
    <cellStyle name="20% - Accent3 4 12 2 2 2" xfId="28375"/>
    <cellStyle name="20% - Accent3 4 12 2 2 2 2" xfId="57236"/>
    <cellStyle name="20% - Accent3 4 12 2 2 3" xfId="40189"/>
    <cellStyle name="20% - Accent3 4 12 2 3" xfId="22397"/>
    <cellStyle name="20% - Accent3 4 12 2 3 2" xfId="51258"/>
    <cellStyle name="20% - Accent3 4 12 2 4" xfId="34148"/>
    <cellStyle name="20% - Accent3 4 12 3" xfId="8442"/>
    <cellStyle name="20% - Accent3 4 12 3 2" xfId="25489"/>
    <cellStyle name="20% - Accent3 4 12 3 2 2" xfId="54350"/>
    <cellStyle name="20% - Accent3 4 12 3 3" xfId="37303"/>
    <cellStyle name="20% - Accent3 4 12 4" xfId="13340"/>
    <cellStyle name="20% - Accent3 4 12 4 2" xfId="19717"/>
    <cellStyle name="20% - Accent3 4 12 4 2 2" xfId="48578"/>
    <cellStyle name="20% - Accent3 4 12 4 3" xfId="42201"/>
    <cellStyle name="20% - Accent3 4 12 5" xfId="17037"/>
    <cellStyle name="20% - Accent3 4 12 5 2" xfId="45898"/>
    <cellStyle name="20% - Accent3 4 12 6" xfId="31262"/>
    <cellStyle name="20% - Accent3 4 13" xfId="2609"/>
    <cellStyle name="20% - Accent3 4 13 2" xfId="5495"/>
    <cellStyle name="20% - Accent3 4 13 2 2" xfId="11536"/>
    <cellStyle name="20% - Accent3 4 13 2 2 2" xfId="28583"/>
    <cellStyle name="20% - Accent3 4 13 2 2 2 2" xfId="57444"/>
    <cellStyle name="20% - Accent3 4 13 2 2 3" xfId="40397"/>
    <cellStyle name="20% - Accent3 4 13 2 3" xfId="22605"/>
    <cellStyle name="20% - Accent3 4 13 2 3 2" xfId="51466"/>
    <cellStyle name="20% - Accent3 4 13 2 4" xfId="34356"/>
    <cellStyle name="20% - Accent3 4 13 3" xfId="8650"/>
    <cellStyle name="20% - Accent3 4 13 3 2" xfId="25697"/>
    <cellStyle name="20% - Accent3 4 13 3 2 2" xfId="54558"/>
    <cellStyle name="20% - Accent3 4 13 3 3" xfId="37511"/>
    <cellStyle name="20% - Accent3 4 13 4" xfId="6095"/>
    <cellStyle name="20% - Accent3 4 13 4 2" xfId="19925"/>
    <cellStyle name="20% - Accent3 4 13 4 2 2" xfId="48786"/>
    <cellStyle name="20% - Accent3 4 13 4 3" xfId="34956"/>
    <cellStyle name="20% - Accent3 4 13 5" xfId="17245"/>
    <cellStyle name="20% - Accent3 4 13 5 2" xfId="46106"/>
    <cellStyle name="20% - Accent3 4 13 6" xfId="31470"/>
    <cellStyle name="20% - Accent3 4 14" xfId="3021"/>
    <cellStyle name="20% - Accent3 4 14 2" xfId="9062"/>
    <cellStyle name="20% - Accent3 4 14 2 2" xfId="26109"/>
    <cellStyle name="20% - Accent3 4 14 2 2 2" xfId="54970"/>
    <cellStyle name="20% - Accent3 4 14 2 3" xfId="37923"/>
    <cellStyle name="20% - Accent3 4 14 3" xfId="12718"/>
    <cellStyle name="20% - Accent3 4 14 3 2" xfId="20131"/>
    <cellStyle name="20% - Accent3 4 14 3 2 2" xfId="48992"/>
    <cellStyle name="20% - Accent3 4 14 3 3" xfId="41579"/>
    <cellStyle name="20% - Accent3 4 14 4" xfId="14771"/>
    <cellStyle name="20% - Accent3 4 14 4 2" xfId="43632"/>
    <cellStyle name="20% - Accent3 4 14 5" xfId="31882"/>
    <cellStyle name="20% - Accent3 4 15" xfId="2815"/>
    <cellStyle name="20% - Accent3 4 15 2" xfId="8856"/>
    <cellStyle name="20% - Accent3 4 15 2 2" xfId="25903"/>
    <cellStyle name="20% - Accent3 4 15 2 2 2" xfId="54764"/>
    <cellStyle name="20% - Accent3 4 15 2 3" xfId="37717"/>
    <cellStyle name="20% - Accent3 4 15 3" xfId="17451"/>
    <cellStyle name="20% - Accent3 4 15 3 2" xfId="46312"/>
    <cellStyle name="20% - Accent3 4 15 4" xfId="31676"/>
    <cellStyle name="20% - Accent3 4 16" xfId="5701"/>
    <cellStyle name="20% - Accent3 4 16 2" xfId="11742"/>
    <cellStyle name="20% - Accent3 4 16 2 2" xfId="28789"/>
    <cellStyle name="20% - Accent3 4 16 2 2 2" xfId="57650"/>
    <cellStyle name="20% - Accent3 4 16 2 3" xfId="40603"/>
    <cellStyle name="20% - Accent3 4 16 3" xfId="22811"/>
    <cellStyle name="20% - Accent3 4 16 3 2" xfId="51672"/>
    <cellStyle name="20% - Accent3 4 16 4" xfId="34562"/>
    <cellStyle name="20% - Accent3 4 17" xfId="5918"/>
    <cellStyle name="20% - Accent3 4 17 2" xfId="23017"/>
    <cellStyle name="20% - Accent3 4 17 2 2" xfId="51878"/>
    <cellStyle name="20% - Accent3 4 17 3" xfId="34779"/>
    <cellStyle name="20% - Accent3 4 18" xfId="6176"/>
    <cellStyle name="20% - Accent3 4 18 2" xfId="23223"/>
    <cellStyle name="20% - Accent3 4 18 2 2" xfId="52084"/>
    <cellStyle name="20% - Accent3 4 18 3" xfId="35037"/>
    <cellStyle name="20% - Accent3 4 19" xfId="14565"/>
    <cellStyle name="20% - Accent3 4 19 2" xfId="43426"/>
    <cellStyle name="20% - Accent3 4 2" xfId="340"/>
    <cellStyle name="20% - Accent3 4 2 10" xfId="2503"/>
    <cellStyle name="20% - Accent3 4 2 10 2" xfId="5390"/>
    <cellStyle name="20% - Accent3 4 2 10 2 2" xfId="11431"/>
    <cellStyle name="20% - Accent3 4 2 10 2 2 2" xfId="28478"/>
    <cellStyle name="20% - Accent3 4 2 10 2 2 2 2" xfId="57339"/>
    <cellStyle name="20% - Accent3 4 2 10 2 2 3" xfId="40292"/>
    <cellStyle name="20% - Accent3 4 2 10 2 3" xfId="22500"/>
    <cellStyle name="20% - Accent3 4 2 10 2 3 2" xfId="51361"/>
    <cellStyle name="20% - Accent3 4 2 10 2 4" xfId="34251"/>
    <cellStyle name="20% - Accent3 4 2 10 3" xfId="8545"/>
    <cellStyle name="20% - Accent3 4 2 10 3 2" xfId="25592"/>
    <cellStyle name="20% - Accent3 4 2 10 3 2 2" xfId="54453"/>
    <cellStyle name="20% - Accent3 4 2 10 3 3" xfId="37406"/>
    <cellStyle name="20% - Accent3 4 2 10 4" xfId="12927"/>
    <cellStyle name="20% - Accent3 4 2 10 4 2" xfId="19820"/>
    <cellStyle name="20% - Accent3 4 2 10 4 2 2" xfId="48681"/>
    <cellStyle name="20% - Accent3 4 2 10 4 3" xfId="41788"/>
    <cellStyle name="20% - Accent3 4 2 10 5" xfId="17140"/>
    <cellStyle name="20% - Accent3 4 2 10 5 2" xfId="46001"/>
    <cellStyle name="20% - Accent3 4 2 10 6" xfId="31365"/>
    <cellStyle name="20% - Accent3 4 2 11" xfId="2712"/>
    <cellStyle name="20% - Accent3 4 2 11 2" xfId="5598"/>
    <cellStyle name="20% - Accent3 4 2 11 2 2" xfId="11639"/>
    <cellStyle name="20% - Accent3 4 2 11 2 2 2" xfId="28686"/>
    <cellStyle name="20% - Accent3 4 2 11 2 2 2 2" xfId="57547"/>
    <cellStyle name="20% - Accent3 4 2 11 2 2 3" xfId="40500"/>
    <cellStyle name="20% - Accent3 4 2 11 2 3" xfId="22708"/>
    <cellStyle name="20% - Accent3 4 2 11 2 3 2" xfId="51569"/>
    <cellStyle name="20% - Accent3 4 2 11 2 4" xfId="34459"/>
    <cellStyle name="20% - Accent3 4 2 11 3" xfId="8753"/>
    <cellStyle name="20% - Accent3 4 2 11 3 2" xfId="25800"/>
    <cellStyle name="20% - Accent3 4 2 11 3 2 2" xfId="54661"/>
    <cellStyle name="20% - Accent3 4 2 11 3 3" xfId="37614"/>
    <cellStyle name="20% - Accent3 4 2 11 4" xfId="14464"/>
    <cellStyle name="20% - Accent3 4 2 11 4 2" xfId="20028"/>
    <cellStyle name="20% - Accent3 4 2 11 4 2 2" xfId="48889"/>
    <cellStyle name="20% - Accent3 4 2 11 4 3" xfId="43325"/>
    <cellStyle name="20% - Accent3 4 2 11 5" xfId="17348"/>
    <cellStyle name="20% - Accent3 4 2 11 5 2" xfId="46209"/>
    <cellStyle name="20% - Accent3 4 2 11 6" xfId="31573"/>
    <cellStyle name="20% - Accent3 4 2 12" xfId="3227"/>
    <cellStyle name="20% - Accent3 4 2 12 2" xfId="9268"/>
    <cellStyle name="20% - Accent3 4 2 12 2 2" xfId="26315"/>
    <cellStyle name="20% - Accent3 4 2 12 2 2 2" xfId="55176"/>
    <cellStyle name="20% - Accent3 4 2 12 2 3" xfId="38129"/>
    <cellStyle name="20% - Accent3 4 2 12 3" xfId="13520"/>
    <cellStyle name="20% - Accent3 4 2 12 3 2" xfId="20337"/>
    <cellStyle name="20% - Accent3 4 2 12 3 2 2" xfId="49198"/>
    <cellStyle name="20% - Accent3 4 2 12 3 3" xfId="42381"/>
    <cellStyle name="20% - Accent3 4 2 12 4" xfId="14977"/>
    <cellStyle name="20% - Accent3 4 2 12 4 2" xfId="43838"/>
    <cellStyle name="20% - Accent3 4 2 12 5" xfId="32088"/>
    <cellStyle name="20% - Accent3 4 2 13" xfId="2918"/>
    <cellStyle name="20% - Accent3 4 2 13 2" xfId="8959"/>
    <cellStyle name="20% - Accent3 4 2 13 2 2" xfId="26006"/>
    <cellStyle name="20% - Accent3 4 2 13 2 2 2" xfId="54867"/>
    <cellStyle name="20% - Accent3 4 2 13 2 3" xfId="37820"/>
    <cellStyle name="20% - Accent3 4 2 13 3" xfId="17554"/>
    <cellStyle name="20% - Accent3 4 2 13 3 2" xfId="46415"/>
    <cellStyle name="20% - Accent3 4 2 13 4" xfId="31779"/>
    <cellStyle name="20% - Accent3 4 2 14" xfId="5804"/>
    <cellStyle name="20% - Accent3 4 2 14 2" xfId="11845"/>
    <cellStyle name="20% - Accent3 4 2 14 2 2" xfId="28892"/>
    <cellStyle name="20% - Accent3 4 2 14 2 2 2" xfId="57753"/>
    <cellStyle name="20% - Accent3 4 2 14 2 3" xfId="40706"/>
    <cellStyle name="20% - Accent3 4 2 14 3" xfId="22914"/>
    <cellStyle name="20% - Accent3 4 2 14 3 2" xfId="51775"/>
    <cellStyle name="20% - Accent3 4 2 14 4" xfId="34665"/>
    <cellStyle name="20% - Accent3 4 2 15" xfId="6021"/>
    <cellStyle name="20% - Accent3 4 2 15 2" xfId="23120"/>
    <cellStyle name="20% - Accent3 4 2 15 2 2" xfId="51981"/>
    <cellStyle name="20% - Accent3 4 2 15 3" xfId="34882"/>
    <cellStyle name="20% - Accent3 4 2 16" xfId="6382"/>
    <cellStyle name="20% - Accent3 4 2 16 2" xfId="23429"/>
    <cellStyle name="20% - Accent3 4 2 16 2 2" xfId="52290"/>
    <cellStyle name="20% - Accent3 4 2 16 3" xfId="35243"/>
    <cellStyle name="20% - Accent3 4 2 17" xfId="14668"/>
    <cellStyle name="20% - Accent3 4 2 17 2" xfId="43529"/>
    <cellStyle name="20% - Accent3 4 2 18" xfId="29202"/>
    <cellStyle name="20% - Accent3 4 2 2" xfId="546"/>
    <cellStyle name="20% - Accent3 4 2 2 2" xfId="2297"/>
    <cellStyle name="20% - Accent3 4 2 2 2 2" xfId="5184"/>
    <cellStyle name="20% - Accent3 4 2 2 2 2 2" xfId="11225"/>
    <cellStyle name="20% - Accent3 4 2 2 2 2 2 2" xfId="28272"/>
    <cellStyle name="20% - Accent3 4 2 2 2 2 2 2 2" xfId="57133"/>
    <cellStyle name="20% - Accent3 4 2 2 2 2 2 3" xfId="40086"/>
    <cellStyle name="20% - Accent3 4 2 2 2 2 3" xfId="22294"/>
    <cellStyle name="20% - Accent3 4 2 2 2 2 3 2" xfId="51155"/>
    <cellStyle name="20% - Accent3 4 2 2 2 2 4" xfId="34045"/>
    <cellStyle name="20% - Accent3 4 2 2 2 3" xfId="8339"/>
    <cellStyle name="20% - Accent3 4 2 2 2 3 2" xfId="25386"/>
    <cellStyle name="20% - Accent3 4 2 2 2 3 2 2" xfId="54247"/>
    <cellStyle name="20% - Accent3 4 2 2 2 3 3" xfId="37200"/>
    <cellStyle name="20% - Accent3 4 2 2 2 4" xfId="12467"/>
    <cellStyle name="20% - Accent3 4 2 2 2 4 2" xfId="19614"/>
    <cellStyle name="20% - Accent3 4 2 2 2 4 2 2" xfId="48475"/>
    <cellStyle name="20% - Accent3 4 2 2 2 4 3" xfId="41328"/>
    <cellStyle name="20% - Accent3 4 2 2 2 5" xfId="16934"/>
    <cellStyle name="20% - Accent3 4 2 2 2 5 2" xfId="45795"/>
    <cellStyle name="20% - Accent3 4 2 2 2 6" xfId="31159"/>
    <cellStyle name="20% - Accent3 4 2 2 3" xfId="3433"/>
    <cellStyle name="20% - Accent3 4 2 2 3 2" xfId="9474"/>
    <cellStyle name="20% - Accent3 4 2 2 3 2 2" xfId="26521"/>
    <cellStyle name="20% - Accent3 4 2 2 3 2 2 2" xfId="55382"/>
    <cellStyle name="20% - Accent3 4 2 2 3 2 3" xfId="38335"/>
    <cellStyle name="20% - Accent3 4 2 2 3 3" xfId="20543"/>
    <cellStyle name="20% - Accent3 4 2 2 3 3 2" xfId="49404"/>
    <cellStyle name="20% - Accent3 4 2 2 3 4" xfId="32294"/>
    <cellStyle name="20% - Accent3 4 2 2 4" xfId="6588"/>
    <cellStyle name="20% - Accent3 4 2 2 4 2" xfId="23635"/>
    <cellStyle name="20% - Accent3 4 2 2 4 2 2" xfId="52496"/>
    <cellStyle name="20% - Accent3 4 2 2 4 3" xfId="35449"/>
    <cellStyle name="20% - Accent3 4 2 2 5" xfId="12646"/>
    <cellStyle name="20% - Accent3 4 2 2 5 2" xfId="17863"/>
    <cellStyle name="20% - Accent3 4 2 2 5 2 2" xfId="46724"/>
    <cellStyle name="20% - Accent3 4 2 2 5 3" xfId="41507"/>
    <cellStyle name="20% - Accent3 4 2 2 6" xfId="15183"/>
    <cellStyle name="20% - Accent3 4 2 2 6 2" xfId="44044"/>
    <cellStyle name="20% - Accent3 4 2 2 7" xfId="29408"/>
    <cellStyle name="20% - Accent3 4 2 3" xfId="855"/>
    <cellStyle name="20% - Accent3 4 2 3 2" xfId="3742"/>
    <cellStyle name="20% - Accent3 4 2 3 2 2" xfId="9783"/>
    <cellStyle name="20% - Accent3 4 2 3 2 2 2" xfId="26830"/>
    <cellStyle name="20% - Accent3 4 2 3 2 2 2 2" xfId="55691"/>
    <cellStyle name="20% - Accent3 4 2 3 2 2 3" xfId="38644"/>
    <cellStyle name="20% - Accent3 4 2 3 2 3" xfId="20852"/>
    <cellStyle name="20% - Accent3 4 2 3 2 3 2" xfId="49713"/>
    <cellStyle name="20% - Accent3 4 2 3 2 4" xfId="32603"/>
    <cellStyle name="20% - Accent3 4 2 3 3" xfId="6897"/>
    <cellStyle name="20% - Accent3 4 2 3 3 2" xfId="23944"/>
    <cellStyle name="20% - Accent3 4 2 3 3 2 2" xfId="52805"/>
    <cellStyle name="20% - Accent3 4 2 3 3 3" xfId="35758"/>
    <cellStyle name="20% - Accent3 4 2 3 4" xfId="13677"/>
    <cellStyle name="20% - Accent3 4 2 3 4 2" xfId="18172"/>
    <cellStyle name="20% - Accent3 4 2 3 4 2 2" xfId="47033"/>
    <cellStyle name="20% - Accent3 4 2 3 4 3" xfId="42538"/>
    <cellStyle name="20% - Accent3 4 2 3 5" xfId="15492"/>
    <cellStyle name="20% - Accent3 4 2 3 5 2" xfId="44353"/>
    <cellStyle name="20% - Accent3 4 2 3 6" xfId="29717"/>
    <cellStyle name="20% - Accent3 4 2 4" xfId="1061"/>
    <cellStyle name="20% - Accent3 4 2 4 2" xfId="3948"/>
    <cellStyle name="20% - Accent3 4 2 4 2 2" xfId="9989"/>
    <cellStyle name="20% - Accent3 4 2 4 2 2 2" xfId="27036"/>
    <cellStyle name="20% - Accent3 4 2 4 2 2 2 2" xfId="55897"/>
    <cellStyle name="20% - Accent3 4 2 4 2 2 3" xfId="38850"/>
    <cellStyle name="20% - Accent3 4 2 4 2 3" xfId="21058"/>
    <cellStyle name="20% - Accent3 4 2 4 2 3 2" xfId="49919"/>
    <cellStyle name="20% - Accent3 4 2 4 2 4" xfId="32809"/>
    <cellStyle name="20% - Accent3 4 2 4 3" xfId="7103"/>
    <cellStyle name="20% - Accent3 4 2 4 3 2" xfId="24150"/>
    <cellStyle name="20% - Accent3 4 2 4 3 2 2" xfId="53011"/>
    <cellStyle name="20% - Accent3 4 2 4 3 3" xfId="35964"/>
    <cellStyle name="20% - Accent3 4 2 4 4" xfId="12018"/>
    <cellStyle name="20% - Accent3 4 2 4 4 2" xfId="18378"/>
    <cellStyle name="20% - Accent3 4 2 4 4 2 2" xfId="47239"/>
    <cellStyle name="20% - Accent3 4 2 4 4 3" xfId="40879"/>
    <cellStyle name="20% - Accent3 4 2 4 5" xfId="15698"/>
    <cellStyle name="20% - Accent3 4 2 4 5 2" xfId="44559"/>
    <cellStyle name="20% - Accent3 4 2 4 6" xfId="29923"/>
    <cellStyle name="20% - Accent3 4 2 5" xfId="1267"/>
    <cellStyle name="20% - Accent3 4 2 5 2" xfId="4154"/>
    <cellStyle name="20% - Accent3 4 2 5 2 2" xfId="10195"/>
    <cellStyle name="20% - Accent3 4 2 5 2 2 2" xfId="27242"/>
    <cellStyle name="20% - Accent3 4 2 5 2 2 2 2" xfId="56103"/>
    <cellStyle name="20% - Accent3 4 2 5 2 2 3" xfId="39056"/>
    <cellStyle name="20% - Accent3 4 2 5 2 3" xfId="21264"/>
    <cellStyle name="20% - Accent3 4 2 5 2 3 2" xfId="50125"/>
    <cellStyle name="20% - Accent3 4 2 5 2 4" xfId="33015"/>
    <cellStyle name="20% - Accent3 4 2 5 3" xfId="7309"/>
    <cellStyle name="20% - Accent3 4 2 5 3 2" xfId="24356"/>
    <cellStyle name="20% - Accent3 4 2 5 3 2 2" xfId="53217"/>
    <cellStyle name="20% - Accent3 4 2 5 3 3" xfId="36170"/>
    <cellStyle name="20% - Accent3 4 2 5 4" xfId="14181"/>
    <cellStyle name="20% - Accent3 4 2 5 4 2" xfId="18584"/>
    <cellStyle name="20% - Accent3 4 2 5 4 2 2" xfId="47445"/>
    <cellStyle name="20% - Accent3 4 2 5 4 3" xfId="43042"/>
    <cellStyle name="20% - Accent3 4 2 5 5" xfId="15904"/>
    <cellStyle name="20% - Accent3 4 2 5 5 2" xfId="44765"/>
    <cellStyle name="20% - Accent3 4 2 5 6" xfId="30129"/>
    <cellStyle name="20% - Accent3 4 2 6" xfId="1473"/>
    <cellStyle name="20% - Accent3 4 2 6 2" xfId="4360"/>
    <cellStyle name="20% - Accent3 4 2 6 2 2" xfId="10401"/>
    <cellStyle name="20% - Accent3 4 2 6 2 2 2" xfId="27448"/>
    <cellStyle name="20% - Accent3 4 2 6 2 2 2 2" xfId="56309"/>
    <cellStyle name="20% - Accent3 4 2 6 2 2 3" xfId="39262"/>
    <cellStyle name="20% - Accent3 4 2 6 2 3" xfId="21470"/>
    <cellStyle name="20% - Accent3 4 2 6 2 3 2" xfId="50331"/>
    <cellStyle name="20% - Accent3 4 2 6 2 4" xfId="33221"/>
    <cellStyle name="20% - Accent3 4 2 6 3" xfId="7515"/>
    <cellStyle name="20% - Accent3 4 2 6 3 2" xfId="24562"/>
    <cellStyle name="20% - Accent3 4 2 6 3 2 2" xfId="53423"/>
    <cellStyle name="20% - Accent3 4 2 6 3 3" xfId="36376"/>
    <cellStyle name="20% - Accent3 4 2 6 4" xfId="13383"/>
    <cellStyle name="20% - Accent3 4 2 6 4 2" xfId="18790"/>
    <cellStyle name="20% - Accent3 4 2 6 4 2 2" xfId="47651"/>
    <cellStyle name="20% - Accent3 4 2 6 4 3" xfId="42244"/>
    <cellStyle name="20% - Accent3 4 2 6 5" xfId="16110"/>
    <cellStyle name="20% - Accent3 4 2 6 5 2" xfId="44971"/>
    <cellStyle name="20% - Accent3 4 2 6 6" xfId="30335"/>
    <cellStyle name="20% - Accent3 4 2 7" xfId="1679"/>
    <cellStyle name="20% - Accent3 4 2 7 2" xfId="4566"/>
    <cellStyle name="20% - Accent3 4 2 7 2 2" xfId="10607"/>
    <cellStyle name="20% - Accent3 4 2 7 2 2 2" xfId="27654"/>
    <cellStyle name="20% - Accent3 4 2 7 2 2 2 2" xfId="56515"/>
    <cellStyle name="20% - Accent3 4 2 7 2 2 3" xfId="39468"/>
    <cellStyle name="20% - Accent3 4 2 7 2 3" xfId="21676"/>
    <cellStyle name="20% - Accent3 4 2 7 2 3 2" xfId="50537"/>
    <cellStyle name="20% - Accent3 4 2 7 2 4" xfId="33427"/>
    <cellStyle name="20% - Accent3 4 2 7 3" xfId="7721"/>
    <cellStyle name="20% - Accent3 4 2 7 3 2" xfId="24768"/>
    <cellStyle name="20% - Accent3 4 2 7 3 2 2" xfId="53629"/>
    <cellStyle name="20% - Accent3 4 2 7 3 3" xfId="36582"/>
    <cellStyle name="20% - Accent3 4 2 7 4" xfId="12195"/>
    <cellStyle name="20% - Accent3 4 2 7 4 2" xfId="18996"/>
    <cellStyle name="20% - Accent3 4 2 7 4 2 2" xfId="47857"/>
    <cellStyle name="20% - Accent3 4 2 7 4 3" xfId="41056"/>
    <cellStyle name="20% - Accent3 4 2 7 5" xfId="16316"/>
    <cellStyle name="20% - Accent3 4 2 7 5 2" xfId="45177"/>
    <cellStyle name="20% - Accent3 4 2 7 6" xfId="30541"/>
    <cellStyle name="20% - Accent3 4 2 8" xfId="1885"/>
    <cellStyle name="20% - Accent3 4 2 8 2" xfId="4772"/>
    <cellStyle name="20% - Accent3 4 2 8 2 2" xfId="10813"/>
    <cellStyle name="20% - Accent3 4 2 8 2 2 2" xfId="27860"/>
    <cellStyle name="20% - Accent3 4 2 8 2 2 2 2" xfId="56721"/>
    <cellStyle name="20% - Accent3 4 2 8 2 2 3" xfId="39674"/>
    <cellStyle name="20% - Accent3 4 2 8 2 3" xfId="21882"/>
    <cellStyle name="20% - Accent3 4 2 8 2 3 2" xfId="50743"/>
    <cellStyle name="20% - Accent3 4 2 8 2 4" xfId="33633"/>
    <cellStyle name="20% - Accent3 4 2 8 3" xfId="7927"/>
    <cellStyle name="20% - Accent3 4 2 8 3 2" xfId="24974"/>
    <cellStyle name="20% - Accent3 4 2 8 3 2 2" xfId="53835"/>
    <cellStyle name="20% - Accent3 4 2 8 3 3" xfId="36788"/>
    <cellStyle name="20% - Accent3 4 2 8 4" xfId="13067"/>
    <cellStyle name="20% - Accent3 4 2 8 4 2" xfId="19202"/>
    <cellStyle name="20% - Accent3 4 2 8 4 2 2" xfId="48063"/>
    <cellStyle name="20% - Accent3 4 2 8 4 3" xfId="41928"/>
    <cellStyle name="20% - Accent3 4 2 8 5" xfId="16522"/>
    <cellStyle name="20% - Accent3 4 2 8 5 2" xfId="45383"/>
    <cellStyle name="20% - Accent3 4 2 8 6" xfId="30747"/>
    <cellStyle name="20% - Accent3 4 2 9" xfId="2091"/>
    <cellStyle name="20% - Accent3 4 2 9 2" xfId="4978"/>
    <cellStyle name="20% - Accent3 4 2 9 2 2" xfId="11019"/>
    <cellStyle name="20% - Accent3 4 2 9 2 2 2" xfId="28066"/>
    <cellStyle name="20% - Accent3 4 2 9 2 2 2 2" xfId="56927"/>
    <cellStyle name="20% - Accent3 4 2 9 2 2 3" xfId="39880"/>
    <cellStyle name="20% - Accent3 4 2 9 2 3" xfId="22088"/>
    <cellStyle name="20% - Accent3 4 2 9 2 3 2" xfId="50949"/>
    <cellStyle name="20% - Accent3 4 2 9 2 4" xfId="33839"/>
    <cellStyle name="20% - Accent3 4 2 9 3" xfId="8133"/>
    <cellStyle name="20% - Accent3 4 2 9 3 2" xfId="25180"/>
    <cellStyle name="20% - Accent3 4 2 9 3 2 2" xfId="54041"/>
    <cellStyle name="20% - Accent3 4 2 9 3 3" xfId="36994"/>
    <cellStyle name="20% - Accent3 4 2 9 4" xfId="13835"/>
    <cellStyle name="20% - Accent3 4 2 9 4 2" xfId="19408"/>
    <cellStyle name="20% - Accent3 4 2 9 4 2 2" xfId="48269"/>
    <cellStyle name="20% - Accent3 4 2 9 4 3" xfId="42696"/>
    <cellStyle name="20% - Accent3 4 2 9 5" xfId="16728"/>
    <cellStyle name="20% - Accent3 4 2 9 5 2" xfId="45589"/>
    <cellStyle name="20% - Accent3 4 2 9 6" xfId="30953"/>
    <cellStyle name="20% - Accent3 4 20" xfId="28996"/>
    <cellStyle name="20% - Accent3 4 3" xfId="237"/>
    <cellStyle name="20% - Accent3 4 3 2" xfId="649"/>
    <cellStyle name="20% - Accent3 4 3 2 2" xfId="3536"/>
    <cellStyle name="20% - Accent3 4 3 2 2 2" xfId="9577"/>
    <cellStyle name="20% - Accent3 4 3 2 2 2 2" xfId="26624"/>
    <cellStyle name="20% - Accent3 4 3 2 2 2 2 2" xfId="55485"/>
    <cellStyle name="20% - Accent3 4 3 2 2 2 3" xfId="38438"/>
    <cellStyle name="20% - Accent3 4 3 2 2 3" xfId="20646"/>
    <cellStyle name="20% - Accent3 4 3 2 2 3 2" xfId="49507"/>
    <cellStyle name="20% - Accent3 4 3 2 2 4" xfId="32397"/>
    <cellStyle name="20% - Accent3 4 3 2 3" xfId="6691"/>
    <cellStyle name="20% - Accent3 4 3 2 3 2" xfId="23738"/>
    <cellStyle name="20% - Accent3 4 3 2 3 2 2" xfId="52599"/>
    <cellStyle name="20% - Accent3 4 3 2 3 3" xfId="35552"/>
    <cellStyle name="20% - Accent3 4 3 2 4" xfId="12926"/>
    <cellStyle name="20% - Accent3 4 3 2 4 2" xfId="17966"/>
    <cellStyle name="20% - Accent3 4 3 2 4 2 2" xfId="46827"/>
    <cellStyle name="20% - Accent3 4 3 2 4 3" xfId="41787"/>
    <cellStyle name="20% - Accent3 4 3 2 5" xfId="15286"/>
    <cellStyle name="20% - Accent3 4 3 2 5 2" xfId="44147"/>
    <cellStyle name="20% - Accent3 4 3 2 6" xfId="29511"/>
    <cellStyle name="20% - Accent3 4 3 3" xfId="2194"/>
    <cellStyle name="20% - Accent3 4 3 3 2" xfId="5081"/>
    <cellStyle name="20% - Accent3 4 3 3 2 2" xfId="11122"/>
    <cellStyle name="20% - Accent3 4 3 3 2 2 2" xfId="28169"/>
    <cellStyle name="20% - Accent3 4 3 3 2 2 2 2" xfId="57030"/>
    <cellStyle name="20% - Accent3 4 3 3 2 2 3" xfId="39983"/>
    <cellStyle name="20% - Accent3 4 3 3 2 3" xfId="22191"/>
    <cellStyle name="20% - Accent3 4 3 3 2 3 2" xfId="51052"/>
    <cellStyle name="20% - Accent3 4 3 3 2 4" xfId="33942"/>
    <cellStyle name="20% - Accent3 4 3 3 3" xfId="8236"/>
    <cellStyle name="20% - Accent3 4 3 3 3 2" xfId="25283"/>
    <cellStyle name="20% - Accent3 4 3 3 3 2 2" xfId="54144"/>
    <cellStyle name="20% - Accent3 4 3 3 3 3" xfId="37097"/>
    <cellStyle name="20% - Accent3 4 3 3 4" xfId="14145"/>
    <cellStyle name="20% - Accent3 4 3 3 4 2" xfId="19511"/>
    <cellStyle name="20% - Accent3 4 3 3 4 2 2" xfId="48372"/>
    <cellStyle name="20% - Accent3 4 3 3 4 3" xfId="43006"/>
    <cellStyle name="20% - Accent3 4 3 3 5" xfId="16831"/>
    <cellStyle name="20% - Accent3 4 3 3 5 2" xfId="45692"/>
    <cellStyle name="20% - Accent3 4 3 3 6" xfId="31056"/>
    <cellStyle name="20% - Accent3 4 3 4" xfId="3124"/>
    <cellStyle name="20% - Accent3 4 3 4 2" xfId="9165"/>
    <cellStyle name="20% - Accent3 4 3 4 2 2" xfId="26212"/>
    <cellStyle name="20% - Accent3 4 3 4 2 2 2" xfId="55073"/>
    <cellStyle name="20% - Accent3 4 3 4 2 3" xfId="38026"/>
    <cellStyle name="20% - Accent3 4 3 4 3" xfId="20234"/>
    <cellStyle name="20% - Accent3 4 3 4 3 2" xfId="49095"/>
    <cellStyle name="20% - Accent3 4 3 4 4" xfId="31985"/>
    <cellStyle name="20% - Accent3 4 3 5" xfId="6279"/>
    <cellStyle name="20% - Accent3 4 3 5 2" xfId="23326"/>
    <cellStyle name="20% - Accent3 4 3 5 2 2" xfId="52187"/>
    <cellStyle name="20% - Accent3 4 3 5 3" xfId="35140"/>
    <cellStyle name="20% - Accent3 4 3 6" xfId="11882"/>
    <cellStyle name="20% - Accent3 4 3 6 2" xfId="17657"/>
    <cellStyle name="20% - Accent3 4 3 6 2 2" xfId="46518"/>
    <cellStyle name="20% - Accent3 4 3 6 3" xfId="40743"/>
    <cellStyle name="20% - Accent3 4 3 7" xfId="14874"/>
    <cellStyle name="20% - Accent3 4 3 7 2" xfId="43735"/>
    <cellStyle name="20% - Accent3 4 3 8" xfId="29099"/>
    <cellStyle name="20% - Accent3 4 4" xfId="443"/>
    <cellStyle name="20% - Accent3 4 4 2" xfId="3330"/>
    <cellStyle name="20% - Accent3 4 4 2 2" xfId="9371"/>
    <cellStyle name="20% - Accent3 4 4 2 2 2" xfId="26418"/>
    <cellStyle name="20% - Accent3 4 4 2 2 2 2" xfId="55279"/>
    <cellStyle name="20% - Accent3 4 4 2 2 3" xfId="38232"/>
    <cellStyle name="20% - Accent3 4 4 2 3" xfId="20440"/>
    <cellStyle name="20% - Accent3 4 4 2 3 2" xfId="49301"/>
    <cellStyle name="20% - Accent3 4 4 2 4" xfId="32191"/>
    <cellStyle name="20% - Accent3 4 4 3" xfId="6485"/>
    <cellStyle name="20% - Accent3 4 4 3 2" xfId="23532"/>
    <cellStyle name="20% - Accent3 4 4 3 2 2" xfId="52393"/>
    <cellStyle name="20% - Accent3 4 4 3 3" xfId="35346"/>
    <cellStyle name="20% - Accent3 4 4 4" xfId="13134"/>
    <cellStyle name="20% - Accent3 4 4 4 2" xfId="17760"/>
    <cellStyle name="20% - Accent3 4 4 4 2 2" xfId="46621"/>
    <cellStyle name="20% - Accent3 4 4 4 3" xfId="41995"/>
    <cellStyle name="20% - Accent3 4 4 5" xfId="15080"/>
    <cellStyle name="20% - Accent3 4 4 5 2" xfId="43941"/>
    <cellStyle name="20% - Accent3 4 4 6" xfId="29305"/>
    <cellStyle name="20% - Accent3 4 5" xfId="752"/>
    <cellStyle name="20% - Accent3 4 5 2" xfId="3639"/>
    <cellStyle name="20% - Accent3 4 5 2 2" xfId="9680"/>
    <cellStyle name="20% - Accent3 4 5 2 2 2" xfId="26727"/>
    <cellStyle name="20% - Accent3 4 5 2 2 2 2" xfId="55588"/>
    <cellStyle name="20% - Accent3 4 5 2 2 3" xfId="38541"/>
    <cellStyle name="20% - Accent3 4 5 2 3" xfId="20749"/>
    <cellStyle name="20% - Accent3 4 5 2 3 2" xfId="49610"/>
    <cellStyle name="20% - Accent3 4 5 2 4" xfId="32500"/>
    <cellStyle name="20% - Accent3 4 5 3" xfId="6794"/>
    <cellStyle name="20% - Accent3 4 5 3 2" xfId="23841"/>
    <cellStyle name="20% - Accent3 4 5 3 2 2" xfId="52702"/>
    <cellStyle name="20% - Accent3 4 5 3 3" xfId="35655"/>
    <cellStyle name="20% - Accent3 4 5 4" xfId="12376"/>
    <cellStyle name="20% - Accent3 4 5 4 2" xfId="18069"/>
    <cellStyle name="20% - Accent3 4 5 4 2 2" xfId="46930"/>
    <cellStyle name="20% - Accent3 4 5 4 3" xfId="41237"/>
    <cellStyle name="20% - Accent3 4 5 5" xfId="15389"/>
    <cellStyle name="20% - Accent3 4 5 5 2" xfId="44250"/>
    <cellStyle name="20% - Accent3 4 5 6" xfId="29614"/>
    <cellStyle name="20% - Accent3 4 6" xfId="958"/>
    <cellStyle name="20% - Accent3 4 6 2" xfId="3845"/>
    <cellStyle name="20% - Accent3 4 6 2 2" xfId="9886"/>
    <cellStyle name="20% - Accent3 4 6 2 2 2" xfId="26933"/>
    <cellStyle name="20% - Accent3 4 6 2 2 2 2" xfId="55794"/>
    <cellStyle name="20% - Accent3 4 6 2 2 3" xfId="38747"/>
    <cellStyle name="20% - Accent3 4 6 2 3" xfId="20955"/>
    <cellStyle name="20% - Accent3 4 6 2 3 2" xfId="49816"/>
    <cellStyle name="20% - Accent3 4 6 2 4" xfId="32706"/>
    <cellStyle name="20% - Accent3 4 6 3" xfId="7000"/>
    <cellStyle name="20% - Accent3 4 6 3 2" xfId="24047"/>
    <cellStyle name="20% - Accent3 4 6 3 2 2" xfId="52908"/>
    <cellStyle name="20% - Accent3 4 6 3 3" xfId="35861"/>
    <cellStyle name="20% - Accent3 4 6 4" xfId="12104"/>
    <cellStyle name="20% - Accent3 4 6 4 2" xfId="18275"/>
    <cellStyle name="20% - Accent3 4 6 4 2 2" xfId="47136"/>
    <cellStyle name="20% - Accent3 4 6 4 3" xfId="40965"/>
    <cellStyle name="20% - Accent3 4 6 5" xfId="15595"/>
    <cellStyle name="20% - Accent3 4 6 5 2" xfId="44456"/>
    <cellStyle name="20% - Accent3 4 6 6" xfId="29820"/>
    <cellStyle name="20% - Accent3 4 7" xfId="1164"/>
    <cellStyle name="20% - Accent3 4 7 2" xfId="4051"/>
    <cellStyle name="20% - Accent3 4 7 2 2" xfId="10092"/>
    <cellStyle name="20% - Accent3 4 7 2 2 2" xfId="27139"/>
    <cellStyle name="20% - Accent3 4 7 2 2 2 2" xfId="56000"/>
    <cellStyle name="20% - Accent3 4 7 2 2 3" xfId="38953"/>
    <cellStyle name="20% - Accent3 4 7 2 3" xfId="21161"/>
    <cellStyle name="20% - Accent3 4 7 2 3 2" xfId="50022"/>
    <cellStyle name="20% - Accent3 4 7 2 4" xfId="32912"/>
    <cellStyle name="20% - Accent3 4 7 3" xfId="7206"/>
    <cellStyle name="20% - Accent3 4 7 3 2" xfId="24253"/>
    <cellStyle name="20% - Accent3 4 7 3 2 2" xfId="53114"/>
    <cellStyle name="20% - Accent3 4 7 3 3" xfId="36067"/>
    <cellStyle name="20% - Accent3 4 7 4" xfId="12891"/>
    <cellStyle name="20% - Accent3 4 7 4 2" xfId="18481"/>
    <cellStyle name="20% - Accent3 4 7 4 2 2" xfId="47342"/>
    <cellStyle name="20% - Accent3 4 7 4 3" xfId="41752"/>
    <cellStyle name="20% - Accent3 4 7 5" xfId="15801"/>
    <cellStyle name="20% - Accent3 4 7 5 2" xfId="44662"/>
    <cellStyle name="20% - Accent3 4 7 6" xfId="30026"/>
    <cellStyle name="20% - Accent3 4 8" xfId="1370"/>
    <cellStyle name="20% - Accent3 4 8 2" xfId="4257"/>
    <cellStyle name="20% - Accent3 4 8 2 2" xfId="10298"/>
    <cellStyle name="20% - Accent3 4 8 2 2 2" xfId="27345"/>
    <cellStyle name="20% - Accent3 4 8 2 2 2 2" xfId="56206"/>
    <cellStyle name="20% - Accent3 4 8 2 2 3" xfId="39159"/>
    <cellStyle name="20% - Accent3 4 8 2 3" xfId="21367"/>
    <cellStyle name="20% - Accent3 4 8 2 3 2" xfId="50228"/>
    <cellStyle name="20% - Accent3 4 8 2 4" xfId="33118"/>
    <cellStyle name="20% - Accent3 4 8 3" xfId="7412"/>
    <cellStyle name="20% - Accent3 4 8 3 2" xfId="24459"/>
    <cellStyle name="20% - Accent3 4 8 3 2 2" xfId="53320"/>
    <cellStyle name="20% - Accent3 4 8 3 3" xfId="36273"/>
    <cellStyle name="20% - Accent3 4 8 4" xfId="12182"/>
    <cellStyle name="20% - Accent3 4 8 4 2" xfId="18687"/>
    <cellStyle name="20% - Accent3 4 8 4 2 2" xfId="47548"/>
    <cellStyle name="20% - Accent3 4 8 4 3" xfId="41043"/>
    <cellStyle name="20% - Accent3 4 8 5" xfId="16007"/>
    <cellStyle name="20% - Accent3 4 8 5 2" xfId="44868"/>
    <cellStyle name="20% - Accent3 4 8 6" xfId="30232"/>
    <cellStyle name="20% - Accent3 4 9" xfId="1576"/>
    <cellStyle name="20% - Accent3 4 9 2" xfId="4463"/>
    <cellStyle name="20% - Accent3 4 9 2 2" xfId="10504"/>
    <cellStyle name="20% - Accent3 4 9 2 2 2" xfId="27551"/>
    <cellStyle name="20% - Accent3 4 9 2 2 2 2" xfId="56412"/>
    <cellStyle name="20% - Accent3 4 9 2 2 3" xfId="39365"/>
    <cellStyle name="20% - Accent3 4 9 2 3" xfId="21573"/>
    <cellStyle name="20% - Accent3 4 9 2 3 2" xfId="50434"/>
    <cellStyle name="20% - Accent3 4 9 2 4" xfId="33324"/>
    <cellStyle name="20% - Accent3 4 9 3" xfId="7618"/>
    <cellStyle name="20% - Accent3 4 9 3 2" xfId="24665"/>
    <cellStyle name="20% - Accent3 4 9 3 2 2" xfId="53526"/>
    <cellStyle name="20% - Accent3 4 9 3 3" xfId="36479"/>
    <cellStyle name="20% - Accent3 4 9 4" xfId="14039"/>
    <cellStyle name="20% - Accent3 4 9 4 2" xfId="18893"/>
    <cellStyle name="20% - Accent3 4 9 4 2 2" xfId="47754"/>
    <cellStyle name="20% - Accent3 4 9 4 3" xfId="42900"/>
    <cellStyle name="20% - Accent3 4 9 5" xfId="16213"/>
    <cellStyle name="20% - Accent3 4 9 5 2" xfId="45074"/>
    <cellStyle name="20% - Accent3 4 9 6" xfId="30438"/>
    <cellStyle name="20% - Accent3 5" xfId="287"/>
    <cellStyle name="20% - Accent3 5 10" xfId="2450"/>
    <cellStyle name="20% - Accent3 5 10 2" xfId="5337"/>
    <cellStyle name="20% - Accent3 5 10 2 2" xfId="11378"/>
    <cellStyle name="20% - Accent3 5 10 2 2 2" xfId="28425"/>
    <cellStyle name="20% - Accent3 5 10 2 2 2 2" xfId="57286"/>
    <cellStyle name="20% - Accent3 5 10 2 2 3" xfId="40239"/>
    <cellStyle name="20% - Accent3 5 10 2 3" xfId="22447"/>
    <cellStyle name="20% - Accent3 5 10 2 3 2" xfId="51308"/>
    <cellStyle name="20% - Accent3 5 10 2 4" xfId="34198"/>
    <cellStyle name="20% - Accent3 5 10 3" xfId="8492"/>
    <cellStyle name="20% - Accent3 5 10 3 2" xfId="25539"/>
    <cellStyle name="20% - Accent3 5 10 3 2 2" xfId="54400"/>
    <cellStyle name="20% - Accent3 5 10 3 3" xfId="37353"/>
    <cellStyle name="20% - Accent3 5 10 4" xfId="12808"/>
    <cellStyle name="20% - Accent3 5 10 4 2" xfId="19767"/>
    <cellStyle name="20% - Accent3 5 10 4 2 2" xfId="48628"/>
    <cellStyle name="20% - Accent3 5 10 4 3" xfId="41669"/>
    <cellStyle name="20% - Accent3 5 10 5" xfId="17087"/>
    <cellStyle name="20% - Accent3 5 10 5 2" xfId="45948"/>
    <cellStyle name="20% - Accent3 5 10 6" xfId="31312"/>
    <cellStyle name="20% - Accent3 5 11" xfId="2659"/>
    <cellStyle name="20% - Accent3 5 11 2" xfId="5545"/>
    <cellStyle name="20% - Accent3 5 11 2 2" xfId="11586"/>
    <cellStyle name="20% - Accent3 5 11 2 2 2" xfId="28633"/>
    <cellStyle name="20% - Accent3 5 11 2 2 2 2" xfId="57494"/>
    <cellStyle name="20% - Accent3 5 11 2 2 3" xfId="40447"/>
    <cellStyle name="20% - Accent3 5 11 2 3" xfId="22655"/>
    <cellStyle name="20% - Accent3 5 11 2 3 2" xfId="51516"/>
    <cellStyle name="20% - Accent3 5 11 2 4" xfId="34406"/>
    <cellStyle name="20% - Accent3 5 11 3" xfId="8700"/>
    <cellStyle name="20% - Accent3 5 11 3 2" xfId="25747"/>
    <cellStyle name="20% - Accent3 5 11 3 2 2" xfId="54608"/>
    <cellStyle name="20% - Accent3 5 11 3 3" xfId="37561"/>
    <cellStyle name="20% - Accent3 5 11 4" xfId="13295"/>
    <cellStyle name="20% - Accent3 5 11 4 2" xfId="19975"/>
    <cellStyle name="20% - Accent3 5 11 4 2 2" xfId="48836"/>
    <cellStyle name="20% - Accent3 5 11 4 3" xfId="42156"/>
    <cellStyle name="20% - Accent3 5 11 5" xfId="17295"/>
    <cellStyle name="20% - Accent3 5 11 5 2" xfId="46156"/>
    <cellStyle name="20% - Accent3 5 11 6" xfId="31520"/>
    <cellStyle name="20% - Accent3 5 12" xfId="3174"/>
    <cellStyle name="20% - Accent3 5 12 2" xfId="9215"/>
    <cellStyle name="20% - Accent3 5 12 2 2" xfId="26262"/>
    <cellStyle name="20% - Accent3 5 12 2 2 2" xfId="55123"/>
    <cellStyle name="20% - Accent3 5 12 2 3" xfId="38076"/>
    <cellStyle name="20% - Accent3 5 12 3" xfId="12083"/>
    <cellStyle name="20% - Accent3 5 12 3 2" xfId="20284"/>
    <cellStyle name="20% - Accent3 5 12 3 2 2" xfId="49145"/>
    <cellStyle name="20% - Accent3 5 12 3 3" xfId="40944"/>
    <cellStyle name="20% - Accent3 5 12 4" xfId="14924"/>
    <cellStyle name="20% - Accent3 5 12 4 2" xfId="43785"/>
    <cellStyle name="20% - Accent3 5 12 5" xfId="32035"/>
    <cellStyle name="20% - Accent3 5 13" xfId="2865"/>
    <cellStyle name="20% - Accent3 5 13 2" xfId="8906"/>
    <cellStyle name="20% - Accent3 5 13 2 2" xfId="25953"/>
    <cellStyle name="20% - Accent3 5 13 2 2 2" xfId="54814"/>
    <cellStyle name="20% - Accent3 5 13 2 3" xfId="37767"/>
    <cellStyle name="20% - Accent3 5 13 3" xfId="17501"/>
    <cellStyle name="20% - Accent3 5 13 3 2" xfId="46362"/>
    <cellStyle name="20% - Accent3 5 13 4" xfId="31726"/>
    <cellStyle name="20% - Accent3 5 14" xfId="5751"/>
    <cellStyle name="20% - Accent3 5 14 2" xfId="11792"/>
    <cellStyle name="20% - Accent3 5 14 2 2" xfId="28839"/>
    <cellStyle name="20% - Accent3 5 14 2 2 2" xfId="57700"/>
    <cellStyle name="20% - Accent3 5 14 2 3" xfId="40653"/>
    <cellStyle name="20% - Accent3 5 14 3" xfId="22861"/>
    <cellStyle name="20% - Accent3 5 14 3 2" xfId="51722"/>
    <cellStyle name="20% - Accent3 5 14 4" xfId="34612"/>
    <cellStyle name="20% - Accent3 5 15" xfId="5968"/>
    <cellStyle name="20% - Accent3 5 15 2" xfId="23067"/>
    <cellStyle name="20% - Accent3 5 15 2 2" xfId="51928"/>
    <cellStyle name="20% - Accent3 5 15 3" xfId="34829"/>
    <cellStyle name="20% - Accent3 5 16" xfId="6329"/>
    <cellStyle name="20% - Accent3 5 16 2" xfId="23376"/>
    <cellStyle name="20% - Accent3 5 16 2 2" xfId="52237"/>
    <cellStyle name="20% - Accent3 5 16 3" xfId="35190"/>
    <cellStyle name="20% - Accent3 5 17" xfId="14615"/>
    <cellStyle name="20% - Accent3 5 17 2" xfId="43476"/>
    <cellStyle name="20% - Accent3 5 18" xfId="29149"/>
    <cellStyle name="20% - Accent3 5 2" xfId="493"/>
    <cellStyle name="20% - Accent3 5 2 2" xfId="2244"/>
    <cellStyle name="20% - Accent3 5 2 2 2" xfId="5131"/>
    <cellStyle name="20% - Accent3 5 2 2 2 2" xfId="11172"/>
    <cellStyle name="20% - Accent3 5 2 2 2 2 2" xfId="28219"/>
    <cellStyle name="20% - Accent3 5 2 2 2 2 2 2" xfId="57080"/>
    <cellStyle name="20% - Accent3 5 2 2 2 2 3" xfId="40033"/>
    <cellStyle name="20% - Accent3 5 2 2 2 3" xfId="22241"/>
    <cellStyle name="20% - Accent3 5 2 2 2 3 2" xfId="51102"/>
    <cellStyle name="20% - Accent3 5 2 2 2 4" xfId="33992"/>
    <cellStyle name="20% - Accent3 5 2 2 3" xfId="8286"/>
    <cellStyle name="20% - Accent3 5 2 2 3 2" xfId="25333"/>
    <cellStyle name="20% - Accent3 5 2 2 3 2 2" xfId="54194"/>
    <cellStyle name="20% - Accent3 5 2 2 3 3" xfId="37147"/>
    <cellStyle name="20% - Accent3 5 2 2 4" xfId="13480"/>
    <cellStyle name="20% - Accent3 5 2 2 4 2" xfId="19561"/>
    <cellStyle name="20% - Accent3 5 2 2 4 2 2" xfId="48422"/>
    <cellStyle name="20% - Accent3 5 2 2 4 3" xfId="42341"/>
    <cellStyle name="20% - Accent3 5 2 2 5" xfId="16881"/>
    <cellStyle name="20% - Accent3 5 2 2 5 2" xfId="45742"/>
    <cellStyle name="20% - Accent3 5 2 2 6" xfId="31106"/>
    <cellStyle name="20% - Accent3 5 2 3" xfId="3380"/>
    <cellStyle name="20% - Accent3 5 2 3 2" xfId="9421"/>
    <cellStyle name="20% - Accent3 5 2 3 2 2" xfId="26468"/>
    <cellStyle name="20% - Accent3 5 2 3 2 2 2" xfId="55329"/>
    <cellStyle name="20% - Accent3 5 2 3 2 3" xfId="38282"/>
    <cellStyle name="20% - Accent3 5 2 3 3" xfId="20490"/>
    <cellStyle name="20% - Accent3 5 2 3 3 2" xfId="49351"/>
    <cellStyle name="20% - Accent3 5 2 3 4" xfId="32241"/>
    <cellStyle name="20% - Accent3 5 2 4" xfId="6535"/>
    <cellStyle name="20% - Accent3 5 2 4 2" xfId="23582"/>
    <cellStyle name="20% - Accent3 5 2 4 2 2" xfId="52443"/>
    <cellStyle name="20% - Accent3 5 2 4 3" xfId="35396"/>
    <cellStyle name="20% - Accent3 5 2 5" xfId="13608"/>
    <cellStyle name="20% - Accent3 5 2 5 2" xfId="17810"/>
    <cellStyle name="20% - Accent3 5 2 5 2 2" xfId="46671"/>
    <cellStyle name="20% - Accent3 5 2 5 3" xfId="42469"/>
    <cellStyle name="20% - Accent3 5 2 6" xfId="15130"/>
    <cellStyle name="20% - Accent3 5 2 6 2" xfId="43991"/>
    <cellStyle name="20% - Accent3 5 2 7" xfId="29355"/>
    <cellStyle name="20% - Accent3 5 3" xfId="802"/>
    <cellStyle name="20% - Accent3 5 3 2" xfId="3689"/>
    <cellStyle name="20% - Accent3 5 3 2 2" xfId="9730"/>
    <cellStyle name="20% - Accent3 5 3 2 2 2" xfId="26777"/>
    <cellStyle name="20% - Accent3 5 3 2 2 2 2" xfId="55638"/>
    <cellStyle name="20% - Accent3 5 3 2 2 3" xfId="38591"/>
    <cellStyle name="20% - Accent3 5 3 2 3" xfId="20799"/>
    <cellStyle name="20% - Accent3 5 3 2 3 2" xfId="49660"/>
    <cellStyle name="20% - Accent3 5 3 2 4" xfId="32550"/>
    <cellStyle name="20% - Accent3 5 3 3" xfId="6844"/>
    <cellStyle name="20% - Accent3 5 3 3 2" xfId="23891"/>
    <cellStyle name="20% - Accent3 5 3 3 2 2" xfId="52752"/>
    <cellStyle name="20% - Accent3 5 3 3 3" xfId="35705"/>
    <cellStyle name="20% - Accent3 5 3 4" xfId="13785"/>
    <cellStyle name="20% - Accent3 5 3 4 2" xfId="18119"/>
    <cellStyle name="20% - Accent3 5 3 4 2 2" xfId="46980"/>
    <cellStyle name="20% - Accent3 5 3 4 3" xfId="42646"/>
    <cellStyle name="20% - Accent3 5 3 5" xfId="15439"/>
    <cellStyle name="20% - Accent3 5 3 5 2" xfId="44300"/>
    <cellStyle name="20% - Accent3 5 3 6" xfId="29664"/>
    <cellStyle name="20% - Accent3 5 4" xfId="1008"/>
    <cellStyle name="20% - Accent3 5 4 2" xfId="3895"/>
    <cellStyle name="20% - Accent3 5 4 2 2" xfId="9936"/>
    <cellStyle name="20% - Accent3 5 4 2 2 2" xfId="26983"/>
    <cellStyle name="20% - Accent3 5 4 2 2 2 2" xfId="55844"/>
    <cellStyle name="20% - Accent3 5 4 2 2 3" xfId="38797"/>
    <cellStyle name="20% - Accent3 5 4 2 3" xfId="21005"/>
    <cellStyle name="20% - Accent3 5 4 2 3 2" xfId="49866"/>
    <cellStyle name="20% - Accent3 5 4 2 4" xfId="32756"/>
    <cellStyle name="20% - Accent3 5 4 3" xfId="7050"/>
    <cellStyle name="20% - Accent3 5 4 3 2" xfId="24097"/>
    <cellStyle name="20% - Accent3 5 4 3 2 2" xfId="52958"/>
    <cellStyle name="20% - Accent3 5 4 3 3" xfId="35911"/>
    <cellStyle name="20% - Accent3 5 4 4" xfId="11913"/>
    <cellStyle name="20% - Accent3 5 4 4 2" xfId="18325"/>
    <cellStyle name="20% - Accent3 5 4 4 2 2" xfId="47186"/>
    <cellStyle name="20% - Accent3 5 4 4 3" xfId="40774"/>
    <cellStyle name="20% - Accent3 5 4 5" xfId="15645"/>
    <cellStyle name="20% - Accent3 5 4 5 2" xfId="44506"/>
    <cellStyle name="20% - Accent3 5 4 6" xfId="29870"/>
    <cellStyle name="20% - Accent3 5 5" xfId="1214"/>
    <cellStyle name="20% - Accent3 5 5 2" xfId="4101"/>
    <cellStyle name="20% - Accent3 5 5 2 2" xfId="10142"/>
    <cellStyle name="20% - Accent3 5 5 2 2 2" xfId="27189"/>
    <cellStyle name="20% - Accent3 5 5 2 2 2 2" xfId="56050"/>
    <cellStyle name="20% - Accent3 5 5 2 2 3" xfId="39003"/>
    <cellStyle name="20% - Accent3 5 5 2 3" xfId="21211"/>
    <cellStyle name="20% - Accent3 5 5 2 3 2" xfId="50072"/>
    <cellStyle name="20% - Accent3 5 5 2 4" xfId="32962"/>
    <cellStyle name="20% - Accent3 5 5 3" xfId="7256"/>
    <cellStyle name="20% - Accent3 5 5 3 2" xfId="24303"/>
    <cellStyle name="20% - Accent3 5 5 3 2 2" xfId="53164"/>
    <cellStyle name="20% - Accent3 5 5 3 3" xfId="36117"/>
    <cellStyle name="20% - Accent3 5 5 4" xfId="12263"/>
    <cellStyle name="20% - Accent3 5 5 4 2" xfId="18531"/>
    <cellStyle name="20% - Accent3 5 5 4 2 2" xfId="47392"/>
    <cellStyle name="20% - Accent3 5 5 4 3" xfId="41124"/>
    <cellStyle name="20% - Accent3 5 5 5" xfId="15851"/>
    <cellStyle name="20% - Accent3 5 5 5 2" xfId="44712"/>
    <cellStyle name="20% - Accent3 5 5 6" xfId="30076"/>
    <cellStyle name="20% - Accent3 5 6" xfId="1420"/>
    <cellStyle name="20% - Accent3 5 6 2" xfId="4307"/>
    <cellStyle name="20% - Accent3 5 6 2 2" xfId="10348"/>
    <cellStyle name="20% - Accent3 5 6 2 2 2" xfId="27395"/>
    <cellStyle name="20% - Accent3 5 6 2 2 2 2" xfId="56256"/>
    <cellStyle name="20% - Accent3 5 6 2 2 3" xfId="39209"/>
    <cellStyle name="20% - Accent3 5 6 2 3" xfId="21417"/>
    <cellStyle name="20% - Accent3 5 6 2 3 2" xfId="50278"/>
    <cellStyle name="20% - Accent3 5 6 2 4" xfId="33168"/>
    <cellStyle name="20% - Accent3 5 6 3" xfId="7462"/>
    <cellStyle name="20% - Accent3 5 6 3 2" xfId="24509"/>
    <cellStyle name="20% - Accent3 5 6 3 2 2" xfId="53370"/>
    <cellStyle name="20% - Accent3 5 6 3 3" xfId="36323"/>
    <cellStyle name="20% - Accent3 5 6 4" xfId="12031"/>
    <cellStyle name="20% - Accent3 5 6 4 2" xfId="18737"/>
    <cellStyle name="20% - Accent3 5 6 4 2 2" xfId="47598"/>
    <cellStyle name="20% - Accent3 5 6 4 3" xfId="40892"/>
    <cellStyle name="20% - Accent3 5 6 5" xfId="16057"/>
    <cellStyle name="20% - Accent3 5 6 5 2" xfId="44918"/>
    <cellStyle name="20% - Accent3 5 6 6" xfId="30282"/>
    <cellStyle name="20% - Accent3 5 7" xfId="1626"/>
    <cellStyle name="20% - Accent3 5 7 2" xfId="4513"/>
    <cellStyle name="20% - Accent3 5 7 2 2" xfId="10554"/>
    <cellStyle name="20% - Accent3 5 7 2 2 2" xfId="27601"/>
    <cellStyle name="20% - Accent3 5 7 2 2 2 2" xfId="56462"/>
    <cellStyle name="20% - Accent3 5 7 2 2 3" xfId="39415"/>
    <cellStyle name="20% - Accent3 5 7 2 3" xfId="21623"/>
    <cellStyle name="20% - Accent3 5 7 2 3 2" xfId="50484"/>
    <cellStyle name="20% - Accent3 5 7 2 4" xfId="33374"/>
    <cellStyle name="20% - Accent3 5 7 3" xfId="7668"/>
    <cellStyle name="20% - Accent3 5 7 3 2" xfId="24715"/>
    <cellStyle name="20% - Accent3 5 7 3 2 2" xfId="53576"/>
    <cellStyle name="20% - Accent3 5 7 3 3" xfId="36529"/>
    <cellStyle name="20% - Accent3 5 7 4" xfId="13838"/>
    <cellStyle name="20% - Accent3 5 7 4 2" xfId="18943"/>
    <cellStyle name="20% - Accent3 5 7 4 2 2" xfId="47804"/>
    <cellStyle name="20% - Accent3 5 7 4 3" xfId="42699"/>
    <cellStyle name="20% - Accent3 5 7 5" xfId="16263"/>
    <cellStyle name="20% - Accent3 5 7 5 2" xfId="45124"/>
    <cellStyle name="20% - Accent3 5 7 6" xfId="30488"/>
    <cellStyle name="20% - Accent3 5 8" xfId="1832"/>
    <cellStyle name="20% - Accent3 5 8 2" xfId="4719"/>
    <cellStyle name="20% - Accent3 5 8 2 2" xfId="10760"/>
    <cellStyle name="20% - Accent3 5 8 2 2 2" xfId="27807"/>
    <cellStyle name="20% - Accent3 5 8 2 2 2 2" xfId="56668"/>
    <cellStyle name="20% - Accent3 5 8 2 2 3" xfId="39621"/>
    <cellStyle name="20% - Accent3 5 8 2 3" xfId="21829"/>
    <cellStyle name="20% - Accent3 5 8 2 3 2" xfId="50690"/>
    <cellStyle name="20% - Accent3 5 8 2 4" xfId="33580"/>
    <cellStyle name="20% - Accent3 5 8 3" xfId="7874"/>
    <cellStyle name="20% - Accent3 5 8 3 2" xfId="24921"/>
    <cellStyle name="20% - Accent3 5 8 3 2 2" xfId="53782"/>
    <cellStyle name="20% - Accent3 5 8 3 3" xfId="36735"/>
    <cellStyle name="20% - Accent3 5 8 4" xfId="12444"/>
    <cellStyle name="20% - Accent3 5 8 4 2" xfId="19149"/>
    <cellStyle name="20% - Accent3 5 8 4 2 2" xfId="48010"/>
    <cellStyle name="20% - Accent3 5 8 4 3" xfId="41305"/>
    <cellStyle name="20% - Accent3 5 8 5" xfId="16469"/>
    <cellStyle name="20% - Accent3 5 8 5 2" xfId="45330"/>
    <cellStyle name="20% - Accent3 5 8 6" xfId="30694"/>
    <cellStyle name="20% - Accent3 5 9" xfId="2038"/>
    <cellStyle name="20% - Accent3 5 9 2" xfId="4925"/>
    <cellStyle name="20% - Accent3 5 9 2 2" xfId="10966"/>
    <cellStyle name="20% - Accent3 5 9 2 2 2" xfId="28013"/>
    <cellStyle name="20% - Accent3 5 9 2 2 2 2" xfId="56874"/>
    <cellStyle name="20% - Accent3 5 9 2 2 3" xfId="39827"/>
    <cellStyle name="20% - Accent3 5 9 2 3" xfId="22035"/>
    <cellStyle name="20% - Accent3 5 9 2 3 2" xfId="50896"/>
    <cellStyle name="20% - Accent3 5 9 2 4" xfId="33786"/>
    <cellStyle name="20% - Accent3 5 9 3" xfId="8080"/>
    <cellStyle name="20% - Accent3 5 9 3 2" xfId="25127"/>
    <cellStyle name="20% - Accent3 5 9 3 2 2" xfId="53988"/>
    <cellStyle name="20% - Accent3 5 9 3 3" xfId="36941"/>
    <cellStyle name="20% - Accent3 5 9 4" xfId="12091"/>
    <cellStyle name="20% - Accent3 5 9 4 2" xfId="19355"/>
    <cellStyle name="20% - Accent3 5 9 4 2 2" xfId="48216"/>
    <cellStyle name="20% - Accent3 5 9 4 3" xfId="40952"/>
    <cellStyle name="20% - Accent3 5 9 5" xfId="16675"/>
    <cellStyle name="20% - Accent3 5 9 5 2" xfId="45536"/>
    <cellStyle name="20% - Accent3 5 9 6" xfId="30900"/>
    <cellStyle name="20% - Accent3 6" xfId="184"/>
    <cellStyle name="20% - Accent3 6 2" xfId="596"/>
    <cellStyle name="20% - Accent3 6 2 2" xfId="3483"/>
    <cellStyle name="20% - Accent3 6 2 2 2" xfId="9524"/>
    <cellStyle name="20% - Accent3 6 2 2 2 2" xfId="26571"/>
    <cellStyle name="20% - Accent3 6 2 2 2 2 2" xfId="55432"/>
    <cellStyle name="20% - Accent3 6 2 2 2 3" xfId="38385"/>
    <cellStyle name="20% - Accent3 6 2 2 3" xfId="20593"/>
    <cellStyle name="20% - Accent3 6 2 2 3 2" xfId="49454"/>
    <cellStyle name="20% - Accent3 6 2 2 4" xfId="32344"/>
    <cellStyle name="20% - Accent3 6 2 3" xfId="6638"/>
    <cellStyle name="20% - Accent3 6 2 3 2" xfId="23685"/>
    <cellStyle name="20% - Accent3 6 2 3 2 2" xfId="52546"/>
    <cellStyle name="20% - Accent3 6 2 3 3" xfId="35499"/>
    <cellStyle name="20% - Accent3 6 2 4" xfId="12075"/>
    <cellStyle name="20% - Accent3 6 2 4 2" xfId="17913"/>
    <cellStyle name="20% - Accent3 6 2 4 2 2" xfId="46774"/>
    <cellStyle name="20% - Accent3 6 2 4 3" xfId="40936"/>
    <cellStyle name="20% - Accent3 6 2 5" xfId="15233"/>
    <cellStyle name="20% - Accent3 6 2 5 2" xfId="44094"/>
    <cellStyle name="20% - Accent3 6 2 6" xfId="29458"/>
    <cellStyle name="20% - Accent3 6 3" xfId="2141"/>
    <cellStyle name="20% - Accent3 6 3 2" xfId="5028"/>
    <cellStyle name="20% - Accent3 6 3 2 2" xfId="11069"/>
    <cellStyle name="20% - Accent3 6 3 2 2 2" xfId="28116"/>
    <cellStyle name="20% - Accent3 6 3 2 2 2 2" xfId="56977"/>
    <cellStyle name="20% - Accent3 6 3 2 2 3" xfId="39930"/>
    <cellStyle name="20% - Accent3 6 3 2 3" xfId="22138"/>
    <cellStyle name="20% - Accent3 6 3 2 3 2" xfId="50999"/>
    <cellStyle name="20% - Accent3 6 3 2 4" xfId="33889"/>
    <cellStyle name="20% - Accent3 6 3 3" xfId="8183"/>
    <cellStyle name="20% - Accent3 6 3 3 2" xfId="25230"/>
    <cellStyle name="20% - Accent3 6 3 3 2 2" xfId="54091"/>
    <cellStyle name="20% - Accent3 6 3 3 3" xfId="37044"/>
    <cellStyle name="20% - Accent3 6 3 4" xfId="13329"/>
    <cellStyle name="20% - Accent3 6 3 4 2" xfId="19458"/>
    <cellStyle name="20% - Accent3 6 3 4 2 2" xfId="48319"/>
    <cellStyle name="20% - Accent3 6 3 4 3" xfId="42190"/>
    <cellStyle name="20% - Accent3 6 3 5" xfId="16778"/>
    <cellStyle name="20% - Accent3 6 3 5 2" xfId="45639"/>
    <cellStyle name="20% - Accent3 6 3 6" xfId="31003"/>
    <cellStyle name="20% - Accent3 6 4" xfId="3071"/>
    <cellStyle name="20% - Accent3 6 4 2" xfId="9112"/>
    <cellStyle name="20% - Accent3 6 4 2 2" xfId="26159"/>
    <cellStyle name="20% - Accent3 6 4 2 2 2" xfId="55020"/>
    <cellStyle name="20% - Accent3 6 4 2 3" xfId="37973"/>
    <cellStyle name="20% - Accent3 6 4 3" xfId="20181"/>
    <cellStyle name="20% - Accent3 6 4 3 2" xfId="49042"/>
    <cellStyle name="20% - Accent3 6 4 4" xfId="31932"/>
    <cellStyle name="20% - Accent3 6 5" xfId="6226"/>
    <cellStyle name="20% - Accent3 6 5 2" xfId="23273"/>
    <cellStyle name="20% - Accent3 6 5 2 2" xfId="52134"/>
    <cellStyle name="20% - Accent3 6 5 3" xfId="35087"/>
    <cellStyle name="20% - Accent3 6 6" xfId="13999"/>
    <cellStyle name="20% - Accent3 6 6 2" xfId="17604"/>
    <cellStyle name="20% - Accent3 6 6 2 2" xfId="46465"/>
    <cellStyle name="20% - Accent3 6 6 3" xfId="42860"/>
    <cellStyle name="20% - Accent3 6 7" xfId="14821"/>
    <cellStyle name="20% - Accent3 6 7 2" xfId="43682"/>
    <cellStyle name="20% - Accent3 6 8" xfId="29046"/>
    <cellStyle name="20% - Accent3 7" xfId="390"/>
    <cellStyle name="20% - Accent3 7 2" xfId="3277"/>
    <cellStyle name="20% - Accent3 7 2 2" xfId="9318"/>
    <cellStyle name="20% - Accent3 7 2 2 2" xfId="26365"/>
    <cellStyle name="20% - Accent3 7 2 2 2 2" xfId="55226"/>
    <cellStyle name="20% - Accent3 7 2 2 3" xfId="38179"/>
    <cellStyle name="20% - Accent3 7 2 3" xfId="20387"/>
    <cellStyle name="20% - Accent3 7 2 3 2" xfId="49248"/>
    <cellStyle name="20% - Accent3 7 2 4" xfId="32138"/>
    <cellStyle name="20% - Accent3 7 3" xfId="6432"/>
    <cellStyle name="20% - Accent3 7 3 2" xfId="23479"/>
    <cellStyle name="20% - Accent3 7 3 2 2" xfId="52340"/>
    <cellStyle name="20% - Accent3 7 3 3" xfId="35293"/>
    <cellStyle name="20% - Accent3 7 4" xfId="13592"/>
    <cellStyle name="20% - Accent3 7 4 2" xfId="17707"/>
    <cellStyle name="20% - Accent3 7 4 2 2" xfId="46568"/>
    <cellStyle name="20% - Accent3 7 4 3" xfId="42453"/>
    <cellStyle name="20% - Accent3 7 5" xfId="15027"/>
    <cellStyle name="20% - Accent3 7 5 2" xfId="43888"/>
    <cellStyle name="20% - Accent3 7 6" xfId="29252"/>
    <cellStyle name="20% - Accent3 8" xfId="699"/>
    <cellStyle name="20% - Accent3 8 2" xfId="3586"/>
    <cellStyle name="20% - Accent3 8 2 2" xfId="9627"/>
    <cellStyle name="20% - Accent3 8 2 2 2" xfId="26674"/>
    <cellStyle name="20% - Accent3 8 2 2 2 2" xfId="55535"/>
    <cellStyle name="20% - Accent3 8 2 2 3" xfId="38488"/>
    <cellStyle name="20% - Accent3 8 2 3" xfId="20696"/>
    <cellStyle name="20% - Accent3 8 2 3 2" xfId="49557"/>
    <cellStyle name="20% - Accent3 8 2 4" xfId="32447"/>
    <cellStyle name="20% - Accent3 8 3" xfId="6741"/>
    <cellStyle name="20% - Accent3 8 3 2" xfId="23788"/>
    <cellStyle name="20% - Accent3 8 3 2 2" xfId="52649"/>
    <cellStyle name="20% - Accent3 8 3 3" xfId="35602"/>
    <cellStyle name="20% - Accent3 8 4" xfId="13439"/>
    <cellStyle name="20% - Accent3 8 4 2" xfId="18016"/>
    <cellStyle name="20% - Accent3 8 4 2 2" xfId="46877"/>
    <cellStyle name="20% - Accent3 8 4 3" xfId="42300"/>
    <cellStyle name="20% - Accent3 8 5" xfId="15336"/>
    <cellStyle name="20% - Accent3 8 5 2" xfId="44197"/>
    <cellStyle name="20% - Accent3 8 6" xfId="29561"/>
    <cellStyle name="20% - Accent3 9" xfId="905"/>
    <cellStyle name="20% - Accent3 9 2" xfId="3792"/>
    <cellStyle name="20% - Accent3 9 2 2" xfId="9833"/>
    <cellStyle name="20% - Accent3 9 2 2 2" xfId="26880"/>
    <cellStyle name="20% - Accent3 9 2 2 2 2" xfId="55741"/>
    <cellStyle name="20% - Accent3 9 2 2 3" xfId="38694"/>
    <cellStyle name="20% - Accent3 9 2 3" xfId="20902"/>
    <cellStyle name="20% - Accent3 9 2 3 2" xfId="49763"/>
    <cellStyle name="20% - Accent3 9 2 4" xfId="32653"/>
    <cellStyle name="20% - Accent3 9 3" xfId="6947"/>
    <cellStyle name="20% - Accent3 9 3 2" xfId="23994"/>
    <cellStyle name="20% - Accent3 9 3 2 2" xfId="52855"/>
    <cellStyle name="20% - Accent3 9 3 3" xfId="35808"/>
    <cellStyle name="20% - Accent3 9 4" xfId="6076"/>
    <cellStyle name="20% - Accent3 9 4 2" xfId="18222"/>
    <cellStyle name="20% - Accent3 9 4 2 2" xfId="47083"/>
    <cellStyle name="20% - Accent3 9 4 3" xfId="34937"/>
    <cellStyle name="20% - Accent3 9 5" xfId="15542"/>
    <cellStyle name="20% - Accent3 9 5 2" xfId="44403"/>
    <cellStyle name="20% - Accent3 9 6" xfId="29767"/>
    <cellStyle name="20% - Accent4" xfId="78" builtinId="42" customBuiltin="1"/>
    <cellStyle name="20% - Accent4 10" xfId="1113"/>
    <cellStyle name="20% - Accent4 10 2" xfId="4000"/>
    <cellStyle name="20% - Accent4 10 2 2" xfId="10041"/>
    <cellStyle name="20% - Accent4 10 2 2 2" xfId="27088"/>
    <cellStyle name="20% - Accent4 10 2 2 2 2" xfId="55949"/>
    <cellStyle name="20% - Accent4 10 2 2 3" xfId="38902"/>
    <cellStyle name="20% - Accent4 10 2 3" xfId="21110"/>
    <cellStyle name="20% - Accent4 10 2 3 2" xfId="49971"/>
    <cellStyle name="20% - Accent4 10 2 4" xfId="32861"/>
    <cellStyle name="20% - Accent4 10 3" xfId="7155"/>
    <cellStyle name="20% - Accent4 10 3 2" xfId="24202"/>
    <cellStyle name="20% - Accent4 10 3 2 2" xfId="53063"/>
    <cellStyle name="20% - Accent4 10 3 3" xfId="36016"/>
    <cellStyle name="20% - Accent4 10 4" xfId="12712"/>
    <cellStyle name="20% - Accent4 10 4 2" xfId="18430"/>
    <cellStyle name="20% - Accent4 10 4 2 2" xfId="47291"/>
    <cellStyle name="20% - Accent4 10 4 3" xfId="41573"/>
    <cellStyle name="20% - Accent4 10 5" xfId="15750"/>
    <cellStyle name="20% - Accent4 10 5 2" xfId="44611"/>
    <cellStyle name="20% - Accent4 10 6" xfId="29975"/>
    <cellStyle name="20% - Accent4 11" xfId="1319"/>
    <cellStyle name="20% - Accent4 11 2" xfId="4206"/>
    <cellStyle name="20% - Accent4 11 2 2" xfId="10247"/>
    <cellStyle name="20% - Accent4 11 2 2 2" xfId="27294"/>
    <cellStyle name="20% - Accent4 11 2 2 2 2" xfId="56155"/>
    <cellStyle name="20% - Accent4 11 2 2 3" xfId="39108"/>
    <cellStyle name="20% - Accent4 11 2 3" xfId="21316"/>
    <cellStyle name="20% - Accent4 11 2 3 2" xfId="50177"/>
    <cellStyle name="20% - Accent4 11 2 4" xfId="33067"/>
    <cellStyle name="20% - Accent4 11 3" xfId="7361"/>
    <cellStyle name="20% - Accent4 11 3 2" xfId="24408"/>
    <cellStyle name="20% - Accent4 11 3 2 2" xfId="53269"/>
    <cellStyle name="20% - Accent4 11 3 3" xfId="36222"/>
    <cellStyle name="20% - Accent4 11 4" xfId="14369"/>
    <cellStyle name="20% - Accent4 11 4 2" xfId="18636"/>
    <cellStyle name="20% - Accent4 11 4 2 2" xfId="47497"/>
    <cellStyle name="20% - Accent4 11 4 3" xfId="43230"/>
    <cellStyle name="20% - Accent4 11 5" xfId="15956"/>
    <cellStyle name="20% - Accent4 11 5 2" xfId="44817"/>
    <cellStyle name="20% - Accent4 11 6" xfId="30181"/>
    <cellStyle name="20% - Accent4 12" xfId="1525"/>
    <cellStyle name="20% - Accent4 12 2" xfId="4412"/>
    <cellStyle name="20% - Accent4 12 2 2" xfId="10453"/>
    <cellStyle name="20% - Accent4 12 2 2 2" xfId="27500"/>
    <cellStyle name="20% - Accent4 12 2 2 2 2" xfId="56361"/>
    <cellStyle name="20% - Accent4 12 2 2 3" xfId="39314"/>
    <cellStyle name="20% - Accent4 12 2 3" xfId="21522"/>
    <cellStyle name="20% - Accent4 12 2 3 2" xfId="50383"/>
    <cellStyle name="20% - Accent4 12 2 4" xfId="33273"/>
    <cellStyle name="20% - Accent4 12 3" xfId="7567"/>
    <cellStyle name="20% - Accent4 12 3 2" xfId="24614"/>
    <cellStyle name="20% - Accent4 12 3 2 2" xfId="53475"/>
    <cellStyle name="20% - Accent4 12 3 3" xfId="36428"/>
    <cellStyle name="20% - Accent4 12 4" xfId="14440"/>
    <cellStyle name="20% - Accent4 12 4 2" xfId="18842"/>
    <cellStyle name="20% - Accent4 12 4 2 2" xfId="47703"/>
    <cellStyle name="20% - Accent4 12 4 3" xfId="43301"/>
    <cellStyle name="20% - Accent4 12 5" xfId="16162"/>
    <cellStyle name="20% - Accent4 12 5 2" xfId="45023"/>
    <cellStyle name="20% - Accent4 12 6" xfId="30387"/>
    <cellStyle name="20% - Accent4 13" xfId="1731"/>
    <cellStyle name="20% - Accent4 13 2" xfId="4618"/>
    <cellStyle name="20% - Accent4 13 2 2" xfId="10659"/>
    <cellStyle name="20% - Accent4 13 2 2 2" xfId="27706"/>
    <cellStyle name="20% - Accent4 13 2 2 2 2" xfId="56567"/>
    <cellStyle name="20% - Accent4 13 2 2 3" xfId="39520"/>
    <cellStyle name="20% - Accent4 13 2 3" xfId="21728"/>
    <cellStyle name="20% - Accent4 13 2 3 2" xfId="50589"/>
    <cellStyle name="20% - Accent4 13 2 4" xfId="33479"/>
    <cellStyle name="20% - Accent4 13 3" xfId="7773"/>
    <cellStyle name="20% - Accent4 13 3 2" xfId="24820"/>
    <cellStyle name="20% - Accent4 13 3 2 2" xfId="53681"/>
    <cellStyle name="20% - Accent4 13 3 3" xfId="36634"/>
    <cellStyle name="20% - Accent4 13 4" xfId="14432"/>
    <cellStyle name="20% - Accent4 13 4 2" xfId="19048"/>
    <cellStyle name="20% - Accent4 13 4 2 2" xfId="47909"/>
    <cellStyle name="20% - Accent4 13 4 3" xfId="43293"/>
    <cellStyle name="20% - Accent4 13 5" xfId="16368"/>
    <cellStyle name="20% - Accent4 13 5 2" xfId="45229"/>
    <cellStyle name="20% - Accent4 13 6" xfId="30593"/>
    <cellStyle name="20% - Accent4 14" xfId="1937"/>
    <cellStyle name="20% - Accent4 14 2" xfId="4824"/>
    <cellStyle name="20% - Accent4 14 2 2" xfId="10865"/>
    <cellStyle name="20% - Accent4 14 2 2 2" xfId="27912"/>
    <cellStyle name="20% - Accent4 14 2 2 2 2" xfId="56773"/>
    <cellStyle name="20% - Accent4 14 2 2 3" xfId="39726"/>
    <cellStyle name="20% - Accent4 14 2 3" xfId="21934"/>
    <cellStyle name="20% - Accent4 14 2 3 2" xfId="50795"/>
    <cellStyle name="20% - Accent4 14 2 4" xfId="33685"/>
    <cellStyle name="20% - Accent4 14 3" xfId="7979"/>
    <cellStyle name="20% - Accent4 14 3 2" xfId="25026"/>
    <cellStyle name="20% - Accent4 14 3 2 2" xfId="53887"/>
    <cellStyle name="20% - Accent4 14 3 3" xfId="36840"/>
    <cellStyle name="20% - Accent4 14 4" xfId="14180"/>
    <cellStyle name="20% - Accent4 14 4 2" xfId="19254"/>
    <cellStyle name="20% - Accent4 14 4 2 2" xfId="48115"/>
    <cellStyle name="20% - Accent4 14 4 3" xfId="43041"/>
    <cellStyle name="20% - Accent4 14 5" xfId="16574"/>
    <cellStyle name="20% - Accent4 14 5 2" xfId="45435"/>
    <cellStyle name="20% - Accent4 14 6" xfId="30799"/>
    <cellStyle name="20% - Accent4 15" xfId="2349"/>
    <cellStyle name="20% - Accent4 15 2" xfId="5236"/>
    <cellStyle name="20% - Accent4 15 2 2" xfId="11277"/>
    <cellStyle name="20% - Accent4 15 2 2 2" xfId="28324"/>
    <cellStyle name="20% - Accent4 15 2 2 2 2" xfId="57185"/>
    <cellStyle name="20% - Accent4 15 2 2 3" xfId="40138"/>
    <cellStyle name="20% - Accent4 15 2 3" xfId="22346"/>
    <cellStyle name="20% - Accent4 15 2 3 2" xfId="51207"/>
    <cellStyle name="20% - Accent4 15 2 4" xfId="34097"/>
    <cellStyle name="20% - Accent4 15 3" xfId="8391"/>
    <cellStyle name="20% - Accent4 15 3 2" xfId="25438"/>
    <cellStyle name="20% - Accent4 15 3 2 2" xfId="54299"/>
    <cellStyle name="20% - Accent4 15 3 3" xfId="37252"/>
    <cellStyle name="20% - Accent4 15 4" xfId="14054"/>
    <cellStyle name="20% - Accent4 15 4 2" xfId="19666"/>
    <cellStyle name="20% - Accent4 15 4 2 2" xfId="48527"/>
    <cellStyle name="20% - Accent4 15 4 3" xfId="42915"/>
    <cellStyle name="20% - Accent4 15 5" xfId="16986"/>
    <cellStyle name="20% - Accent4 15 5 2" xfId="45847"/>
    <cellStyle name="20% - Accent4 15 6" xfId="31211"/>
    <cellStyle name="20% - Accent4 16" xfId="2558"/>
    <cellStyle name="20% - Accent4 16 2" xfId="5444"/>
    <cellStyle name="20% - Accent4 16 2 2" xfId="11485"/>
    <cellStyle name="20% - Accent4 16 2 2 2" xfId="28532"/>
    <cellStyle name="20% - Accent4 16 2 2 2 2" xfId="57393"/>
    <cellStyle name="20% - Accent4 16 2 2 3" xfId="40346"/>
    <cellStyle name="20% - Accent4 16 2 3" xfId="22554"/>
    <cellStyle name="20% - Accent4 16 2 3 2" xfId="51415"/>
    <cellStyle name="20% - Accent4 16 2 4" xfId="34305"/>
    <cellStyle name="20% - Accent4 16 3" xfId="8599"/>
    <cellStyle name="20% - Accent4 16 3 2" xfId="25646"/>
    <cellStyle name="20% - Accent4 16 3 2 2" xfId="54507"/>
    <cellStyle name="20% - Accent4 16 3 3" xfId="37460"/>
    <cellStyle name="20% - Accent4 16 4" xfId="14096"/>
    <cellStyle name="20% - Accent4 16 4 2" xfId="19874"/>
    <cellStyle name="20% - Accent4 16 4 2 2" xfId="48735"/>
    <cellStyle name="20% - Accent4 16 4 3" xfId="42957"/>
    <cellStyle name="20% - Accent4 16 5" xfId="17194"/>
    <cellStyle name="20% - Accent4 16 5 2" xfId="46055"/>
    <cellStyle name="20% - Accent4 16 6" xfId="31419"/>
    <cellStyle name="20% - Accent4 17" xfId="2970"/>
    <cellStyle name="20% - Accent4 17 2" xfId="9011"/>
    <cellStyle name="20% - Accent4 17 2 2" xfId="26058"/>
    <cellStyle name="20% - Accent4 17 2 2 2" xfId="54919"/>
    <cellStyle name="20% - Accent4 17 2 3" xfId="37872"/>
    <cellStyle name="20% - Accent4 17 3" xfId="12711"/>
    <cellStyle name="20% - Accent4 17 3 2" xfId="20080"/>
    <cellStyle name="20% - Accent4 17 3 2 2" xfId="48941"/>
    <cellStyle name="20% - Accent4 17 3 3" xfId="41572"/>
    <cellStyle name="20% - Accent4 17 4" xfId="14720"/>
    <cellStyle name="20% - Accent4 17 4 2" xfId="43581"/>
    <cellStyle name="20% - Accent4 17 5" xfId="31831"/>
    <cellStyle name="20% - Accent4 18" xfId="2764"/>
    <cellStyle name="20% - Accent4 18 2" xfId="8805"/>
    <cellStyle name="20% - Accent4 18 2 2" xfId="25852"/>
    <cellStyle name="20% - Accent4 18 2 2 2" xfId="54713"/>
    <cellStyle name="20% - Accent4 18 2 3" xfId="37666"/>
    <cellStyle name="20% - Accent4 18 3" xfId="17400"/>
    <cellStyle name="20% - Accent4 18 3 2" xfId="46261"/>
    <cellStyle name="20% - Accent4 18 4" xfId="31625"/>
    <cellStyle name="20% - Accent4 19" xfId="5650"/>
    <cellStyle name="20% - Accent4 19 2" xfId="11691"/>
    <cellStyle name="20% - Accent4 19 2 2" xfId="28738"/>
    <cellStyle name="20% - Accent4 19 2 2 2" xfId="57599"/>
    <cellStyle name="20% - Accent4 19 2 3" xfId="40552"/>
    <cellStyle name="20% - Accent4 19 3" xfId="22760"/>
    <cellStyle name="20% - Accent4 19 3 2" xfId="51621"/>
    <cellStyle name="20% - Accent4 19 4" xfId="34511"/>
    <cellStyle name="20% - Accent4 2" xfId="97"/>
    <cellStyle name="20% - Accent4 2 10" xfId="1333"/>
    <cellStyle name="20% - Accent4 2 10 2" xfId="4220"/>
    <cellStyle name="20% - Accent4 2 10 2 2" xfId="10261"/>
    <cellStyle name="20% - Accent4 2 10 2 2 2" xfId="27308"/>
    <cellStyle name="20% - Accent4 2 10 2 2 2 2" xfId="56169"/>
    <cellStyle name="20% - Accent4 2 10 2 2 3" xfId="39122"/>
    <cellStyle name="20% - Accent4 2 10 2 3" xfId="21330"/>
    <cellStyle name="20% - Accent4 2 10 2 3 2" xfId="50191"/>
    <cellStyle name="20% - Accent4 2 10 2 4" xfId="33081"/>
    <cellStyle name="20% - Accent4 2 10 3" xfId="7375"/>
    <cellStyle name="20% - Accent4 2 10 3 2" xfId="24422"/>
    <cellStyle name="20% - Accent4 2 10 3 2 2" xfId="53283"/>
    <cellStyle name="20% - Accent4 2 10 3 3" xfId="36236"/>
    <cellStyle name="20% - Accent4 2 10 4" xfId="12525"/>
    <cellStyle name="20% - Accent4 2 10 4 2" xfId="18650"/>
    <cellStyle name="20% - Accent4 2 10 4 2 2" xfId="47511"/>
    <cellStyle name="20% - Accent4 2 10 4 3" xfId="41386"/>
    <cellStyle name="20% - Accent4 2 10 5" xfId="15970"/>
    <cellStyle name="20% - Accent4 2 10 5 2" xfId="44831"/>
    <cellStyle name="20% - Accent4 2 10 6" xfId="30195"/>
    <cellStyle name="20% - Accent4 2 11" xfId="1539"/>
    <cellStyle name="20% - Accent4 2 11 2" xfId="4426"/>
    <cellStyle name="20% - Accent4 2 11 2 2" xfId="10467"/>
    <cellStyle name="20% - Accent4 2 11 2 2 2" xfId="27514"/>
    <cellStyle name="20% - Accent4 2 11 2 2 2 2" xfId="56375"/>
    <cellStyle name="20% - Accent4 2 11 2 2 3" xfId="39328"/>
    <cellStyle name="20% - Accent4 2 11 2 3" xfId="21536"/>
    <cellStyle name="20% - Accent4 2 11 2 3 2" xfId="50397"/>
    <cellStyle name="20% - Accent4 2 11 2 4" xfId="33287"/>
    <cellStyle name="20% - Accent4 2 11 3" xfId="7581"/>
    <cellStyle name="20% - Accent4 2 11 3 2" xfId="24628"/>
    <cellStyle name="20% - Accent4 2 11 3 2 2" xfId="53489"/>
    <cellStyle name="20% - Accent4 2 11 3 3" xfId="36442"/>
    <cellStyle name="20% - Accent4 2 11 4" xfId="13761"/>
    <cellStyle name="20% - Accent4 2 11 4 2" xfId="18856"/>
    <cellStyle name="20% - Accent4 2 11 4 2 2" xfId="47717"/>
    <cellStyle name="20% - Accent4 2 11 4 3" xfId="42622"/>
    <cellStyle name="20% - Accent4 2 11 5" xfId="16176"/>
    <cellStyle name="20% - Accent4 2 11 5 2" xfId="45037"/>
    <cellStyle name="20% - Accent4 2 11 6" xfId="30401"/>
    <cellStyle name="20% - Accent4 2 12" xfId="1745"/>
    <cellStyle name="20% - Accent4 2 12 2" xfId="4632"/>
    <cellStyle name="20% - Accent4 2 12 2 2" xfId="10673"/>
    <cellStyle name="20% - Accent4 2 12 2 2 2" xfId="27720"/>
    <cellStyle name="20% - Accent4 2 12 2 2 2 2" xfId="56581"/>
    <cellStyle name="20% - Accent4 2 12 2 2 3" xfId="39534"/>
    <cellStyle name="20% - Accent4 2 12 2 3" xfId="21742"/>
    <cellStyle name="20% - Accent4 2 12 2 3 2" xfId="50603"/>
    <cellStyle name="20% - Accent4 2 12 2 4" xfId="33493"/>
    <cellStyle name="20% - Accent4 2 12 3" xfId="7787"/>
    <cellStyle name="20% - Accent4 2 12 3 2" xfId="24834"/>
    <cellStyle name="20% - Accent4 2 12 3 2 2" xfId="53695"/>
    <cellStyle name="20% - Accent4 2 12 3 3" xfId="36648"/>
    <cellStyle name="20% - Accent4 2 12 4" xfId="14413"/>
    <cellStyle name="20% - Accent4 2 12 4 2" xfId="19062"/>
    <cellStyle name="20% - Accent4 2 12 4 2 2" xfId="47923"/>
    <cellStyle name="20% - Accent4 2 12 4 3" xfId="43274"/>
    <cellStyle name="20% - Accent4 2 12 5" xfId="16382"/>
    <cellStyle name="20% - Accent4 2 12 5 2" xfId="45243"/>
    <cellStyle name="20% - Accent4 2 12 6" xfId="30607"/>
    <cellStyle name="20% - Accent4 2 13" xfId="1951"/>
    <cellStyle name="20% - Accent4 2 13 2" xfId="4838"/>
    <cellStyle name="20% - Accent4 2 13 2 2" xfId="10879"/>
    <cellStyle name="20% - Accent4 2 13 2 2 2" xfId="27926"/>
    <cellStyle name="20% - Accent4 2 13 2 2 2 2" xfId="56787"/>
    <cellStyle name="20% - Accent4 2 13 2 2 3" xfId="39740"/>
    <cellStyle name="20% - Accent4 2 13 2 3" xfId="21948"/>
    <cellStyle name="20% - Accent4 2 13 2 3 2" xfId="50809"/>
    <cellStyle name="20% - Accent4 2 13 2 4" xfId="33699"/>
    <cellStyle name="20% - Accent4 2 13 3" xfId="7993"/>
    <cellStyle name="20% - Accent4 2 13 3 2" xfId="25040"/>
    <cellStyle name="20% - Accent4 2 13 3 2 2" xfId="53901"/>
    <cellStyle name="20% - Accent4 2 13 3 3" xfId="36854"/>
    <cellStyle name="20% - Accent4 2 13 4" xfId="14094"/>
    <cellStyle name="20% - Accent4 2 13 4 2" xfId="19268"/>
    <cellStyle name="20% - Accent4 2 13 4 2 2" xfId="48129"/>
    <cellStyle name="20% - Accent4 2 13 4 3" xfId="42955"/>
    <cellStyle name="20% - Accent4 2 13 5" xfId="16588"/>
    <cellStyle name="20% - Accent4 2 13 5 2" xfId="45449"/>
    <cellStyle name="20% - Accent4 2 13 6" xfId="30813"/>
    <cellStyle name="20% - Accent4 2 14" xfId="2363"/>
    <cellStyle name="20% - Accent4 2 14 2" xfId="5250"/>
    <cellStyle name="20% - Accent4 2 14 2 2" xfId="11291"/>
    <cellStyle name="20% - Accent4 2 14 2 2 2" xfId="28338"/>
    <cellStyle name="20% - Accent4 2 14 2 2 2 2" xfId="57199"/>
    <cellStyle name="20% - Accent4 2 14 2 2 3" xfId="40152"/>
    <cellStyle name="20% - Accent4 2 14 2 3" xfId="22360"/>
    <cellStyle name="20% - Accent4 2 14 2 3 2" xfId="51221"/>
    <cellStyle name="20% - Accent4 2 14 2 4" xfId="34111"/>
    <cellStyle name="20% - Accent4 2 14 3" xfId="8405"/>
    <cellStyle name="20% - Accent4 2 14 3 2" xfId="25452"/>
    <cellStyle name="20% - Accent4 2 14 3 2 2" xfId="54313"/>
    <cellStyle name="20% - Accent4 2 14 3 3" xfId="37266"/>
    <cellStyle name="20% - Accent4 2 14 4" xfId="12881"/>
    <cellStyle name="20% - Accent4 2 14 4 2" xfId="19680"/>
    <cellStyle name="20% - Accent4 2 14 4 2 2" xfId="48541"/>
    <cellStyle name="20% - Accent4 2 14 4 3" xfId="41742"/>
    <cellStyle name="20% - Accent4 2 14 5" xfId="17000"/>
    <cellStyle name="20% - Accent4 2 14 5 2" xfId="45861"/>
    <cellStyle name="20% - Accent4 2 14 6" xfId="31225"/>
    <cellStyle name="20% - Accent4 2 15" xfId="2572"/>
    <cellStyle name="20% - Accent4 2 15 2" xfId="5458"/>
    <cellStyle name="20% - Accent4 2 15 2 2" xfId="11499"/>
    <cellStyle name="20% - Accent4 2 15 2 2 2" xfId="28546"/>
    <cellStyle name="20% - Accent4 2 15 2 2 2 2" xfId="57407"/>
    <cellStyle name="20% - Accent4 2 15 2 2 3" xfId="40360"/>
    <cellStyle name="20% - Accent4 2 15 2 3" xfId="22568"/>
    <cellStyle name="20% - Accent4 2 15 2 3 2" xfId="51429"/>
    <cellStyle name="20% - Accent4 2 15 2 4" xfId="34319"/>
    <cellStyle name="20% - Accent4 2 15 3" xfId="8613"/>
    <cellStyle name="20% - Accent4 2 15 3 2" xfId="25660"/>
    <cellStyle name="20% - Accent4 2 15 3 2 2" xfId="54521"/>
    <cellStyle name="20% - Accent4 2 15 3 3" xfId="37474"/>
    <cellStyle name="20% - Accent4 2 15 4" xfId="12101"/>
    <cellStyle name="20% - Accent4 2 15 4 2" xfId="19888"/>
    <cellStyle name="20% - Accent4 2 15 4 2 2" xfId="48749"/>
    <cellStyle name="20% - Accent4 2 15 4 3" xfId="40962"/>
    <cellStyle name="20% - Accent4 2 15 5" xfId="17208"/>
    <cellStyle name="20% - Accent4 2 15 5 2" xfId="46069"/>
    <cellStyle name="20% - Accent4 2 15 6" xfId="31433"/>
    <cellStyle name="20% - Accent4 2 16" xfId="2984"/>
    <cellStyle name="20% - Accent4 2 16 2" xfId="9025"/>
    <cellStyle name="20% - Accent4 2 16 2 2" xfId="26072"/>
    <cellStyle name="20% - Accent4 2 16 2 2 2" xfId="54933"/>
    <cellStyle name="20% - Accent4 2 16 2 3" xfId="37886"/>
    <cellStyle name="20% - Accent4 2 16 3" xfId="12773"/>
    <cellStyle name="20% - Accent4 2 16 3 2" xfId="20094"/>
    <cellStyle name="20% - Accent4 2 16 3 2 2" xfId="48955"/>
    <cellStyle name="20% - Accent4 2 16 3 3" xfId="41634"/>
    <cellStyle name="20% - Accent4 2 16 4" xfId="14734"/>
    <cellStyle name="20% - Accent4 2 16 4 2" xfId="43595"/>
    <cellStyle name="20% - Accent4 2 16 5" xfId="31845"/>
    <cellStyle name="20% - Accent4 2 17" xfId="2778"/>
    <cellStyle name="20% - Accent4 2 17 2" xfId="8819"/>
    <cellStyle name="20% - Accent4 2 17 2 2" xfId="25866"/>
    <cellStyle name="20% - Accent4 2 17 2 2 2" xfId="54727"/>
    <cellStyle name="20% - Accent4 2 17 2 3" xfId="37680"/>
    <cellStyle name="20% - Accent4 2 17 3" xfId="17414"/>
    <cellStyle name="20% - Accent4 2 17 3 2" xfId="46275"/>
    <cellStyle name="20% - Accent4 2 17 4" xfId="31639"/>
    <cellStyle name="20% - Accent4 2 18" xfId="5664"/>
    <cellStyle name="20% - Accent4 2 18 2" xfId="11705"/>
    <cellStyle name="20% - Accent4 2 18 2 2" xfId="28752"/>
    <cellStyle name="20% - Accent4 2 18 2 2 2" xfId="57613"/>
    <cellStyle name="20% - Accent4 2 18 2 3" xfId="40566"/>
    <cellStyle name="20% - Accent4 2 18 3" xfId="22774"/>
    <cellStyle name="20% - Accent4 2 18 3 2" xfId="51635"/>
    <cellStyle name="20% - Accent4 2 18 4" xfId="34525"/>
    <cellStyle name="20% - Accent4 2 19" xfId="5881"/>
    <cellStyle name="20% - Accent4 2 19 2" xfId="22980"/>
    <cellStyle name="20% - Accent4 2 19 2 2" xfId="51841"/>
    <cellStyle name="20% - Accent4 2 19 3" xfId="34742"/>
    <cellStyle name="20% - Accent4 2 2" xfId="123"/>
    <cellStyle name="20% - Accent4 2 2 10" xfId="1771"/>
    <cellStyle name="20% - Accent4 2 2 10 2" xfId="4658"/>
    <cellStyle name="20% - Accent4 2 2 10 2 2" xfId="10699"/>
    <cellStyle name="20% - Accent4 2 2 10 2 2 2" xfId="27746"/>
    <cellStyle name="20% - Accent4 2 2 10 2 2 2 2" xfId="56607"/>
    <cellStyle name="20% - Accent4 2 2 10 2 2 3" xfId="39560"/>
    <cellStyle name="20% - Accent4 2 2 10 2 3" xfId="21768"/>
    <cellStyle name="20% - Accent4 2 2 10 2 3 2" xfId="50629"/>
    <cellStyle name="20% - Accent4 2 2 10 2 4" xfId="33519"/>
    <cellStyle name="20% - Accent4 2 2 10 3" xfId="7813"/>
    <cellStyle name="20% - Accent4 2 2 10 3 2" xfId="24860"/>
    <cellStyle name="20% - Accent4 2 2 10 3 2 2" xfId="53721"/>
    <cellStyle name="20% - Accent4 2 2 10 3 3" xfId="36674"/>
    <cellStyle name="20% - Accent4 2 2 10 4" xfId="13962"/>
    <cellStyle name="20% - Accent4 2 2 10 4 2" xfId="19088"/>
    <cellStyle name="20% - Accent4 2 2 10 4 2 2" xfId="47949"/>
    <cellStyle name="20% - Accent4 2 2 10 4 3" xfId="42823"/>
    <cellStyle name="20% - Accent4 2 2 10 5" xfId="16408"/>
    <cellStyle name="20% - Accent4 2 2 10 5 2" xfId="45269"/>
    <cellStyle name="20% - Accent4 2 2 10 6" xfId="30633"/>
    <cellStyle name="20% - Accent4 2 2 11" xfId="1977"/>
    <cellStyle name="20% - Accent4 2 2 11 2" xfId="4864"/>
    <cellStyle name="20% - Accent4 2 2 11 2 2" xfId="10905"/>
    <cellStyle name="20% - Accent4 2 2 11 2 2 2" xfId="27952"/>
    <cellStyle name="20% - Accent4 2 2 11 2 2 2 2" xfId="56813"/>
    <cellStyle name="20% - Accent4 2 2 11 2 2 3" xfId="39766"/>
    <cellStyle name="20% - Accent4 2 2 11 2 3" xfId="21974"/>
    <cellStyle name="20% - Accent4 2 2 11 2 3 2" xfId="50835"/>
    <cellStyle name="20% - Accent4 2 2 11 2 4" xfId="33725"/>
    <cellStyle name="20% - Accent4 2 2 11 3" xfId="8019"/>
    <cellStyle name="20% - Accent4 2 2 11 3 2" xfId="25066"/>
    <cellStyle name="20% - Accent4 2 2 11 3 2 2" xfId="53927"/>
    <cellStyle name="20% - Accent4 2 2 11 3 3" xfId="36880"/>
    <cellStyle name="20% - Accent4 2 2 11 4" xfId="13922"/>
    <cellStyle name="20% - Accent4 2 2 11 4 2" xfId="19294"/>
    <cellStyle name="20% - Accent4 2 2 11 4 2 2" xfId="48155"/>
    <cellStyle name="20% - Accent4 2 2 11 4 3" xfId="42783"/>
    <cellStyle name="20% - Accent4 2 2 11 5" xfId="16614"/>
    <cellStyle name="20% - Accent4 2 2 11 5 2" xfId="45475"/>
    <cellStyle name="20% - Accent4 2 2 11 6" xfId="30839"/>
    <cellStyle name="20% - Accent4 2 2 12" xfId="2389"/>
    <cellStyle name="20% - Accent4 2 2 12 2" xfId="5276"/>
    <cellStyle name="20% - Accent4 2 2 12 2 2" xfId="11317"/>
    <cellStyle name="20% - Accent4 2 2 12 2 2 2" xfId="28364"/>
    <cellStyle name="20% - Accent4 2 2 12 2 2 2 2" xfId="57225"/>
    <cellStyle name="20% - Accent4 2 2 12 2 2 3" xfId="40178"/>
    <cellStyle name="20% - Accent4 2 2 12 2 3" xfId="22386"/>
    <cellStyle name="20% - Accent4 2 2 12 2 3 2" xfId="51247"/>
    <cellStyle name="20% - Accent4 2 2 12 2 4" xfId="34137"/>
    <cellStyle name="20% - Accent4 2 2 12 3" xfId="8431"/>
    <cellStyle name="20% - Accent4 2 2 12 3 2" xfId="25478"/>
    <cellStyle name="20% - Accent4 2 2 12 3 2 2" xfId="54339"/>
    <cellStyle name="20% - Accent4 2 2 12 3 3" xfId="37292"/>
    <cellStyle name="20% - Accent4 2 2 12 4" xfId="12469"/>
    <cellStyle name="20% - Accent4 2 2 12 4 2" xfId="19706"/>
    <cellStyle name="20% - Accent4 2 2 12 4 2 2" xfId="48567"/>
    <cellStyle name="20% - Accent4 2 2 12 4 3" xfId="41330"/>
    <cellStyle name="20% - Accent4 2 2 12 5" xfId="17026"/>
    <cellStyle name="20% - Accent4 2 2 12 5 2" xfId="45887"/>
    <cellStyle name="20% - Accent4 2 2 12 6" xfId="31251"/>
    <cellStyle name="20% - Accent4 2 2 13" xfId="2598"/>
    <cellStyle name="20% - Accent4 2 2 13 2" xfId="5484"/>
    <cellStyle name="20% - Accent4 2 2 13 2 2" xfId="11525"/>
    <cellStyle name="20% - Accent4 2 2 13 2 2 2" xfId="28572"/>
    <cellStyle name="20% - Accent4 2 2 13 2 2 2 2" xfId="57433"/>
    <cellStyle name="20% - Accent4 2 2 13 2 2 3" xfId="40386"/>
    <cellStyle name="20% - Accent4 2 2 13 2 3" xfId="22594"/>
    <cellStyle name="20% - Accent4 2 2 13 2 3 2" xfId="51455"/>
    <cellStyle name="20% - Accent4 2 2 13 2 4" xfId="34345"/>
    <cellStyle name="20% - Accent4 2 2 13 3" xfId="8639"/>
    <cellStyle name="20% - Accent4 2 2 13 3 2" xfId="25686"/>
    <cellStyle name="20% - Accent4 2 2 13 3 2 2" xfId="54547"/>
    <cellStyle name="20% - Accent4 2 2 13 3 3" xfId="37500"/>
    <cellStyle name="20% - Accent4 2 2 13 4" xfId="13128"/>
    <cellStyle name="20% - Accent4 2 2 13 4 2" xfId="19914"/>
    <cellStyle name="20% - Accent4 2 2 13 4 2 2" xfId="48775"/>
    <cellStyle name="20% - Accent4 2 2 13 4 3" xfId="41989"/>
    <cellStyle name="20% - Accent4 2 2 13 5" xfId="17234"/>
    <cellStyle name="20% - Accent4 2 2 13 5 2" xfId="46095"/>
    <cellStyle name="20% - Accent4 2 2 13 6" xfId="31459"/>
    <cellStyle name="20% - Accent4 2 2 14" xfId="3010"/>
    <cellStyle name="20% - Accent4 2 2 14 2" xfId="9051"/>
    <cellStyle name="20% - Accent4 2 2 14 2 2" xfId="26098"/>
    <cellStyle name="20% - Accent4 2 2 14 2 2 2" xfId="54959"/>
    <cellStyle name="20% - Accent4 2 2 14 2 3" xfId="37912"/>
    <cellStyle name="20% - Accent4 2 2 14 3" xfId="14052"/>
    <cellStyle name="20% - Accent4 2 2 14 3 2" xfId="20120"/>
    <cellStyle name="20% - Accent4 2 2 14 3 2 2" xfId="48981"/>
    <cellStyle name="20% - Accent4 2 2 14 3 3" xfId="42913"/>
    <cellStyle name="20% - Accent4 2 2 14 4" xfId="14760"/>
    <cellStyle name="20% - Accent4 2 2 14 4 2" xfId="43621"/>
    <cellStyle name="20% - Accent4 2 2 14 5" xfId="31871"/>
    <cellStyle name="20% - Accent4 2 2 15" xfId="2804"/>
    <cellStyle name="20% - Accent4 2 2 15 2" xfId="8845"/>
    <cellStyle name="20% - Accent4 2 2 15 2 2" xfId="25892"/>
    <cellStyle name="20% - Accent4 2 2 15 2 2 2" xfId="54753"/>
    <cellStyle name="20% - Accent4 2 2 15 2 3" xfId="37706"/>
    <cellStyle name="20% - Accent4 2 2 15 3" xfId="17440"/>
    <cellStyle name="20% - Accent4 2 2 15 3 2" xfId="46301"/>
    <cellStyle name="20% - Accent4 2 2 15 4" xfId="31665"/>
    <cellStyle name="20% - Accent4 2 2 16" xfId="5690"/>
    <cellStyle name="20% - Accent4 2 2 16 2" xfId="11731"/>
    <cellStyle name="20% - Accent4 2 2 16 2 2" xfId="28778"/>
    <cellStyle name="20% - Accent4 2 2 16 2 2 2" xfId="57639"/>
    <cellStyle name="20% - Accent4 2 2 16 2 3" xfId="40592"/>
    <cellStyle name="20% - Accent4 2 2 16 3" xfId="22800"/>
    <cellStyle name="20% - Accent4 2 2 16 3 2" xfId="51661"/>
    <cellStyle name="20% - Accent4 2 2 16 4" xfId="34551"/>
    <cellStyle name="20% - Accent4 2 2 17" xfId="5907"/>
    <cellStyle name="20% - Accent4 2 2 17 2" xfId="23006"/>
    <cellStyle name="20% - Accent4 2 2 17 2 2" xfId="51867"/>
    <cellStyle name="20% - Accent4 2 2 17 3" xfId="34768"/>
    <cellStyle name="20% - Accent4 2 2 18" xfId="6165"/>
    <cellStyle name="20% - Accent4 2 2 18 2" xfId="23212"/>
    <cellStyle name="20% - Accent4 2 2 18 2 2" xfId="52073"/>
    <cellStyle name="20% - Accent4 2 2 18 3" xfId="35026"/>
    <cellStyle name="20% - Accent4 2 2 19" xfId="14554"/>
    <cellStyle name="20% - Accent4 2 2 19 2" xfId="43415"/>
    <cellStyle name="20% - Accent4 2 2 2" xfId="329"/>
    <cellStyle name="20% - Accent4 2 2 2 10" xfId="2492"/>
    <cellStyle name="20% - Accent4 2 2 2 10 2" xfId="5379"/>
    <cellStyle name="20% - Accent4 2 2 2 10 2 2" xfId="11420"/>
    <cellStyle name="20% - Accent4 2 2 2 10 2 2 2" xfId="28467"/>
    <cellStyle name="20% - Accent4 2 2 2 10 2 2 2 2" xfId="57328"/>
    <cellStyle name="20% - Accent4 2 2 2 10 2 2 3" xfId="40281"/>
    <cellStyle name="20% - Accent4 2 2 2 10 2 3" xfId="22489"/>
    <cellStyle name="20% - Accent4 2 2 2 10 2 3 2" xfId="51350"/>
    <cellStyle name="20% - Accent4 2 2 2 10 2 4" xfId="34240"/>
    <cellStyle name="20% - Accent4 2 2 2 10 3" xfId="8534"/>
    <cellStyle name="20% - Accent4 2 2 2 10 3 2" xfId="25581"/>
    <cellStyle name="20% - Accent4 2 2 2 10 3 2 2" xfId="54442"/>
    <cellStyle name="20% - Accent4 2 2 2 10 3 3" xfId="37395"/>
    <cellStyle name="20% - Accent4 2 2 2 10 4" xfId="14457"/>
    <cellStyle name="20% - Accent4 2 2 2 10 4 2" xfId="19809"/>
    <cellStyle name="20% - Accent4 2 2 2 10 4 2 2" xfId="48670"/>
    <cellStyle name="20% - Accent4 2 2 2 10 4 3" xfId="43318"/>
    <cellStyle name="20% - Accent4 2 2 2 10 5" xfId="17129"/>
    <cellStyle name="20% - Accent4 2 2 2 10 5 2" xfId="45990"/>
    <cellStyle name="20% - Accent4 2 2 2 10 6" xfId="31354"/>
    <cellStyle name="20% - Accent4 2 2 2 11" xfId="2701"/>
    <cellStyle name="20% - Accent4 2 2 2 11 2" xfId="5587"/>
    <cellStyle name="20% - Accent4 2 2 2 11 2 2" xfId="11628"/>
    <cellStyle name="20% - Accent4 2 2 2 11 2 2 2" xfId="28675"/>
    <cellStyle name="20% - Accent4 2 2 2 11 2 2 2 2" xfId="57536"/>
    <cellStyle name="20% - Accent4 2 2 2 11 2 2 3" xfId="40489"/>
    <cellStyle name="20% - Accent4 2 2 2 11 2 3" xfId="22697"/>
    <cellStyle name="20% - Accent4 2 2 2 11 2 3 2" xfId="51558"/>
    <cellStyle name="20% - Accent4 2 2 2 11 2 4" xfId="34448"/>
    <cellStyle name="20% - Accent4 2 2 2 11 3" xfId="8742"/>
    <cellStyle name="20% - Accent4 2 2 2 11 3 2" xfId="25789"/>
    <cellStyle name="20% - Accent4 2 2 2 11 3 2 2" xfId="54650"/>
    <cellStyle name="20% - Accent4 2 2 2 11 3 3" xfId="37603"/>
    <cellStyle name="20% - Accent4 2 2 2 11 4" xfId="13351"/>
    <cellStyle name="20% - Accent4 2 2 2 11 4 2" xfId="20017"/>
    <cellStyle name="20% - Accent4 2 2 2 11 4 2 2" xfId="48878"/>
    <cellStyle name="20% - Accent4 2 2 2 11 4 3" xfId="42212"/>
    <cellStyle name="20% - Accent4 2 2 2 11 5" xfId="17337"/>
    <cellStyle name="20% - Accent4 2 2 2 11 5 2" xfId="46198"/>
    <cellStyle name="20% - Accent4 2 2 2 11 6" xfId="31562"/>
    <cellStyle name="20% - Accent4 2 2 2 12" xfId="3216"/>
    <cellStyle name="20% - Accent4 2 2 2 12 2" xfId="9257"/>
    <cellStyle name="20% - Accent4 2 2 2 12 2 2" xfId="26304"/>
    <cellStyle name="20% - Accent4 2 2 2 12 2 2 2" xfId="55165"/>
    <cellStyle name="20% - Accent4 2 2 2 12 2 3" xfId="38118"/>
    <cellStyle name="20% - Accent4 2 2 2 12 3" xfId="13298"/>
    <cellStyle name="20% - Accent4 2 2 2 12 3 2" xfId="20326"/>
    <cellStyle name="20% - Accent4 2 2 2 12 3 2 2" xfId="49187"/>
    <cellStyle name="20% - Accent4 2 2 2 12 3 3" xfId="42159"/>
    <cellStyle name="20% - Accent4 2 2 2 12 4" xfId="14966"/>
    <cellStyle name="20% - Accent4 2 2 2 12 4 2" xfId="43827"/>
    <cellStyle name="20% - Accent4 2 2 2 12 5" xfId="32077"/>
    <cellStyle name="20% - Accent4 2 2 2 13" xfId="2907"/>
    <cellStyle name="20% - Accent4 2 2 2 13 2" xfId="8948"/>
    <cellStyle name="20% - Accent4 2 2 2 13 2 2" xfId="25995"/>
    <cellStyle name="20% - Accent4 2 2 2 13 2 2 2" xfId="54856"/>
    <cellStyle name="20% - Accent4 2 2 2 13 2 3" xfId="37809"/>
    <cellStyle name="20% - Accent4 2 2 2 13 3" xfId="17543"/>
    <cellStyle name="20% - Accent4 2 2 2 13 3 2" xfId="46404"/>
    <cellStyle name="20% - Accent4 2 2 2 13 4" xfId="31768"/>
    <cellStyle name="20% - Accent4 2 2 2 14" xfId="5793"/>
    <cellStyle name="20% - Accent4 2 2 2 14 2" xfId="11834"/>
    <cellStyle name="20% - Accent4 2 2 2 14 2 2" xfId="28881"/>
    <cellStyle name="20% - Accent4 2 2 2 14 2 2 2" xfId="57742"/>
    <cellStyle name="20% - Accent4 2 2 2 14 2 3" xfId="40695"/>
    <cellStyle name="20% - Accent4 2 2 2 14 3" xfId="22903"/>
    <cellStyle name="20% - Accent4 2 2 2 14 3 2" xfId="51764"/>
    <cellStyle name="20% - Accent4 2 2 2 14 4" xfId="34654"/>
    <cellStyle name="20% - Accent4 2 2 2 15" xfId="6010"/>
    <cellStyle name="20% - Accent4 2 2 2 15 2" xfId="23109"/>
    <cellStyle name="20% - Accent4 2 2 2 15 2 2" xfId="51970"/>
    <cellStyle name="20% - Accent4 2 2 2 15 3" xfId="34871"/>
    <cellStyle name="20% - Accent4 2 2 2 16" xfId="6371"/>
    <cellStyle name="20% - Accent4 2 2 2 16 2" xfId="23418"/>
    <cellStyle name="20% - Accent4 2 2 2 16 2 2" xfId="52279"/>
    <cellStyle name="20% - Accent4 2 2 2 16 3" xfId="35232"/>
    <cellStyle name="20% - Accent4 2 2 2 17" xfId="14657"/>
    <cellStyle name="20% - Accent4 2 2 2 17 2" xfId="43518"/>
    <cellStyle name="20% - Accent4 2 2 2 18" xfId="29191"/>
    <cellStyle name="20% - Accent4 2 2 2 2" xfId="535"/>
    <cellStyle name="20% - Accent4 2 2 2 2 2" xfId="2286"/>
    <cellStyle name="20% - Accent4 2 2 2 2 2 2" xfId="5173"/>
    <cellStyle name="20% - Accent4 2 2 2 2 2 2 2" xfId="11214"/>
    <cellStyle name="20% - Accent4 2 2 2 2 2 2 2 2" xfId="28261"/>
    <cellStyle name="20% - Accent4 2 2 2 2 2 2 2 2 2" xfId="57122"/>
    <cellStyle name="20% - Accent4 2 2 2 2 2 2 2 3" xfId="40075"/>
    <cellStyle name="20% - Accent4 2 2 2 2 2 2 3" xfId="22283"/>
    <cellStyle name="20% - Accent4 2 2 2 2 2 2 3 2" xfId="51144"/>
    <cellStyle name="20% - Accent4 2 2 2 2 2 2 4" xfId="34034"/>
    <cellStyle name="20% - Accent4 2 2 2 2 2 3" xfId="8328"/>
    <cellStyle name="20% - Accent4 2 2 2 2 2 3 2" xfId="25375"/>
    <cellStyle name="20% - Accent4 2 2 2 2 2 3 2 2" xfId="54236"/>
    <cellStyle name="20% - Accent4 2 2 2 2 2 3 3" xfId="37189"/>
    <cellStyle name="20% - Accent4 2 2 2 2 2 4" xfId="12015"/>
    <cellStyle name="20% - Accent4 2 2 2 2 2 4 2" xfId="19603"/>
    <cellStyle name="20% - Accent4 2 2 2 2 2 4 2 2" xfId="48464"/>
    <cellStyle name="20% - Accent4 2 2 2 2 2 4 3" xfId="40876"/>
    <cellStyle name="20% - Accent4 2 2 2 2 2 5" xfId="16923"/>
    <cellStyle name="20% - Accent4 2 2 2 2 2 5 2" xfId="45784"/>
    <cellStyle name="20% - Accent4 2 2 2 2 2 6" xfId="31148"/>
    <cellStyle name="20% - Accent4 2 2 2 2 3" xfId="3422"/>
    <cellStyle name="20% - Accent4 2 2 2 2 3 2" xfId="9463"/>
    <cellStyle name="20% - Accent4 2 2 2 2 3 2 2" xfId="26510"/>
    <cellStyle name="20% - Accent4 2 2 2 2 3 2 2 2" xfId="55371"/>
    <cellStyle name="20% - Accent4 2 2 2 2 3 2 3" xfId="38324"/>
    <cellStyle name="20% - Accent4 2 2 2 2 3 3" xfId="20532"/>
    <cellStyle name="20% - Accent4 2 2 2 2 3 3 2" xfId="49393"/>
    <cellStyle name="20% - Accent4 2 2 2 2 3 4" xfId="32283"/>
    <cellStyle name="20% - Accent4 2 2 2 2 4" xfId="6577"/>
    <cellStyle name="20% - Accent4 2 2 2 2 4 2" xfId="23624"/>
    <cellStyle name="20% - Accent4 2 2 2 2 4 2 2" xfId="52485"/>
    <cellStyle name="20% - Accent4 2 2 2 2 4 3" xfId="35438"/>
    <cellStyle name="20% - Accent4 2 2 2 2 5" xfId="14325"/>
    <cellStyle name="20% - Accent4 2 2 2 2 5 2" xfId="17852"/>
    <cellStyle name="20% - Accent4 2 2 2 2 5 2 2" xfId="46713"/>
    <cellStyle name="20% - Accent4 2 2 2 2 5 3" xfId="43186"/>
    <cellStyle name="20% - Accent4 2 2 2 2 6" xfId="15172"/>
    <cellStyle name="20% - Accent4 2 2 2 2 6 2" xfId="44033"/>
    <cellStyle name="20% - Accent4 2 2 2 2 7" xfId="29397"/>
    <cellStyle name="20% - Accent4 2 2 2 3" xfId="844"/>
    <cellStyle name="20% - Accent4 2 2 2 3 2" xfId="3731"/>
    <cellStyle name="20% - Accent4 2 2 2 3 2 2" xfId="9772"/>
    <cellStyle name="20% - Accent4 2 2 2 3 2 2 2" xfId="26819"/>
    <cellStyle name="20% - Accent4 2 2 2 3 2 2 2 2" xfId="55680"/>
    <cellStyle name="20% - Accent4 2 2 2 3 2 2 3" xfId="38633"/>
    <cellStyle name="20% - Accent4 2 2 2 3 2 3" xfId="20841"/>
    <cellStyle name="20% - Accent4 2 2 2 3 2 3 2" xfId="49702"/>
    <cellStyle name="20% - Accent4 2 2 2 3 2 4" xfId="32592"/>
    <cellStyle name="20% - Accent4 2 2 2 3 3" xfId="6886"/>
    <cellStyle name="20% - Accent4 2 2 2 3 3 2" xfId="23933"/>
    <cellStyle name="20% - Accent4 2 2 2 3 3 2 2" xfId="52794"/>
    <cellStyle name="20% - Accent4 2 2 2 3 3 3" xfId="35747"/>
    <cellStyle name="20% - Accent4 2 2 2 3 4" xfId="12739"/>
    <cellStyle name="20% - Accent4 2 2 2 3 4 2" xfId="18161"/>
    <cellStyle name="20% - Accent4 2 2 2 3 4 2 2" xfId="47022"/>
    <cellStyle name="20% - Accent4 2 2 2 3 4 3" xfId="41600"/>
    <cellStyle name="20% - Accent4 2 2 2 3 5" xfId="15481"/>
    <cellStyle name="20% - Accent4 2 2 2 3 5 2" xfId="44342"/>
    <cellStyle name="20% - Accent4 2 2 2 3 6" xfId="29706"/>
    <cellStyle name="20% - Accent4 2 2 2 4" xfId="1050"/>
    <cellStyle name="20% - Accent4 2 2 2 4 2" xfId="3937"/>
    <cellStyle name="20% - Accent4 2 2 2 4 2 2" xfId="9978"/>
    <cellStyle name="20% - Accent4 2 2 2 4 2 2 2" xfId="27025"/>
    <cellStyle name="20% - Accent4 2 2 2 4 2 2 2 2" xfId="55886"/>
    <cellStyle name="20% - Accent4 2 2 2 4 2 2 3" xfId="38839"/>
    <cellStyle name="20% - Accent4 2 2 2 4 2 3" xfId="21047"/>
    <cellStyle name="20% - Accent4 2 2 2 4 2 3 2" xfId="49908"/>
    <cellStyle name="20% - Accent4 2 2 2 4 2 4" xfId="32798"/>
    <cellStyle name="20% - Accent4 2 2 2 4 3" xfId="7092"/>
    <cellStyle name="20% - Accent4 2 2 2 4 3 2" xfId="24139"/>
    <cellStyle name="20% - Accent4 2 2 2 4 3 2 2" xfId="53000"/>
    <cellStyle name="20% - Accent4 2 2 2 4 3 3" xfId="35953"/>
    <cellStyle name="20% - Accent4 2 2 2 4 4" xfId="13234"/>
    <cellStyle name="20% - Accent4 2 2 2 4 4 2" xfId="18367"/>
    <cellStyle name="20% - Accent4 2 2 2 4 4 2 2" xfId="47228"/>
    <cellStyle name="20% - Accent4 2 2 2 4 4 3" xfId="42095"/>
    <cellStyle name="20% - Accent4 2 2 2 4 5" xfId="15687"/>
    <cellStyle name="20% - Accent4 2 2 2 4 5 2" xfId="44548"/>
    <cellStyle name="20% - Accent4 2 2 2 4 6" xfId="29912"/>
    <cellStyle name="20% - Accent4 2 2 2 5" xfId="1256"/>
    <cellStyle name="20% - Accent4 2 2 2 5 2" xfId="4143"/>
    <cellStyle name="20% - Accent4 2 2 2 5 2 2" xfId="10184"/>
    <cellStyle name="20% - Accent4 2 2 2 5 2 2 2" xfId="27231"/>
    <cellStyle name="20% - Accent4 2 2 2 5 2 2 2 2" xfId="56092"/>
    <cellStyle name="20% - Accent4 2 2 2 5 2 2 3" xfId="39045"/>
    <cellStyle name="20% - Accent4 2 2 2 5 2 3" xfId="21253"/>
    <cellStyle name="20% - Accent4 2 2 2 5 2 3 2" xfId="50114"/>
    <cellStyle name="20% - Accent4 2 2 2 5 2 4" xfId="33004"/>
    <cellStyle name="20% - Accent4 2 2 2 5 3" xfId="7298"/>
    <cellStyle name="20% - Accent4 2 2 2 5 3 2" xfId="24345"/>
    <cellStyle name="20% - Accent4 2 2 2 5 3 2 2" xfId="53206"/>
    <cellStyle name="20% - Accent4 2 2 2 5 3 3" xfId="36159"/>
    <cellStyle name="20% - Accent4 2 2 2 5 4" xfId="13836"/>
    <cellStyle name="20% - Accent4 2 2 2 5 4 2" xfId="18573"/>
    <cellStyle name="20% - Accent4 2 2 2 5 4 2 2" xfId="47434"/>
    <cellStyle name="20% - Accent4 2 2 2 5 4 3" xfId="42697"/>
    <cellStyle name="20% - Accent4 2 2 2 5 5" xfId="15893"/>
    <cellStyle name="20% - Accent4 2 2 2 5 5 2" xfId="44754"/>
    <cellStyle name="20% - Accent4 2 2 2 5 6" xfId="30118"/>
    <cellStyle name="20% - Accent4 2 2 2 6" xfId="1462"/>
    <cellStyle name="20% - Accent4 2 2 2 6 2" xfId="4349"/>
    <cellStyle name="20% - Accent4 2 2 2 6 2 2" xfId="10390"/>
    <cellStyle name="20% - Accent4 2 2 2 6 2 2 2" xfId="27437"/>
    <cellStyle name="20% - Accent4 2 2 2 6 2 2 2 2" xfId="56298"/>
    <cellStyle name="20% - Accent4 2 2 2 6 2 2 3" xfId="39251"/>
    <cellStyle name="20% - Accent4 2 2 2 6 2 3" xfId="21459"/>
    <cellStyle name="20% - Accent4 2 2 2 6 2 3 2" xfId="50320"/>
    <cellStyle name="20% - Accent4 2 2 2 6 2 4" xfId="33210"/>
    <cellStyle name="20% - Accent4 2 2 2 6 3" xfId="7504"/>
    <cellStyle name="20% - Accent4 2 2 2 6 3 2" xfId="24551"/>
    <cellStyle name="20% - Accent4 2 2 2 6 3 2 2" xfId="53412"/>
    <cellStyle name="20% - Accent4 2 2 2 6 3 3" xfId="36365"/>
    <cellStyle name="20% - Accent4 2 2 2 6 4" xfId="13707"/>
    <cellStyle name="20% - Accent4 2 2 2 6 4 2" xfId="18779"/>
    <cellStyle name="20% - Accent4 2 2 2 6 4 2 2" xfId="47640"/>
    <cellStyle name="20% - Accent4 2 2 2 6 4 3" xfId="42568"/>
    <cellStyle name="20% - Accent4 2 2 2 6 5" xfId="16099"/>
    <cellStyle name="20% - Accent4 2 2 2 6 5 2" xfId="44960"/>
    <cellStyle name="20% - Accent4 2 2 2 6 6" xfId="30324"/>
    <cellStyle name="20% - Accent4 2 2 2 7" xfId="1668"/>
    <cellStyle name="20% - Accent4 2 2 2 7 2" xfId="4555"/>
    <cellStyle name="20% - Accent4 2 2 2 7 2 2" xfId="10596"/>
    <cellStyle name="20% - Accent4 2 2 2 7 2 2 2" xfId="27643"/>
    <cellStyle name="20% - Accent4 2 2 2 7 2 2 2 2" xfId="56504"/>
    <cellStyle name="20% - Accent4 2 2 2 7 2 2 3" xfId="39457"/>
    <cellStyle name="20% - Accent4 2 2 2 7 2 3" xfId="21665"/>
    <cellStyle name="20% - Accent4 2 2 2 7 2 3 2" xfId="50526"/>
    <cellStyle name="20% - Accent4 2 2 2 7 2 4" xfId="33416"/>
    <cellStyle name="20% - Accent4 2 2 2 7 3" xfId="7710"/>
    <cellStyle name="20% - Accent4 2 2 2 7 3 2" xfId="24757"/>
    <cellStyle name="20% - Accent4 2 2 2 7 3 2 2" xfId="53618"/>
    <cellStyle name="20% - Accent4 2 2 2 7 3 3" xfId="36571"/>
    <cellStyle name="20% - Accent4 2 2 2 7 4" xfId="13257"/>
    <cellStyle name="20% - Accent4 2 2 2 7 4 2" xfId="18985"/>
    <cellStyle name="20% - Accent4 2 2 2 7 4 2 2" xfId="47846"/>
    <cellStyle name="20% - Accent4 2 2 2 7 4 3" xfId="42118"/>
    <cellStyle name="20% - Accent4 2 2 2 7 5" xfId="16305"/>
    <cellStyle name="20% - Accent4 2 2 2 7 5 2" xfId="45166"/>
    <cellStyle name="20% - Accent4 2 2 2 7 6" xfId="30530"/>
    <cellStyle name="20% - Accent4 2 2 2 8" xfId="1874"/>
    <cellStyle name="20% - Accent4 2 2 2 8 2" xfId="4761"/>
    <cellStyle name="20% - Accent4 2 2 2 8 2 2" xfId="10802"/>
    <cellStyle name="20% - Accent4 2 2 2 8 2 2 2" xfId="27849"/>
    <cellStyle name="20% - Accent4 2 2 2 8 2 2 2 2" xfId="56710"/>
    <cellStyle name="20% - Accent4 2 2 2 8 2 2 3" xfId="39663"/>
    <cellStyle name="20% - Accent4 2 2 2 8 2 3" xfId="21871"/>
    <cellStyle name="20% - Accent4 2 2 2 8 2 3 2" xfId="50732"/>
    <cellStyle name="20% - Accent4 2 2 2 8 2 4" xfId="33622"/>
    <cellStyle name="20% - Accent4 2 2 2 8 3" xfId="7916"/>
    <cellStyle name="20% - Accent4 2 2 2 8 3 2" xfId="24963"/>
    <cellStyle name="20% - Accent4 2 2 2 8 3 2 2" xfId="53824"/>
    <cellStyle name="20% - Accent4 2 2 2 8 3 3" xfId="36777"/>
    <cellStyle name="20% - Accent4 2 2 2 8 4" xfId="13709"/>
    <cellStyle name="20% - Accent4 2 2 2 8 4 2" xfId="19191"/>
    <cellStyle name="20% - Accent4 2 2 2 8 4 2 2" xfId="48052"/>
    <cellStyle name="20% - Accent4 2 2 2 8 4 3" xfId="42570"/>
    <cellStyle name="20% - Accent4 2 2 2 8 5" xfId="16511"/>
    <cellStyle name="20% - Accent4 2 2 2 8 5 2" xfId="45372"/>
    <cellStyle name="20% - Accent4 2 2 2 8 6" xfId="30736"/>
    <cellStyle name="20% - Accent4 2 2 2 9" xfId="2080"/>
    <cellStyle name="20% - Accent4 2 2 2 9 2" xfId="4967"/>
    <cellStyle name="20% - Accent4 2 2 2 9 2 2" xfId="11008"/>
    <cellStyle name="20% - Accent4 2 2 2 9 2 2 2" xfId="28055"/>
    <cellStyle name="20% - Accent4 2 2 2 9 2 2 2 2" xfId="56916"/>
    <cellStyle name="20% - Accent4 2 2 2 9 2 2 3" xfId="39869"/>
    <cellStyle name="20% - Accent4 2 2 2 9 2 3" xfId="22077"/>
    <cellStyle name="20% - Accent4 2 2 2 9 2 3 2" xfId="50938"/>
    <cellStyle name="20% - Accent4 2 2 2 9 2 4" xfId="33828"/>
    <cellStyle name="20% - Accent4 2 2 2 9 3" xfId="8122"/>
    <cellStyle name="20% - Accent4 2 2 2 9 3 2" xfId="25169"/>
    <cellStyle name="20% - Accent4 2 2 2 9 3 2 2" xfId="54030"/>
    <cellStyle name="20% - Accent4 2 2 2 9 3 3" xfId="36983"/>
    <cellStyle name="20% - Accent4 2 2 2 9 4" xfId="12081"/>
    <cellStyle name="20% - Accent4 2 2 2 9 4 2" xfId="19397"/>
    <cellStyle name="20% - Accent4 2 2 2 9 4 2 2" xfId="48258"/>
    <cellStyle name="20% - Accent4 2 2 2 9 4 3" xfId="40942"/>
    <cellStyle name="20% - Accent4 2 2 2 9 5" xfId="16717"/>
    <cellStyle name="20% - Accent4 2 2 2 9 5 2" xfId="45578"/>
    <cellStyle name="20% - Accent4 2 2 2 9 6" xfId="30942"/>
    <cellStyle name="20% - Accent4 2 2 20" xfId="28985"/>
    <cellStyle name="20% - Accent4 2 2 3" xfId="226"/>
    <cellStyle name="20% - Accent4 2 2 3 2" xfId="638"/>
    <cellStyle name="20% - Accent4 2 2 3 2 2" xfId="3525"/>
    <cellStyle name="20% - Accent4 2 2 3 2 2 2" xfId="9566"/>
    <cellStyle name="20% - Accent4 2 2 3 2 2 2 2" xfId="26613"/>
    <cellStyle name="20% - Accent4 2 2 3 2 2 2 2 2" xfId="55474"/>
    <cellStyle name="20% - Accent4 2 2 3 2 2 2 3" xfId="38427"/>
    <cellStyle name="20% - Accent4 2 2 3 2 2 3" xfId="20635"/>
    <cellStyle name="20% - Accent4 2 2 3 2 2 3 2" xfId="49496"/>
    <cellStyle name="20% - Accent4 2 2 3 2 2 4" xfId="32386"/>
    <cellStyle name="20% - Accent4 2 2 3 2 3" xfId="6680"/>
    <cellStyle name="20% - Accent4 2 2 3 2 3 2" xfId="23727"/>
    <cellStyle name="20% - Accent4 2 2 3 2 3 2 2" xfId="52588"/>
    <cellStyle name="20% - Accent4 2 2 3 2 3 3" xfId="35541"/>
    <cellStyle name="20% - Accent4 2 2 3 2 4" xfId="6078"/>
    <cellStyle name="20% - Accent4 2 2 3 2 4 2" xfId="17955"/>
    <cellStyle name="20% - Accent4 2 2 3 2 4 2 2" xfId="46816"/>
    <cellStyle name="20% - Accent4 2 2 3 2 4 3" xfId="34939"/>
    <cellStyle name="20% - Accent4 2 2 3 2 5" xfId="15275"/>
    <cellStyle name="20% - Accent4 2 2 3 2 5 2" xfId="44136"/>
    <cellStyle name="20% - Accent4 2 2 3 2 6" xfId="29500"/>
    <cellStyle name="20% - Accent4 2 2 3 3" xfId="2183"/>
    <cellStyle name="20% - Accent4 2 2 3 3 2" xfId="5070"/>
    <cellStyle name="20% - Accent4 2 2 3 3 2 2" xfId="11111"/>
    <cellStyle name="20% - Accent4 2 2 3 3 2 2 2" xfId="28158"/>
    <cellStyle name="20% - Accent4 2 2 3 3 2 2 2 2" xfId="57019"/>
    <cellStyle name="20% - Accent4 2 2 3 3 2 2 3" xfId="39972"/>
    <cellStyle name="20% - Accent4 2 2 3 3 2 3" xfId="22180"/>
    <cellStyle name="20% - Accent4 2 2 3 3 2 3 2" xfId="51041"/>
    <cellStyle name="20% - Accent4 2 2 3 3 2 4" xfId="33931"/>
    <cellStyle name="20% - Accent4 2 2 3 3 3" xfId="8225"/>
    <cellStyle name="20% - Accent4 2 2 3 3 3 2" xfId="25272"/>
    <cellStyle name="20% - Accent4 2 2 3 3 3 2 2" xfId="54133"/>
    <cellStyle name="20% - Accent4 2 2 3 3 3 3" xfId="37086"/>
    <cellStyle name="20% - Accent4 2 2 3 3 4" xfId="14290"/>
    <cellStyle name="20% - Accent4 2 2 3 3 4 2" xfId="19500"/>
    <cellStyle name="20% - Accent4 2 2 3 3 4 2 2" xfId="48361"/>
    <cellStyle name="20% - Accent4 2 2 3 3 4 3" xfId="43151"/>
    <cellStyle name="20% - Accent4 2 2 3 3 5" xfId="16820"/>
    <cellStyle name="20% - Accent4 2 2 3 3 5 2" xfId="45681"/>
    <cellStyle name="20% - Accent4 2 2 3 3 6" xfId="31045"/>
    <cellStyle name="20% - Accent4 2 2 3 4" xfId="3113"/>
    <cellStyle name="20% - Accent4 2 2 3 4 2" xfId="9154"/>
    <cellStyle name="20% - Accent4 2 2 3 4 2 2" xfId="26201"/>
    <cellStyle name="20% - Accent4 2 2 3 4 2 2 2" xfId="55062"/>
    <cellStyle name="20% - Accent4 2 2 3 4 2 3" xfId="38015"/>
    <cellStyle name="20% - Accent4 2 2 3 4 3" xfId="20223"/>
    <cellStyle name="20% - Accent4 2 2 3 4 3 2" xfId="49084"/>
    <cellStyle name="20% - Accent4 2 2 3 4 4" xfId="31974"/>
    <cellStyle name="20% - Accent4 2 2 3 5" xfId="6268"/>
    <cellStyle name="20% - Accent4 2 2 3 5 2" xfId="23315"/>
    <cellStyle name="20% - Accent4 2 2 3 5 2 2" xfId="52176"/>
    <cellStyle name="20% - Accent4 2 2 3 5 3" xfId="35129"/>
    <cellStyle name="20% - Accent4 2 2 3 6" xfId="12227"/>
    <cellStyle name="20% - Accent4 2 2 3 6 2" xfId="17646"/>
    <cellStyle name="20% - Accent4 2 2 3 6 2 2" xfId="46507"/>
    <cellStyle name="20% - Accent4 2 2 3 6 3" xfId="41088"/>
    <cellStyle name="20% - Accent4 2 2 3 7" xfId="14863"/>
    <cellStyle name="20% - Accent4 2 2 3 7 2" xfId="43724"/>
    <cellStyle name="20% - Accent4 2 2 3 8" xfId="29088"/>
    <cellStyle name="20% - Accent4 2 2 4" xfId="432"/>
    <cellStyle name="20% - Accent4 2 2 4 2" xfId="3319"/>
    <cellStyle name="20% - Accent4 2 2 4 2 2" xfId="9360"/>
    <cellStyle name="20% - Accent4 2 2 4 2 2 2" xfId="26407"/>
    <cellStyle name="20% - Accent4 2 2 4 2 2 2 2" xfId="55268"/>
    <cellStyle name="20% - Accent4 2 2 4 2 2 3" xfId="38221"/>
    <cellStyle name="20% - Accent4 2 2 4 2 3" xfId="20429"/>
    <cellStyle name="20% - Accent4 2 2 4 2 3 2" xfId="49290"/>
    <cellStyle name="20% - Accent4 2 2 4 2 4" xfId="32180"/>
    <cellStyle name="20% - Accent4 2 2 4 3" xfId="6474"/>
    <cellStyle name="20% - Accent4 2 2 4 3 2" xfId="23521"/>
    <cellStyle name="20% - Accent4 2 2 4 3 2 2" xfId="52382"/>
    <cellStyle name="20% - Accent4 2 2 4 3 3" xfId="35335"/>
    <cellStyle name="20% - Accent4 2 2 4 4" xfId="12598"/>
    <cellStyle name="20% - Accent4 2 2 4 4 2" xfId="17749"/>
    <cellStyle name="20% - Accent4 2 2 4 4 2 2" xfId="46610"/>
    <cellStyle name="20% - Accent4 2 2 4 4 3" xfId="41459"/>
    <cellStyle name="20% - Accent4 2 2 4 5" xfId="15069"/>
    <cellStyle name="20% - Accent4 2 2 4 5 2" xfId="43930"/>
    <cellStyle name="20% - Accent4 2 2 4 6" xfId="29294"/>
    <cellStyle name="20% - Accent4 2 2 5" xfId="741"/>
    <cellStyle name="20% - Accent4 2 2 5 2" xfId="3628"/>
    <cellStyle name="20% - Accent4 2 2 5 2 2" xfId="9669"/>
    <cellStyle name="20% - Accent4 2 2 5 2 2 2" xfId="26716"/>
    <cellStyle name="20% - Accent4 2 2 5 2 2 2 2" xfId="55577"/>
    <cellStyle name="20% - Accent4 2 2 5 2 2 3" xfId="38530"/>
    <cellStyle name="20% - Accent4 2 2 5 2 3" xfId="20738"/>
    <cellStyle name="20% - Accent4 2 2 5 2 3 2" xfId="49599"/>
    <cellStyle name="20% - Accent4 2 2 5 2 4" xfId="32489"/>
    <cellStyle name="20% - Accent4 2 2 5 3" xfId="6783"/>
    <cellStyle name="20% - Accent4 2 2 5 3 2" xfId="23830"/>
    <cellStyle name="20% - Accent4 2 2 5 3 2 2" xfId="52691"/>
    <cellStyle name="20% - Accent4 2 2 5 3 3" xfId="35644"/>
    <cellStyle name="20% - Accent4 2 2 5 4" xfId="13163"/>
    <cellStyle name="20% - Accent4 2 2 5 4 2" xfId="18058"/>
    <cellStyle name="20% - Accent4 2 2 5 4 2 2" xfId="46919"/>
    <cellStyle name="20% - Accent4 2 2 5 4 3" xfId="42024"/>
    <cellStyle name="20% - Accent4 2 2 5 5" xfId="15378"/>
    <cellStyle name="20% - Accent4 2 2 5 5 2" xfId="44239"/>
    <cellStyle name="20% - Accent4 2 2 5 6" xfId="29603"/>
    <cellStyle name="20% - Accent4 2 2 6" xfId="947"/>
    <cellStyle name="20% - Accent4 2 2 6 2" xfId="3834"/>
    <cellStyle name="20% - Accent4 2 2 6 2 2" xfId="9875"/>
    <cellStyle name="20% - Accent4 2 2 6 2 2 2" xfId="26922"/>
    <cellStyle name="20% - Accent4 2 2 6 2 2 2 2" xfId="55783"/>
    <cellStyle name="20% - Accent4 2 2 6 2 2 3" xfId="38736"/>
    <cellStyle name="20% - Accent4 2 2 6 2 3" xfId="20944"/>
    <cellStyle name="20% - Accent4 2 2 6 2 3 2" xfId="49805"/>
    <cellStyle name="20% - Accent4 2 2 6 2 4" xfId="32695"/>
    <cellStyle name="20% - Accent4 2 2 6 3" xfId="6989"/>
    <cellStyle name="20% - Accent4 2 2 6 3 2" xfId="24036"/>
    <cellStyle name="20% - Accent4 2 2 6 3 2 2" xfId="52897"/>
    <cellStyle name="20% - Accent4 2 2 6 3 3" xfId="35850"/>
    <cellStyle name="20% - Accent4 2 2 6 4" xfId="13191"/>
    <cellStyle name="20% - Accent4 2 2 6 4 2" xfId="18264"/>
    <cellStyle name="20% - Accent4 2 2 6 4 2 2" xfId="47125"/>
    <cellStyle name="20% - Accent4 2 2 6 4 3" xfId="42052"/>
    <cellStyle name="20% - Accent4 2 2 6 5" xfId="15584"/>
    <cellStyle name="20% - Accent4 2 2 6 5 2" xfId="44445"/>
    <cellStyle name="20% - Accent4 2 2 6 6" xfId="29809"/>
    <cellStyle name="20% - Accent4 2 2 7" xfId="1153"/>
    <cellStyle name="20% - Accent4 2 2 7 2" xfId="4040"/>
    <cellStyle name="20% - Accent4 2 2 7 2 2" xfId="10081"/>
    <cellStyle name="20% - Accent4 2 2 7 2 2 2" xfId="27128"/>
    <cellStyle name="20% - Accent4 2 2 7 2 2 2 2" xfId="55989"/>
    <cellStyle name="20% - Accent4 2 2 7 2 2 3" xfId="38942"/>
    <cellStyle name="20% - Accent4 2 2 7 2 3" xfId="21150"/>
    <cellStyle name="20% - Accent4 2 2 7 2 3 2" xfId="50011"/>
    <cellStyle name="20% - Accent4 2 2 7 2 4" xfId="32901"/>
    <cellStyle name="20% - Accent4 2 2 7 3" xfId="7195"/>
    <cellStyle name="20% - Accent4 2 2 7 3 2" xfId="24242"/>
    <cellStyle name="20% - Accent4 2 2 7 3 2 2" xfId="53103"/>
    <cellStyle name="20% - Accent4 2 2 7 3 3" xfId="36056"/>
    <cellStyle name="20% - Accent4 2 2 7 4" xfId="12727"/>
    <cellStyle name="20% - Accent4 2 2 7 4 2" xfId="18470"/>
    <cellStyle name="20% - Accent4 2 2 7 4 2 2" xfId="47331"/>
    <cellStyle name="20% - Accent4 2 2 7 4 3" xfId="41588"/>
    <cellStyle name="20% - Accent4 2 2 7 5" xfId="15790"/>
    <cellStyle name="20% - Accent4 2 2 7 5 2" xfId="44651"/>
    <cellStyle name="20% - Accent4 2 2 7 6" xfId="30015"/>
    <cellStyle name="20% - Accent4 2 2 8" xfId="1359"/>
    <cellStyle name="20% - Accent4 2 2 8 2" xfId="4246"/>
    <cellStyle name="20% - Accent4 2 2 8 2 2" xfId="10287"/>
    <cellStyle name="20% - Accent4 2 2 8 2 2 2" xfId="27334"/>
    <cellStyle name="20% - Accent4 2 2 8 2 2 2 2" xfId="56195"/>
    <cellStyle name="20% - Accent4 2 2 8 2 2 3" xfId="39148"/>
    <cellStyle name="20% - Accent4 2 2 8 2 3" xfId="21356"/>
    <cellStyle name="20% - Accent4 2 2 8 2 3 2" xfId="50217"/>
    <cellStyle name="20% - Accent4 2 2 8 2 4" xfId="33107"/>
    <cellStyle name="20% - Accent4 2 2 8 3" xfId="7401"/>
    <cellStyle name="20% - Accent4 2 2 8 3 2" xfId="24448"/>
    <cellStyle name="20% - Accent4 2 2 8 3 2 2" xfId="53309"/>
    <cellStyle name="20% - Accent4 2 2 8 3 3" xfId="36262"/>
    <cellStyle name="20% - Accent4 2 2 8 4" xfId="14489"/>
    <cellStyle name="20% - Accent4 2 2 8 4 2" xfId="18676"/>
    <cellStyle name="20% - Accent4 2 2 8 4 2 2" xfId="47537"/>
    <cellStyle name="20% - Accent4 2 2 8 4 3" xfId="43350"/>
    <cellStyle name="20% - Accent4 2 2 8 5" xfId="15996"/>
    <cellStyle name="20% - Accent4 2 2 8 5 2" xfId="44857"/>
    <cellStyle name="20% - Accent4 2 2 8 6" xfId="30221"/>
    <cellStyle name="20% - Accent4 2 2 9" xfId="1565"/>
    <cellStyle name="20% - Accent4 2 2 9 2" xfId="4452"/>
    <cellStyle name="20% - Accent4 2 2 9 2 2" xfId="10493"/>
    <cellStyle name="20% - Accent4 2 2 9 2 2 2" xfId="27540"/>
    <cellStyle name="20% - Accent4 2 2 9 2 2 2 2" xfId="56401"/>
    <cellStyle name="20% - Accent4 2 2 9 2 2 3" xfId="39354"/>
    <cellStyle name="20% - Accent4 2 2 9 2 3" xfId="21562"/>
    <cellStyle name="20% - Accent4 2 2 9 2 3 2" xfId="50423"/>
    <cellStyle name="20% - Accent4 2 2 9 2 4" xfId="33313"/>
    <cellStyle name="20% - Accent4 2 2 9 3" xfId="7607"/>
    <cellStyle name="20% - Accent4 2 2 9 3 2" xfId="24654"/>
    <cellStyle name="20% - Accent4 2 2 9 3 2 2" xfId="53515"/>
    <cellStyle name="20% - Accent4 2 2 9 3 3" xfId="36468"/>
    <cellStyle name="20% - Accent4 2 2 9 4" xfId="12632"/>
    <cellStyle name="20% - Accent4 2 2 9 4 2" xfId="18882"/>
    <cellStyle name="20% - Accent4 2 2 9 4 2 2" xfId="47743"/>
    <cellStyle name="20% - Accent4 2 2 9 4 3" xfId="41493"/>
    <cellStyle name="20% - Accent4 2 2 9 5" xfId="16202"/>
    <cellStyle name="20% - Accent4 2 2 9 5 2" xfId="45063"/>
    <cellStyle name="20% - Accent4 2 2 9 6" xfId="30427"/>
    <cellStyle name="20% - Accent4 2 20" xfId="6139"/>
    <cellStyle name="20% - Accent4 2 20 2" xfId="23186"/>
    <cellStyle name="20% - Accent4 2 20 2 2" xfId="52047"/>
    <cellStyle name="20% - Accent4 2 20 3" xfId="35000"/>
    <cellStyle name="20% - Accent4 2 21" xfId="14528"/>
    <cellStyle name="20% - Accent4 2 21 2" xfId="43389"/>
    <cellStyle name="20% - Accent4 2 22" xfId="28959"/>
    <cellStyle name="20% - Accent4 2 3" xfId="149"/>
    <cellStyle name="20% - Accent4 2 3 10" xfId="1797"/>
    <cellStyle name="20% - Accent4 2 3 10 2" xfId="4684"/>
    <cellStyle name="20% - Accent4 2 3 10 2 2" xfId="10725"/>
    <cellStyle name="20% - Accent4 2 3 10 2 2 2" xfId="27772"/>
    <cellStyle name="20% - Accent4 2 3 10 2 2 2 2" xfId="56633"/>
    <cellStyle name="20% - Accent4 2 3 10 2 2 3" xfId="39586"/>
    <cellStyle name="20% - Accent4 2 3 10 2 3" xfId="21794"/>
    <cellStyle name="20% - Accent4 2 3 10 2 3 2" xfId="50655"/>
    <cellStyle name="20% - Accent4 2 3 10 2 4" xfId="33545"/>
    <cellStyle name="20% - Accent4 2 3 10 3" xfId="7839"/>
    <cellStyle name="20% - Accent4 2 3 10 3 2" xfId="24886"/>
    <cellStyle name="20% - Accent4 2 3 10 3 2 2" xfId="53747"/>
    <cellStyle name="20% - Accent4 2 3 10 3 3" xfId="36700"/>
    <cellStyle name="20% - Accent4 2 3 10 4" xfId="12749"/>
    <cellStyle name="20% - Accent4 2 3 10 4 2" xfId="19114"/>
    <cellStyle name="20% - Accent4 2 3 10 4 2 2" xfId="47975"/>
    <cellStyle name="20% - Accent4 2 3 10 4 3" xfId="41610"/>
    <cellStyle name="20% - Accent4 2 3 10 5" xfId="16434"/>
    <cellStyle name="20% - Accent4 2 3 10 5 2" xfId="45295"/>
    <cellStyle name="20% - Accent4 2 3 10 6" xfId="30659"/>
    <cellStyle name="20% - Accent4 2 3 11" xfId="2003"/>
    <cellStyle name="20% - Accent4 2 3 11 2" xfId="4890"/>
    <cellStyle name="20% - Accent4 2 3 11 2 2" xfId="10931"/>
    <cellStyle name="20% - Accent4 2 3 11 2 2 2" xfId="27978"/>
    <cellStyle name="20% - Accent4 2 3 11 2 2 2 2" xfId="56839"/>
    <cellStyle name="20% - Accent4 2 3 11 2 2 3" xfId="39792"/>
    <cellStyle name="20% - Accent4 2 3 11 2 3" xfId="22000"/>
    <cellStyle name="20% - Accent4 2 3 11 2 3 2" xfId="50861"/>
    <cellStyle name="20% - Accent4 2 3 11 2 4" xfId="33751"/>
    <cellStyle name="20% - Accent4 2 3 11 3" xfId="8045"/>
    <cellStyle name="20% - Accent4 2 3 11 3 2" xfId="25092"/>
    <cellStyle name="20% - Accent4 2 3 11 3 2 2" xfId="53953"/>
    <cellStyle name="20% - Accent4 2 3 11 3 3" xfId="36906"/>
    <cellStyle name="20% - Accent4 2 3 11 4" xfId="13285"/>
    <cellStyle name="20% - Accent4 2 3 11 4 2" xfId="19320"/>
    <cellStyle name="20% - Accent4 2 3 11 4 2 2" xfId="48181"/>
    <cellStyle name="20% - Accent4 2 3 11 4 3" xfId="42146"/>
    <cellStyle name="20% - Accent4 2 3 11 5" xfId="16640"/>
    <cellStyle name="20% - Accent4 2 3 11 5 2" xfId="45501"/>
    <cellStyle name="20% - Accent4 2 3 11 6" xfId="30865"/>
    <cellStyle name="20% - Accent4 2 3 12" xfId="2415"/>
    <cellStyle name="20% - Accent4 2 3 12 2" xfId="5302"/>
    <cellStyle name="20% - Accent4 2 3 12 2 2" xfId="11343"/>
    <cellStyle name="20% - Accent4 2 3 12 2 2 2" xfId="28390"/>
    <cellStyle name="20% - Accent4 2 3 12 2 2 2 2" xfId="57251"/>
    <cellStyle name="20% - Accent4 2 3 12 2 2 3" xfId="40204"/>
    <cellStyle name="20% - Accent4 2 3 12 2 3" xfId="22412"/>
    <cellStyle name="20% - Accent4 2 3 12 2 3 2" xfId="51273"/>
    <cellStyle name="20% - Accent4 2 3 12 2 4" xfId="34163"/>
    <cellStyle name="20% - Accent4 2 3 12 3" xfId="8457"/>
    <cellStyle name="20% - Accent4 2 3 12 3 2" xfId="25504"/>
    <cellStyle name="20% - Accent4 2 3 12 3 2 2" xfId="54365"/>
    <cellStyle name="20% - Accent4 2 3 12 3 3" xfId="37318"/>
    <cellStyle name="20% - Accent4 2 3 12 4" xfId="13412"/>
    <cellStyle name="20% - Accent4 2 3 12 4 2" xfId="19732"/>
    <cellStyle name="20% - Accent4 2 3 12 4 2 2" xfId="48593"/>
    <cellStyle name="20% - Accent4 2 3 12 4 3" xfId="42273"/>
    <cellStyle name="20% - Accent4 2 3 12 5" xfId="17052"/>
    <cellStyle name="20% - Accent4 2 3 12 5 2" xfId="45913"/>
    <cellStyle name="20% - Accent4 2 3 12 6" xfId="31277"/>
    <cellStyle name="20% - Accent4 2 3 13" xfId="2624"/>
    <cellStyle name="20% - Accent4 2 3 13 2" xfId="5510"/>
    <cellStyle name="20% - Accent4 2 3 13 2 2" xfId="11551"/>
    <cellStyle name="20% - Accent4 2 3 13 2 2 2" xfId="28598"/>
    <cellStyle name="20% - Accent4 2 3 13 2 2 2 2" xfId="57459"/>
    <cellStyle name="20% - Accent4 2 3 13 2 2 3" xfId="40412"/>
    <cellStyle name="20% - Accent4 2 3 13 2 3" xfId="22620"/>
    <cellStyle name="20% - Accent4 2 3 13 2 3 2" xfId="51481"/>
    <cellStyle name="20% - Accent4 2 3 13 2 4" xfId="34371"/>
    <cellStyle name="20% - Accent4 2 3 13 3" xfId="8665"/>
    <cellStyle name="20% - Accent4 2 3 13 3 2" xfId="25712"/>
    <cellStyle name="20% - Accent4 2 3 13 3 2 2" xfId="54573"/>
    <cellStyle name="20% - Accent4 2 3 13 3 3" xfId="37526"/>
    <cellStyle name="20% - Accent4 2 3 13 4" xfId="12822"/>
    <cellStyle name="20% - Accent4 2 3 13 4 2" xfId="19940"/>
    <cellStyle name="20% - Accent4 2 3 13 4 2 2" xfId="48801"/>
    <cellStyle name="20% - Accent4 2 3 13 4 3" xfId="41683"/>
    <cellStyle name="20% - Accent4 2 3 13 5" xfId="17260"/>
    <cellStyle name="20% - Accent4 2 3 13 5 2" xfId="46121"/>
    <cellStyle name="20% - Accent4 2 3 13 6" xfId="31485"/>
    <cellStyle name="20% - Accent4 2 3 14" xfId="3036"/>
    <cellStyle name="20% - Accent4 2 3 14 2" xfId="9077"/>
    <cellStyle name="20% - Accent4 2 3 14 2 2" xfId="26124"/>
    <cellStyle name="20% - Accent4 2 3 14 2 2 2" xfId="54985"/>
    <cellStyle name="20% - Accent4 2 3 14 2 3" xfId="37938"/>
    <cellStyle name="20% - Accent4 2 3 14 3" xfId="12034"/>
    <cellStyle name="20% - Accent4 2 3 14 3 2" xfId="20146"/>
    <cellStyle name="20% - Accent4 2 3 14 3 2 2" xfId="49007"/>
    <cellStyle name="20% - Accent4 2 3 14 3 3" xfId="40895"/>
    <cellStyle name="20% - Accent4 2 3 14 4" xfId="14786"/>
    <cellStyle name="20% - Accent4 2 3 14 4 2" xfId="43647"/>
    <cellStyle name="20% - Accent4 2 3 14 5" xfId="31897"/>
    <cellStyle name="20% - Accent4 2 3 15" xfId="2830"/>
    <cellStyle name="20% - Accent4 2 3 15 2" xfId="8871"/>
    <cellStyle name="20% - Accent4 2 3 15 2 2" xfId="25918"/>
    <cellStyle name="20% - Accent4 2 3 15 2 2 2" xfId="54779"/>
    <cellStyle name="20% - Accent4 2 3 15 2 3" xfId="37732"/>
    <cellStyle name="20% - Accent4 2 3 15 3" xfId="17466"/>
    <cellStyle name="20% - Accent4 2 3 15 3 2" xfId="46327"/>
    <cellStyle name="20% - Accent4 2 3 15 4" xfId="31691"/>
    <cellStyle name="20% - Accent4 2 3 16" xfId="5716"/>
    <cellStyle name="20% - Accent4 2 3 16 2" xfId="11757"/>
    <cellStyle name="20% - Accent4 2 3 16 2 2" xfId="28804"/>
    <cellStyle name="20% - Accent4 2 3 16 2 2 2" xfId="57665"/>
    <cellStyle name="20% - Accent4 2 3 16 2 3" xfId="40618"/>
    <cellStyle name="20% - Accent4 2 3 16 3" xfId="22826"/>
    <cellStyle name="20% - Accent4 2 3 16 3 2" xfId="51687"/>
    <cellStyle name="20% - Accent4 2 3 16 4" xfId="34577"/>
    <cellStyle name="20% - Accent4 2 3 17" xfId="5933"/>
    <cellStyle name="20% - Accent4 2 3 17 2" xfId="23032"/>
    <cellStyle name="20% - Accent4 2 3 17 2 2" xfId="51893"/>
    <cellStyle name="20% - Accent4 2 3 17 3" xfId="34794"/>
    <cellStyle name="20% - Accent4 2 3 18" xfId="6191"/>
    <cellStyle name="20% - Accent4 2 3 18 2" xfId="23238"/>
    <cellStyle name="20% - Accent4 2 3 18 2 2" xfId="52099"/>
    <cellStyle name="20% - Accent4 2 3 18 3" xfId="35052"/>
    <cellStyle name="20% - Accent4 2 3 19" xfId="14580"/>
    <cellStyle name="20% - Accent4 2 3 19 2" xfId="43441"/>
    <cellStyle name="20% - Accent4 2 3 2" xfId="355"/>
    <cellStyle name="20% - Accent4 2 3 2 10" xfId="2518"/>
    <cellStyle name="20% - Accent4 2 3 2 10 2" xfId="5405"/>
    <cellStyle name="20% - Accent4 2 3 2 10 2 2" xfId="11446"/>
    <cellStyle name="20% - Accent4 2 3 2 10 2 2 2" xfId="28493"/>
    <cellStyle name="20% - Accent4 2 3 2 10 2 2 2 2" xfId="57354"/>
    <cellStyle name="20% - Accent4 2 3 2 10 2 2 3" xfId="40307"/>
    <cellStyle name="20% - Accent4 2 3 2 10 2 3" xfId="22515"/>
    <cellStyle name="20% - Accent4 2 3 2 10 2 3 2" xfId="51376"/>
    <cellStyle name="20% - Accent4 2 3 2 10 2 4" xfId="34266"/>
    <cellStyle name="20% - Accent4 2 3 2 10 3" xfId="8560"/>
    <cellStyle name="20% - Accent4 2 3 2 10 3 2" xfId="25607"/>
    <cellStyle name="20% - Accent4 2 3 2 10 3 2 2" xfId="54468"/>
    <cellStyle name="20% - Accent4 2 3 2 10 3 3" xfId="37421"/>
    <cellStyle name="20% - Accent4 2 3 2 10 4" xfId="12838"/>
    <cellStyle name="20% - Accent4 2 3 2 10 4 2" xfId="19835"/>
    <cellStyle name="20% - Accent4 2 3 2 10 4 2 2" xfId="48696"/>
    <cellStyle name="20% - Accent4 2 3 2 10 4 3" xfId="41699"/>
    <cellStyle name="20% - Accent4 2 3 2 10 5" xfId="17155"/>
    <cellStyle name="20% - Accent4 2 3 2 10 5 2" xfId="46016"/>
    <cellStyle name="20% - Accent4 2 3 2 10 6" xfId="31380"/>
    <cellStyle name="20% - Accent4 2 3 2 11" xfId="2727"/>
    <cellStyle name="20% - Accent4 2 3 2 11 2" xfId="5613"/>
    <cellStyle name="20% - Accent4 2 3 2 11 2 2" xfId="11654"/>
    <cellStyle name="20% - Accent4 2 3 2 11 2 2 2" xfId="28701"/>
    <cellStyle name="20% - Accent4 2 3 2 11 2 2 2 2" xfId="57562"/>
    <cellStyle name="20% - Accent4 2 3 2 11 2 2 3" xfId="40515"/>
    <cellStyle name="20% - Accent4 2 3 2 11 2 3" xfId="22723"/>
    <cellStyle name="20% - Accent4 2 3 2 11 2 3 2" xfId="51584"/>
    <cellStyle name="20% - Accent4 2 3 2 11 2 4" xfId="34474"/>
    <cellStyle name="20% - Accent4 2 3 2 11 3" xfId="8768"/>
    <cellStyle name="20% - Accent4 2 3 2 11 3 2" xfId="25815"/>
    <cellStyle name="20% - Accent4 2 3 2 11 3 2 2" xfId="54676"/>
    <cellStyle name="20% - Accent4 2 3 2 11 3 3" xfId="37629"/>
    <cellStyle name="20% - Accent4 2 3 2 11 4" xfId="13385"/>
    <cellStyle name="20% - Accent4 2 3 2 11 4 2" xfId="20043"/>
    <cellStyle name="20% - Accent4 2 3 2 11 4 2 2" xfId="48904"/>
    <cellStyle name="20% - Accent4 2 3 2 11 4 3" xfId="42246"/>
    <cellStyle name="20% - Accent4 2 3 2 11 5" xfId="17363"/>
    <cellStyle name="20% - Accent4 2 3 2 11 5 2" xfId="46224"/>
    <cellStyle name="20% - Accent4 2 3 2 11 6" xfId="31588"/>
    <cellStyle name="20% - Accent4 2 3 2 12" xfId="3242"/>
    <cellStyle name="20% - Accent4 2 3 2 12 2" xfId="9283"/>
    <cellStyle name="20% - Accent4 2 3 2 12 2 2" xfId="26330"/>
    <cellStyle name="20% - Accent4 2 3 2 12 2 2 2" xfId="55191"/>
    <cellStyle name="20% - Accent4 2 3 2 12 2 3" xfId="38144"/>
    <cellStyle name="20% - Accent4 2 3 2 12 3" xfId="13290"/>
    <cellStyle name="20% - Accent4 2 3 2 12 3 2" xfId="20352"/>
    <cellStyle name="20% - Accent4 2 3 2 12 3 2 2" xfId="49213"/>
    <cellStyle name="20% - Accent4 2 3 2 12 3 3" xfId="42151"/>
    <cellStyle name="20% - Accent4 2 3 2 12 4" xfId="14992"/>
    <cellStyle name="20% - Accent4 2 3 2 12 4 2" xfId="43853"/>
    <cellStyle name="20% - Accent4 2 3 2 12 5" xfId="32103"/>
    <cellStyle name="20% - Accent4 2 3 2 13" xfId="2933"/>
    <cellStyle name="20% - Accent4 2 3 2 13 2" xfId="8974"/>
    <cellStyle name="20% - Accent4 2 3 2 13 2 2" xfId="26021"/>
    <cellStyle name="20% - Accent4 2 3 2 13 2 2 2" xfId="54882"/>
    <cellStyle name="20% - Accent4 2 3 2 13 2 3" xfId="37835"/>
    <cellStyle name="20% - Accent4 2 3 2 13 3" xfId="17569"/>
    <cellStyle name="20% - Accent4 2 3 2 13 3 2" xfId="46430"/>
    <cellStyle name="20% - Accent4 2 3 2 13 4" xfId="31794"/>
    <cellStyle name="20% - Accent4 2 3 2 14" xfId="5819"/>
    <cellStyle name="20% - Accent4 2 3 2 14 2" xfId="11860"/>
    <cellStyle name="20% - Accent4 2 3 2 14 2 2" xfId="28907"/>
    <cellStyle name="20% - Accent4 2 3 2 14 2 2 2" xfId="57768"/>
    <cellStyle name="20% - Accent4 2 3 2 14 2 3" xfId="40721"/>
    <cellStyle name="20% - Accent4 2 3 2 14 3" xfId="22929"/>
    <cellStyle name="20% - Accent4 2 3 2 14 3 2" xfId="51790"/>
    <cellStyle name="20% - Accent4 2 3 2 14 4" xfId="34680"/>
    <cellStyle name="20% - Accent4 2 3 2 15" xfId="6036"/>
    <cellStyle name="20% - Accent4 2 3 2 15 2" xfId="23135"/>
    <cellStyle name="20% - Accent4 2 3 2 15 2 2" xfId="51996"/>
    <cellStyle name="20% - Accent4 2 3 2 15 3" xfId="34897"/>
    <cellStyle name="20% - Accent4 2 3 2 16" xfId="6397"/>
    <cellStyle name="20% - Accent4 2 3 2 16 2" xfId="23444"/>
    <cellStyle name="20% - Accent4 2 3 2 16 2 2" xfId="52305"/>
    <cellStyle name="20% - Accent4 2 3 2 16 3" xfId="35258"/>
    <cellStyle name="20% - Accent4 2 3 2 17" xfId="14683"/>
    <cellStyle name="20% - Accent4 2 3 2 17 2" xfId="43544"/>
    <cellStyle name="20% - Accent4 2 3 2 18" xfId="29217"/>
    <cellStyle name="20% - Accent4 2 3 2 2" xfId="561"/>
    <cellStyle name="20% - Accent4 2 3 2 2 2" xfId="2312"/>
    <cellStyle name="20% - Accent4 2 3 2 2 2 2" xfId="5199"/>
    <cellStyle name="20% - Accent4 2 3 2 2 2 2 2" xfId="11240"/>
    <cellStyle name="20% - Accent4 2 3 2 2 2 2 2 2" xfId="28287"/>
    <cellStyle name="20% - Accent4 2 3 2 2 2 2 2 2 2" xfId="57148"/>
    <cellStyle name="20% - Accent4 2 3 2 2 2 2 2 3" xfId="40101"/>
    <cellStyle name="20% - Accent4 2 3 2 2 2 2 3" xfId="22309"/>
    <cellStyle name="20% - Accent4 2 3 2 2 2 2 3 2" xfId="51170"/>
    <cellStyle name="20% - Accent4 2 3 2 2 2 2 4" xfId="34060"/>
    <cellStyle name="20% - Accent4 2 3 2 2 2 3" xfId="8354"/>
    <cellStyle name="20% - Accent4 2 3 2 2 2 3 2" xfId="25401"/>
    <cellStyle name="20% - Accent4 2 3 2 2 2 3 2 2" xfId="54262"/>
    <cellStyle name="20% - Accent4 2 3 2 2 2 3 3" xfId="37215"/>
    <cellStyle name="20% - Accent4 2 3 2 2 2 4" xfId="11927"/>
    <cellStyle name="20% - Accent4 2 3 2 2 2 4 2" xfId="19629"/>
    <cellStyle name="20% - Accent4 2 3 2 2 2 4 2 2" xfId="48490"/>
    <cellStyle name="20% - Accent4 2 3 2 2 2 4 3" xfId="40788"/>
    <cellStyle name="20% - Accent4 2 3 2 2 2 5" xfId="16949"/>
    <cellStyle name="20% - Accent4 2 3 2 2 2 5 2" xfId="45810"/>
    <cellStyle name="20% - Accent4 2 3 2 2 2 6" xfId="31174"/>
    <cellStyle name="20% - Accent4 2 3 2 2 3" xfId="3448"/>
    <cellStyle name="20% - Accent4 2 3 2 2 3 2" xfId="9489"/>
    <cellStyle name="20% - Accent4 2 3 2 2 3 2 2" xfId="26536"/>
    <cellStyle name="20% - Accent4 2 3 2 2 3 2 2 2" xfId="55397"/>
    <cellStyle name="20% - Accent4 2 3 2 2 3 2 3" xfId="38350"/>
    <cellStyle name="20% - Accent4 2 3 2 2 3 3" xfId="20558"/>
    <cellStyle name="20% - Accent4 2 3 2 2 3 3 2" xfId="49419"/>
    <cellStyle name="20% - Accent4 2 3 2 2 3 4" xfId="32309"/>
    <cellStyle name="20% - Accent4 2 3 2 2 4" xfId="6603"/>
    <cellStyle name="20% - Accent4 2 3 2 2 4 2" xfId="23650"/>
    <cellStyle name="20% - Accent4 2 3 2 2 4 2 2" xfId="52511"/>
    <cellStyle name="20% - Accent4 2 3 2 2 4 3" xfId="35464"/>
    <cellStyle name="20% - Accent4 2 3 2 2 5" xfId="12747"/>
    <cellStyle name="20% - Accent4 2 3 2 2 5 2" xfId="17878"/>
    <cellStyle name="20% - Accent4 2 3 2 2 5 2 2" xfId="46739"/>
    <cellStyle name="20% - Accent4 2 3 2 2 5 3" xfId="41608"/>
    <cellStyle name="20% - Accent4 2 3 2 2 6" xfId="15198"/>
    <cellStyle name="20% - Accent4 2 3 2 2 6 2" xfId="44059"/>
    <cellStyle name="20% - Accent4 2 3 2 2 7" xfId="29423"/>
    <cellStyle name="20% - Accent4 2 3 2 3" xfId="870"/>
    <cellStyle name="20% - Accent4 2 3 2 3 2" xfId="3757"/>
    <cellStyle name="20% - Accent4 2 3 2 3 2 2" xfId="9798"/>
    <cellStyle name="20% - Accent4 2 3 2 3 2 2 2" xfId="26845"/>
    <cellStyle name="20% - Accent4 2 3 2 3 2 2 2 2" xfId="55706"/>
    <cellStyle name="20% - Accent4 2 3 2 3 2 2 3" xfId="38659"/>
    <cellStyle name="20% - Accent4 2 3 2 3 2 3" xfId="20867"/>
    <cellStyle name="20% - Accent4 2 3 2 3 2 3 2" xfId="49728"/>
    <cellStyle name="20% - Accent4 2 3 2 3 2 4" xfId="32618"/>
    <cellStyle name="20% - Accent4 2 3 2 3 3" xfId="6912"/>
    <cellStyle name="20% - Accent4 2 3 2 3 3 2" xfId="23959"/>
    <cellStyle name="20% - Accent4 2 3 2 3 3 2 2" xfId="52820"/>
    <cellStyle name="20% - Accent4 2 3 2 3 3 3" xfId="35773"/>
    <cellStyle name="20% - Accent4 2 3 2 3 4" xfId="13745"/>
    <cellStyle name="20% - Accent4 2 3 2 3 4 2" xfId="18187"/>
    <cellStyle name="20% - Accent4 2 3 2 3 4 2 2" xfId="47048"/>
    <cellStyle name="20% - Accent4 2 3 2 3 4 3" xfId="42606"/>
    <cellStyle name="20% - Accent4 2 3 2 3 5" xfId="15507"/>
    <cellStyle name="20% - Accent4 2 3 2 3 5 2" xfId="44368"/>
    <cellStyle name="20% - Accent4 2 3 2 3 6" xfId="29732"/>
    <cellStyle name="20% - Accent4 2 3 2 4" xfId="1076"/>
    <cellStyle name="20% - Accent4 2 3 2 4 2" xfId="3963"/>
    <cellStyle name="20% - Accent4 2 3 2 4 2 2" xfId="10004"/>
    <cellStyle name="20% - Accent4 2 3 2 4 2 2 2" xfId="27051"/>
    <cellStyle name="20% - Accent4 2 3 2 4 2 2 2 2" xfId="55912"/>
    <cellStyle name="20% - Accent4 2 3 2 4 2 2 3" xfId="38865"/>
    <cellStyle name="20% - Accent4 2 3 2 4 2 3" xfId="21073"/>
    <cellStyle name="20% - Accent4 2 3 2 4 2 3 2" xfId="49934"/>
    <cellStyle name="20% - Accent4 2 3 2 4 2 4" xfId="32824"/>
    <cellStyle name="20% - Accent4 2 3 2 4 3" xfId="7118"/>
    <cellStyle name="20% - Accent4 2 3 2 4 3 2" xfId="24165"/>
    <cellStyle name="20% - Accent4 2 3 2 4 3 2 2" xfId="53026"/>
    <cellStyle name="20% - Accent4 2 3 2 4 3 3" xfId="35979"/>
    <cellStyle name="20% - Accent4 2 3 2 4 4" xfId="12053"/>
    <cellStyle name="20% - Accent4 2 3 2 4 4 2" xfId="18393"/>
    <cellStyle name="20% - Accent4 2 3 2 4 4 2 2" xfId="47254"/>
    <cellStyle name="20% - Accent4 2 3 2 4 4 3" xfId="40914"/>
    <cellStyle name="20% - Accent4 2 3 2 4 5" xfId="15713"/>
    <cellStyle name="20% - Accent4 2 3 2 4 5 2" xfId="44574"/>
    <cellStyle name="20% - Accent4 2 3 2 4 6" xfId="29938"/>
    <cellStyle name="20% - Accent4 2 3 2 5" xfId="1282"/>
    <cellStyle name="20% - Accent4 2 3 2 5 2" xfId="4169"/>
    <cellStyle name="20% - Accent4 2 3 2 5 2 2" xfId="10210"/>
    <cellStyle name="20% - Accent4 2 3 2 5 2 2 2" xfId="27257"/>
    <cellStyle name="20% - Accent4 2 3 2 5 2 2 2 2" xfId="56118"/>
    <cellStyle name="20% - Accent4 2 3 2 5 2 2 3" xfId="39071"/>
    <cellStyle name="20% - Accent4 2 3 2 5 2 3" xfId="21279"/>
    <cellStyle name="20% - Accent4 2 3 2 5 2 3 2" xfId="50140"/>
    <cellStyle name="20% - Accent4 2 3 2 5 2 4" xfId="33030"/>
    <cellStyle name="20% - Accent4 2 3 2 5 3" xfId="7324"/>
    <cellStyle name="20% - Accent4 2 3 2 5 3 2" xfId="24371"/>
    <cellStyle name="20% - Accent4 2 3 2 5 3 2 2" xfId="53232"/>
    <cellStyle name="20% - Accent4 2 3 2 5 3 3" xfId="36185"/>
    <cellStyle name="20% - Accent4 2 3 2 5 4" xfId="12380"/>
    <cellStyle name="20% - Accent4 2 3 2 5 4 2" xfId="18599"/>
    <cellStyle name="20% - Accent4 2 3 2 5 4 2 2" xfId="47460"/>
    <cellStyle name="20% - Accent4 2 3 2 5 4 3" xfId="41241"/>
    <cellStyle name="20% - Accent4 2 3 2 5 5" xfId="15919"/>
    <cellStyle name="20% - Accent4 2 3 2 5 5 2" xfId="44780"/>
    <cellStyle name="20% - Accent4 2 3 2 5 6" xfId="30144"/>
    <cellStyle name="20% - Accent4 2 3 2 6" xfId="1488"/>
    <cellStyle name="20% - Accent4 2 3 2 6 2" xfId="4375"/>
    <cellStyle name="20% - Accent4 2 3 2 6 2 2" xfId="10416"/>
    <cellStyle name="20% - Accent4 2 3 2 6 2 2 2" xfId="27463"/>
    <cellStyle name="20% - Accent4 2 3 2 6 2 2 2 2" xfId="56324"/>
    <cellStyle name="20% - Accent4 2 3 2 6 2 2 3" xfId="39277"/>
    <cellStyle name="20% - Accent4 2 3 2 6 2 3" xfId="21485"/>
    <cellStyle name="20% - Accent4 2 3 2 6 2 3 2" xfId="50346"/>
    <cellStyle name="20% - Accent4 2 3 2 6 2 4" xfId="33236"/>
    <cellStyle name="20% - Accent4 2 3 2 6 3" xfId="7530"/>
    <cellStyle name="20% - Accent4 2 3 2 6 3 2" xfId="24577"/>
    <cellStyle name="20% - Accent4 2 3 2 6 3 2 2" xfId="53438"/>
    <cellStyle name="20% - Accent4 2 3 2 6 3 3" xfId="36391"/>
    <cellStyle name="20% - Accent4 2 3 2 6 4" xfId="13700"/>
    <cellStyle name="20% - Accent4 2 3 2 6 4 2" xfId="18805"/>
    <cellStyle name="20% - Accent4 2 3 2 6 4 2 2" xfId="47666"/>
    <cellStyle name="20% - Accent4 2 3 2 6 4 3" xfId="42561"/>
    <cellStyle name="20% - Accent4 2 3 2 6 5" xfId="16125"/>
    <cellStyle name="20% - Accent4 2 3 2 6 5 2" xfId="44986"/>
    <cellStyle name="20% - Accent4 2 3 2 6 6" xfId="30350"/>
    <cellStyle name="20% - Accent4 2 3 2 7" xfId="1694"/>
    <cellStyle name="20% - Accent4 2 3 2 7 2" xfId="4581"/>
    <cellStyle name="20% - Accent4 2 3 2 7 2 2" xfId="10622"/>
    <cellStyle name="20% - Accent4 2 3 2 7 2 2 2" xfId="27669"/>
    <cellStyle name="20% - Accent4 2 3 2 7 2 2 2 2" xfId="56530"/>
    <cellStyle name="20% - Accent4 2 3 2 7 2 2 3" xfId="39483"/>
    <cellStyle name="20% - Accent4 2 3 2 7 2 3" xfId="21691"/>
    <cellStyle name="20% - Accent4 2 3 2 7 2 3 2" xfId="50552"/>
    <cellStyle name="20% - Accent4 2 3 2 7 2 4" xfId="33442"/>
    <cellStyle name="20% - Accent4 2 3 2 7 3" xfId="7736"/>
    <cellStyle name="20% - Accent4 2 3 2 7 3 2" xfId="24783"/>
    <cellStyle name="20% - Accent4 2 3 2 7 3 2 2" xfId="53644"/>
    <cellStyle name="20% - Accent4 2 3 2 7 3 3" xfId="36597"/>
    <cellStyle name="20% - Accent4 2 3 2 7 4" xfId="13912"/>
    <cellStyle name="20% - Accent4 2 3 2 7 4 2" xfId="19011"/>
    <cellStyle name="20% - Accent4 2 3 2 7 4 2 2" xfId="47872"/>
    <cellStyle name="20% - Accent4 2 3 2 7 4 3" xfId="42773"/>
    <cellStyle name="20% - Accent4 2 3 2 7 5" xfId="16331"/>
    <cellStyle name="20% - Accent4 2 3 2 7 5 2" xfId="45192"/>
    <cellStyle name="20% - Accent4 2 3 2 7 6" xfId="30556"/>
    <cellStyle name="20% - Accent4 2 3 2 8" xfId="1900"/>
    <cellStyle name="20% - Accent4 2 3 2 8 2" xfId="4787"/>
    <cellStyle name="20% - Accent4 2 3 2 8 2 2" xfId="10828"/>
    <cellStyle name="20% - Accent4 2 3 2 8 2 2 2" xfId="27875"/>
    <cellStyle name="20% - Accent4 2 3 2 8 2 2 2 2" xfId="56736"/>
    <cellStyle name="20% - Accent4 2 3 2 8 2 2 3" xfId="39689"/>
    <cellStyle name="20% - Accent4 2 3 2 8 2 3" xfId="21897"/>
    <cellStyle name="20% - Accent4 2 3 2 8 2 3 2" xfId="50758"/>
    <cellStyle name="20% - Accent4 2 3 2 8 2 4" xfId="33648"/>
    <cellStyle name="20% - Accent4 2 3 2 8 3" xfId="7942"/>
    <cellStyle name="20% - Accent4 2 3 2 8 3 2" xfId="24989"/>
    <cellStyle name="20% - Accent4 2 3 2 8 3 2 2" xfId="53850"/>
    <cellStyle name="20% - Accent4 2 3 2 8 3 3" xfId="36803"/>
    <cellStyle name="20% - Accent4 2 3 2 8 4" xfId="14012"/>
    <cellStyle name="20% - Accent4 2 3 2 8 4 2" xfId="19217"/>
    <cellStyle name="20% - Accent4 2 3 2 8 4 2 2" xfId="48078"/>
    <cellStyle name="20% - Accent4 2 3 2 8 4 3" xfId="42873"/>
    <cellStyle name="20% - Accent4 2 3 2 8 5" xfId="16537"/>
    <cellStyle name="20% - Accent4 2 3 2 8 5 2" xfId="45398"/>
    <cellStyle name="20% - Accent4 2 3 2 8 6" xfId="30762"/>
    <cellStyle name="20% - Accent4 2 3 2 9" xfId="2106"/>
    <cellStyle name="20% - Accent4 2 3 2 9 2" xfId="4993"/>
    <cellStyle name="20% - Accent4 2 3 2 9 2 2" xfId="11034"/>
    <cellStyle name="20% - Accent4 2 3 2 9 2 2 2" xfId="28081"/>
    <cellStyle name="20% - Accent4 2 3 2 9 2 2 2 2" xfId="56942"/>
    <cellStyle name="20% - Accent4 2 3 2 9 2 2 3" xfId="39895"/>
    <cellStyle name="20% - Accent4 2 3 2 9 2 3" xfId="22103"/>
    <cellStyle name="20% - Accent4 2 3 2 9 2 3 2" xfId="50964"/>
    <cellStyle name="20% - Accent4 2 3 2 9 2 4" xfId="33854"/>
    <cellStyle name="20% - Accent4 2 3 2 9 3" xfId="8148"/>
    <cellStyle name="20% - Accent4 2 3 2 9 3 2" xfId="25195"/>
    <cellStyle name="20% - Accent4 2 3 2 9 3 2 2" xfId="54056"/>
    <cellStyle name="20% - Accent4 2 3 2 9 3 3" xfId="37009"/>
    <cellStyle name="20% - Accent4 2 3 2 9 4" xfId="13767"/>
    <cellStyle name="20% - Accent4 2 3 2 9 4 2" xfId="19423"/>
    <cellStyle name="20% - Accent4 2 3 2 9 4 2 2" xfId="48284"/>
    <cellStyle name="20% - Accent4 2 3 2 9 4 3" xfId="42628"/>
    <cellStyle name="20% - Accent4 2 3 2 9 5" xfId="16743"/>
    <cellStyle name="20% - Accent4 2 3 2 9 5 2" xfId="45604"/>
    <cellStyle name="20% - Accent4 2 3 2 9 6" xfId="30968"/>
    <cellStyle name="20% - Accent4 2 3 20" xfId="29011"/>
    <cellStyle name="20% - Accent4 2 3 3" xfId="252"/>
    <cellStyle name="20% - Accent4 2 3 3 2" xfId="664"/>
    <cellStyle name="20% - Accent4 2 3 3 2 2" xfId="3551"/>
    <cellStyle name="20% - Accent4 2 3 3 2 2 2" xfId="9592"/>
    <cellStyle name="20% - Accent4 2 3 3 2 2 2 2" xfId="26639"/>
    <cellStyle name="20% - Accent4 2 3 3 2 2 2 2 2" xfId="55500"/>
    <cellStyle name="20% - Accent4 2 3 3 2 2 2 3" xfId="38453"/>
    <cellStyle name="20% - Accent4 2 3 3 2 2 3" xfId="20661"/>
    <cellStyle name="20% - Accent4 2 3 3 2 2 3 2" xfId="49522"/>
    <cellStyle name="20% - Accent4 2 3 3 2 2 4" xfId="32412"/>
    <cellStyle name="20% - Accent4 2 3 3 2 3" xfId="6706"/>
    <cellStyle name="20% - Accent4 2 3 3 2 3 2" xfId="23753"/>
    <cellStyle name="20% - Accent4 2 3 3 2 3 2 2" xfId="52614"/>
    <cellStyle name="20% - Accent4 2 3 3 2 3 3" xfId="35567"/>
    <cellStyle name="20% - Accent4 2 3 3 2 4" xfId="13606"/>
    <cellStyle name="20% - Accent4 2 3 3 2 4 2" xfId="17981"/>
    <cellStyle name="20% - Accent4 2 3 3 2 4 2 2" xfId="46842"/>
    <cellStyle name="20% - Accent4 2 3 3 2 4 3" xfId="42467"/>
    <cellStyle name="20% - Accent4 2 3 3 2 5" xfId="15301"/>
    <cellStyle name="20% - Accent4 2 3 3 2 5 2" xfId="44162"/>
    <cellStyle name="20% - Accent4 2 3 3 2 6" xfId="29526"/>
    <cellStyle name="20% - Accent4 2 3 3 3" xfId="2209"/>
    <cellStyle name="20% - Accent4 2 3 3 3 2" xfId="5096"/>
    <cellStyle name="20% - Accent4 2 3 3 3 2 2" xfId="11137"/>
    <cellStyle name="20% - Accent4 2 3 3 3 2 2 2" xfId="28184"/>
    <cellStyle name="20% - Accent4 2 3 3 3 2 2 2 2" xfId="57045"/>
    <cellStyle name="20% - Accent4 2 3 3 3 2 2 3" xfId="39998"/>
    <cellStyle name="20% - Accent4 2 3 3 3 2 3" xfId="22206"/>
    <cellStyle name="20% - Accent4 2 3 3 3 2 3 2" xfId="51067"/>
    <cellStyle name="20% - Accent4 2 3 3 3 2 4" xfId="33957"/>
    <cellStyle name="20% - Accent4 2 3 3 3 3" xfId="8251"/>
    <cellStyle name="20% - Accent4 2 3 3 3 3 2" xfId="25298"/>
    <cellStyle name="20% - Accent4 2 3 3 3 3 2 2" xfId="54159"/>
    <cellStyle name="20% - Accent4 2 3 3 3 3 3" xfId="37112"/>
    <cellStyle name="20% - Accent4 2 3 3 3 4" xfId="14131"/>
    <cellStyle name="20% - Accent4 2 3 3 3 4 2" xfId="19526"/>
    <cellStyle name="20% - Accent4 2 3 3 3 4 2 2" xfId="48387"/>
    <cellStyle name="20% - Accent4 2 3 3 3 4 3" xfId="42992"/>
    <cellStyle name="20% - Accent4 2 3 3 3 5" xfId="16846"/>
    <cellStyle name="20% - Accent4 2 3 3 3 5 2" xfId="45707"/>
    <cellStyle name="20% - Accent4 2 3 3 3 6" xfId="31071"/>
    <cellStyle name="20% - Accent4 2 3 3 4" xfId="3139"/>
    <cellStyle name="20% - Accent4 2 3 3 4 2" xfId="9180"/>
    <cellStyle name="20% - Accent4 2 3 3 4 2 2" xfId="26227"/>
    <cellStyle name="20% - Accent4 2 3 3 4 2 2 2" xfId="55088"/>
    <cellStyle name="20% - Accent4 2 3 3 4 2 3" xfId="38041"/>
    <cellStyle name="20% - Accent4 2 3 3 4 3" xfId="20249"/>
    <cellStyle name="20% - Accent4 2 3 3 4 3 2" xfId="49110"/>
    <cellStyle name="20% - Accent4 2 3 3 4 4" xfId="32000"/>
    <cellStyle name="20% - Accent4 2 3 3 5" xfId="6294"/>
    <cellStyle name="20% - Accent4 2 3 3 5 2" xfId="23341"/>
    <cellStyle name="20% - Accent4 2 3 3 5 2 2" xfId="52202"/>
    <cellStyle name="20% - Accent4 2 3 3 5 3" xfId="35155"/>
    <cellStyle name="20% - Accent4 2 3 3 6" xfId="12559"/>
    <cellStyle name="20% - Accent4 2 3 3 6 2" xfId="17672"/>
    <cellStyle name="20% - Accent4 2 3 3 6 2 2" xfId="46533"/>
    <cellStyle name="20% - Accent4 2 3 3 6 3" xfId="41420"/>
    <cellStyle name="20% - Accent4 2 3 3 7" xfId="14889"/>
    <cellStyle name="20% - Accent4 2 3 3 7 2" xfId="43750"/>
    <cellStyle name="20% - Accent4 2 3 3 8" xfId="29114"/>
    <cellStyle name="20% - Accent4 2 3 4" xfId="458"/>
    <cellStyle name="20% - Accent4 2 3 4 2" xfId="3345"/>
    <cellStyle name="20% - Accent4 2 3 4 2 2" xfId="9386"/>
    <cellStyle name="20% - Accent4 2 3 4 2 2 2" xfId="26433"/>
    <cellStyle name="20% - Accent4 2 3 4 2 2 2 2" xfId="55294"/>
    <cellStyle name="20% - Accent4 2 3 4 2 2 3" xfId="38247"/>
    <cellStyle name="20% - Accent4 2 3 4 2 3" xfId="20455"/>
    <cellStyle name="20% - Accent4 2 3 4 2 3 2" xfId="49316"/>
    <cellStyle name="20% - Accent4 2 3 4 2 4" xfId="32206"/>
    <cellStyle name="20% - Accent4 2 3 4 3" xfId="6500"/>
    <cellStyle name="20% - Accent4 2 3 4 3 2" xfId="23547"/>
    <cellStyle name="20% - Accent4 2 3 4 3 2 2" xfId="52408"/>
    <cellStyle name="20% - Accent4 2 3 4 3 3" xfId="35361"/>
    <cellStyle name="20% - Accent4 2 3 4 4" xfId="13955"/>
    <cellStyle name="20% - Accent4 2 3 4 4 2" xfId="17775"/>
    <cellStyle name="20% - Accent4 2 3 4 4 2 2" xfId="46636"/>
    <cellStyle name="20% - Accent4 2 3 4 4 3" xfId="42816"/>
    <cellStyle name="20% - Accent4 2 3 4 5" xfId="15095"/>
    <cellStyle name="20% - Accent4 2 3 4 5 2" xfId="43956"/>
    <cellStyle name="20% - Accent4 2 3 4 6" xfId="29320"/>
    <cellStyle name="20% - Accent4 2 3 5" xfId="767"/>
    <cellStyle name="20% - Accent4 2 3 5 2" xfId="3654"/>
    <cellStyle name="20% - Accent4 2 3 5 2 2" xfId="9695"/>
    <cellStyle name="20% - Accent4 2 3 5 2 2 2" xfId="26742"/>
    <cellStyle name="20% - Accent4 2 3 5 2 2 2 2" xfId="55603"/>
    <cellStyle name="20% - Accent4 2 3 5 2 2 3" xfId="38556"/>
    <cellStyle name="20% - Accent4 2 3 5 2 3" xfId="20764"/>
    <cellStyle name="20% - Accent4 2 3 5 2 3 2" xfId="49625"/>
    <cellStyle name="20% - Accent4 2 3 5 2 4" xfId="32515"/>
    <cellStyle name="20% - Accent4 2 3 5 3" xfId="6809"/>
    <cellStyle name="20% - Accent4 2 3 5 3 2" xfId="23856"/>
    <cellStyle name="20% - Accent4 2 3 5 3 2 2" xfId="52717"/>
    <cellStyle name="20% - Accent4 2 3 5 3 3" xfId="35670"/>
    <cellStyle name="20% - Accent4 2 3 5 4" xfId="14449"/>
    <cellStyle name="20% - Accent4 2 3 5 4 2" xfId="18084"/>
    <cellStyle name="20% - Accent4 2 3 5 4 2 2" xfId="46945"/>
    <cellStyle name="20% - Accent4 2 3 5 4 3" xfId="43310"/>
    <cellStyle name="20% - Accent4 2 3 5 5" xfId="15404"/>
    <cellStyle name="20% - Accent4 2 3 5 5 2" xfId="44265"/>
    <cellStyle name="20% - Accent4 2 3 5 6" xfId="29629"/>
    <cellStyle name="20% - Accent4 2 3 6" xfId="973"/>
    <cellStyle name="20% - Accent4 2 3 6 2" xfId="3860"/>
    <cellStyle name="20% - Accent4 2 3 6 2 2" xfId="9901"/>
    <cellStyle name="20% - Accent4 2 3 6 2 2 2" xfId="26948"/>
    <cellStyle name="20% - Accent4 2 3 6 2 2 2 2" xfId="55809"/>
    <cellStyle name="20% - Accent4 2 3 6 2 2 3" xfId="38762"/>
    <cellStyle name="20% - Accent4 2 3 6 2 3" xfId="20970"/>
    <cellStyle name="20% - Accent4 2 3 6 2 3 2" xfId="49831"/>
    <cellStyle name="20% - Accent4 2 3 6 2 4" xfId="32721"/>
    <cellStyle name="20% - Accent4 2 3 6 3" xfId="7015"/>
    <cellStyle name="20% - Accent4 2 3 6 3 2" xfId="24062"/>
    <cellStyle name="20% - Accent4 2 3 6 3 2 2" xfId="52923"/>
    <cellStyle name="20% - Accent4 2 3 6 3 3" xfId="35876"/>
    <cellStyle name="20% - Accent4 2 3 6 4" xfId="13925"/>
    <cellStyle name="20% - Accent4 2 3 6 4 2" xfId="18290"/>
    <cellStyle name="20% - Accent4 2 3 6 4 2 2" xfId="47151"/>
    <cellStyle name="20% - Accent4 2 3 6 4 3" xfId="42786"/>
    <cellStyle name="20% - Accent4 2 3 6 5" xfId="15610"/>
    <cellStyle name="20% - Accent4 2 3 6 5 2" xfId="44471"/>
    <cellStyle name="20% - Accent4 2 3 6 6" xfId="29835"/>
    <cellStyle name="20% - Accent4 2 3 7" xfId="1179"/>
    <cellStyle name="20% - Accent4 2 3 7 2" xfId="4066"/>
    <cellStyle name="20% - Accent4 2 3 7 2 2" xfId="10107"/>
    <cellStyle name="20% - Accent4 2 3 7 2 2 2" xfId="27154"/>
    <cellStyle name="20% - Accent4 2 3 7 2 2 2 2" xfId="56015"/>
    <cellStyle name="20% - Accent4 2 3 7 2 2 3" xfId="38968"/>
    <cellStyle name="20% - Accent4 2 3 7 2 3" xfId="21176"/>
    <cellStyle name="20% - Accent4 2 3 7 2 3 2" xfId="50037"/>
    <cellStyle name="20% - Accent4 2 3 7 2 4" xfId="32927"/>
    <cellStyle name="20% - Accent4 2 3 7 3" xfId="7221"/>
    <cellStyle name="20% - Accent4 2 3 7 3 2" xfId="24268"/>
    <cellStyle name="20% - Accent4 2 3 7 3 2 2" xfId="53129"/>
    <cellStyle name="20% - Accent4 2 3 7 3 3" xfId="36082"/>
    <cellStyle name="20% - Accent4 2 3 7 4" xfId="14412"/>
    <cellStyle name="20% - Accent4 2 3 7 4 2" xfId="18496"/>
    <cellStyle name="20% - Accent4 2 3 7 4 2 2" xfId="47357"/>
    <cellStyle name="20% - Accent4 2 3 7 4 3" xfId="43273"/>
    <cellStyle name="20% - Accent4 2 3 7 5" xfId="15816"/>
    <cellStyle name="20% - Accent4 2 3 7 5 2" xfId="44677"/>
    <cellStyle name="20% - Accent4 2 3 7 6" xfId="30041"/>
    <cellStyle name="20% - Accent4 2 3 8" xfId="1385"/>
    <cellStyle name="20% - Accent4 2 3 8 2" xfId="4272"/>
    <cellStyle name="20% - Accent4 2 3 8 2 2" xfId="10313"/>
    <cellStyle name="20% - Accent4 2 3 8 2 2 2" xfId="27360"/>
    <cellStyle name="20% - Accent4 2 3 8 2 2 2 2" xfId="56221"/>
    <cellStyle name="20% - Accent4 2 3 8 2 2 3" xfId="39174"/>
    <cellStyle name="20% - Accent4 2 3 8 2 3" xfId="21382"/>
    <cellStyle name="20% - Accent4 2 3 8 2 3 2" xfId="50243"/>
    <cellStyle name="20% - Accent4 2 3 8 2 4" xfId="33133"/>
    <cellStyle name="20% - Accent4 2 3 8 3" xfId="7427"/>
    <cellStyle name="20% - Accent4 2 3 8 3 2" xfId="24474"/>
    <cellStyle name="20% - Accent4 2 3 8 3 2 2" xfId="53335"/>
    <cellStyle name="20% - Accent4 2 3 8 3 3" xfId="36288"/>
    <cellStyle name="20% - Accent4 2 3 8 4" xfId="12093"/>
    <cellStyle name="20% - Accent4 2 3 8 4 2" xfId="18702"/>
    <cellStyle name="20% - Accent4 2 3 8 4 2 2" xfId="47563"/>
    <cellStyle name="20% - Accent4 2 3 8 4 3" xfId="40954"/>
    <cellStyle name="20% - Accent4 2 3 8 5" xfId="16022"/>
    <cellStyle name="20% - Accent4 2 3 8 5 2" xfId="44883"/>
    <cellStyle name="20% - Accent4 2 3 8 6" xfId="30247"/>
    <cellStyle name="20% - Accent4 2 3 9" xfId="1591"/>
    <cellStyle name="20% - Accent4 2 3 9 2" xfId="4478"/>
    <cellStyle name="20% - Accent4 2 3 9 2 2" xfId="10519"/>
    <cellStyle name="20% - Accent4 2 3 9 2 2 2" xfId="27566"/>
    <cellStyle name="20% - Accent4 2 3 9 2 2 2 2" xfId="56427"/>
    <cellStyle name="20% - Accent4 2 3 9 2 2 3" xfId="39380"/>
    <cellStyle name="20% - Accent4 2 3 9 2 3" xfId="21588"/>
    <cellStyle name="20% - Accent4 2 3 9 2 3 2" xfId="50449"/>
    <cellStyle name="20% - Accent4 2 3 9 2 4" xfId="33339"/>
    <cellStyle name="20% - Accent4 2 3 9 3" xfId="7633"/>
    <cellStyle name="20% - Accent4 2 3 9 3 2" xfId="24680"/>
    <cellStyle name="20% - Accent4 2 3 9 3 2 2" xfId="53541"/>
    <cellStyle name="20% - Accent4 2 3 9 3 3" xfId="36494"/>
    <cellStyle name="20% - Accent4 2 3 9 4" xfId="14089"/>
    <cellStyle name="20% - Accent4 2 3 9 4 2" xfId="18908"/>
    <cellStyle name="20% - Accent4 2 3 9 4 2 2" xfId="47769"/>
    <cellStyle name="20% - Accent4 2 3 9 4 3" xfId="42950"/>
    <cellStyle name="20% - Accent4 2 3 9 5" xfId="16228"/>
    <cellStyle name="20% - Accent4 2 3 9 5 2" xfId="45089"/>
    <cellStyle name="20% - Accent4 2 3 9 6" xfId="30453"/>
    <cellStyle name="20% - Accent4 2 4" xfId="303"/>
    <cellStyle name="20% - Accent4 2 4 10" xfId="2466"/>
    <cellStyle name="20% - Accent4 2 4 10 2" xfId="5353"/>
    <cellStyle name="20% - Accent4 2 4 10 2 2" xfId="11394"/>
    <cellStyle name="20% - Accent4 2 4 10 2 2 2" xfId="28441"/>
    <cellStyle name="20% - Accent4 2 4 10 2 2 2 2" xfId="57302"/>
    <cellStyle name="20% - Accent4 2 4 10 2 2 3" xfId="40255"/>
    <cellStyle name="20% - Accent4 2 4 10 2 3" xfId="22463"/>
    <cellStyle name="20% - Accent4 2 4 10 2 3 2" xfId="51324"/>
    <cellStyle name="20% - Accent4 2 4 10 2 4" xfId="34214"/>
    <cellStyle name="20% - Accent4 2 4 10 3" xfId="8508"/>
    <cellStyle name="20% - Accent4 2 4 10 3 2" xfId="25555"/>
    <cellStyle name="20% - Accent4 2 4 10 3 2 2" xfId="54416"/>
    <cellStyle name="20% - Accent4 2 4 10 3 3" xfId="37369"/>
    <cellStyle name="20% - Accent4 2 4 10 4" xfId="12901"/>
    <cellStyle name="20% - Accent4 2 4 10 4 2" xfId="19783"/>
    <cellStyle name="20% - Accent4 2 4 10 4 2 2" xfId="48644"/>
    <cellStyle name="20% - Accent4 2 4 10 4 3" xfId="41762"/>
    <cellStyle name="20% - Accent4 2 4 10 5" xfId="17103"/>
    <cellStyle name="20% - Accent4 2 4 10 5 2" xfId="45964"/>
    <cellStyle name="20% - Accent4 2 4 10 6" xfId="31328"/>
    <cellStyle name="20% - Accent4 2 4 11" xfId="2675"/>
    <cellStyle name="20% - Accent4 2 4 11 2" xfId="5561"/>
    <cellStyle name="20% - Accent4 2 4 11 2 2" xfId="11602"/>
    <cellStyle name="20% - Accent4 2 4 11 2 2 2" xfId="28649"/>
    <cellStyle name="20% - Accent4 2 4 11 2 2 2 2" xfId="57510"/>
    <cellStyle name="20% - Accent4 2 4 11 2 2 3" xfId="40463"/>
    <cellStyle name="20% - Accent4 2 4 11 2 3" xfId="22671"/>
    <cellStyle name="20% - Accent4 2 4 11 2 3 2" xfId="51532"/>
    <cellStyle name="20% - Accent4 2 4 11 2 4" xfId="34422"/>
    <cellStyle name="20% - Accent4 2 4 11 3" xfId="8716"/>
    <cellStyle name="20% - Accent4 2 4 11 3 2" xfId="25763"/>
    <cellStyle name="20% - Accent4 2 4 11 3 2 2" xfId="54624"/>
    <cellStyle name="20% - Accent4 2 4 11 3 3" xfId="37577"/>
    <cellStyle name="20% - Accent4 2 4 11 4" xfId="13858"/>
    <cellStyle name="20% - Accent4 2 4 11 4 2" xfId="19991"/>
    <cellStyle name="20% - Accent4 2 4 11 4 2 2" xfId="48852"/>
    <cellStyle name="20% - Accent4 2 4 11 4 3" xfId="42719"/>
    <cellStyle name="20% - Accent4 2 4 11 5" xfId="17311"/>
    <cellStyle name="20% - Accent4 2 4 11 5 2" xfId="46172"/>
    <cellStyle name="20% - Accent4 2 4 11 6" xfId="31536"/>
    <cellStyle name="20% - Accent4 2 4 12" xfId="3190"/>
    <cellStyle name="20% - Accent4 2 4 12 2" xfId="9231"/>
    <cellStyle name="20% - Accent4 2 4 12 2 2" xfId="26278"/>
    <cellStyle name="20% - Accent4 2 4 12 2 2 2" xfId="55139"/>
    <cellStyle name="20% - Accent4 2 4 12 2 3" xfId="38092"/>
    <cellStyle name="20% - Accent4 2 4 12 3" xfId="12807"/>
    <cellStyle name="20% - Accent4 2 4 12 3 2" xfId="20300"/>
    <cellStyle name="20% - Accent4 2 4 12 3 2 2" xfId="49161"/>
    <cellStyle name="20% - Accent4 2 4 12 3 3" xfId="41668"/>
    <cellStyle name="20% - Accent4 2 4 12 4" xfId="14940"/>
    <cellStyle name="20% - Accent4 2 4 12 4 2" xfId="43801"/>
    <cellStyle name="20% - Accent4 2 4 12 5" xfId="32051"/>
    <cellStyle name="20% - Accent4 2 4 13" xfId="2881"/>
    <cellStyle name="20% - Accent4 2 4 13 2" xfId="8922"/>
    <cellStyle name="20% - Accent4 2 4 13 2 2" xfId="25969"/>
    <cellStyle name="20% - Accent4 2 4 13 2 2 2" xfId="54830"/>
    <cellStyle name="20% - Accent4 2 4 13 2 3" xfId="37783"/>
    <cellStyle name="20% - Accent4 2 4 13 3" xfId="17517"/>
    <cellStyle name="20% - Accent4 2 4 13 3 2" xfId="46378"/>
    <cellStyle name="20% - Accent4 2 4 13 4" xfId="31742"/>
    <cellStyle name="20% - Accent4 2 4 14" xfId="5767"/>
    <cellStyle name="20% - Accent4 2 4 14 2" xfId="11808"/>
    <cellStyle name="20% - Accent4 2 4 14 2 2" xfId="28855"/>
    <cellStyle name="20% - Accent4 2 4 14 2 2 2" xfId="57716"/>
    <cellStyle name="20% - Accent4 2 4 14 2 3" xfId="40669"/>
    <cellStyle name="20% - Accent4 2 4 14 3" xfId="22877"/>
    <cellStyle name="20% - Accent4 2 4 14 3 2" xfId="51738"/>
    <cellStyle name="20% - Accent4 2 4 14 4" xfId="34628"/>
    <cellStyle name="20% - Accent4 2 4 15" xfId="5984"/>
    <cellStyle name="20% - Accent4 2 4 15 2" xfId="23083"/>
    <cellStyle name="20% - Accent4 2 4 15 2 2" xfId="51944"/>
    <cellStyle name="20% - Accent4 2 4 15 3" xfId="34845"/>
    <cellStyle name="20% - Accent4 2 4 16" xfId="6345"/>
    <cellStyle name="20% - Accent4 2 4 16 2" xfId="23392"/>
    <cellStyle name="20% - Accent4 2 4 16 2 2" xfId="52253"/>
    <cellStyle name="20% - Accent4 2 4 16 3" xfId="35206"/>
    <cellStyle name="20% - Accent4 2 4 17" xfId="14631"/>
    <cellStyle name="20% - Accent4 2 4 17 2" xfId="43492"/>
    <cellStyle name="20% - Accent4 2 4 18" xfId="29165"/>
    <cellStyle name="20% - Accent4 2 4 2" xfId="509"/>
    <cellStyle name="20% - Accent4 2 4 2 2" xfId="2260"/>
    <cellStyle name="20% - Accent4 2 4 2 2 2" xfId="5147"/>
    <cellStyle name="20% - Accent4 2 4 2 2 2 2" xfId="11188"/>
    <cellStyle name="20% - Accent4 2 4 2 2 2 2 2" xfId="28235"/>
    <cellStyle name="20% - Accent4 2 4 2 2 2 2 2 2" xfId="57096"/>
    <cellStyle name="20% - Accent4 2 4 2 2 2 2 3" xfId="40049"/>
    <cellStyle name="20% - Accent4 2 4 2 2 2 3" xfId="22257"/>
    <cellStyle name="20% - Accent4 2 4 2 2 2 3 2" xfId="51118"/>
    <cellStyle name="20% - Accent4 2 4 2 2 2 4" xfId="34008"/>
    <cellStyle name="20% - Accent4 2 4 2 2 3" xfId="8302"/>
    <cellStyle name="20% - Accent4 2 4 2 2 3 2" xfId="25349"/>
    <cellStyle name="20% - Accent4 2 4 2 2 3 2 2" xfId="54210"/>
    <cellStyle name="20% - Accent4 2 4 2 2 3 3" xfId="37163"/>
    <cellStyle name="20% - Accent4 2 4 2 2 4" xfId="12784"/>
    <cellStyle name="20% - Accent4 2 4 2 2 4 2" xfId="19577"/>
    <cellStyle name="20% - Accent4 2 4 2 2 4 2 2" xfId="48438"/>
    <cellStyle name="20% - Accent4 2 4 2 2 4 3" xfId="41645"/>
    <cellStyle name="20% - Accent4 2 4 2 2 5" xfId="16897"/>
    <cellStyle name="20% - Accent4 2 4 2 2 5 2" xfId="45758"/>
    <cellStyle name="20% - Accent4 2 4 2 2 6" xfId="31122"/>
    <cellStyle name="20% - Accent4 2 4 2 3" xfId="3396"/>
    <cellStyle name="20% - Accent4 2 4 2 3 2" xfId="9437"/>
    <cellStyle name="20% - Accent4 2 4 2 3 2 2" xfId="26484"/>
    <cellStyle name="20% - Accent4 2 4 2 3 2 2 2" xfId="55345"/>
    <cellStyle name="20% - Accent4 2 4 2 3 2 3" xfId="38298"/>
    <cellStyle name="20% - Accent4 2 4 2 3 3" xfId="20506"/>
    <cellStyle name="20% - Accent4 2 4 2 3 3 2" xfId="49367"/>
    <cellStyle name="20% - Accent4 2 4 2 3 4" xfId="32257"/>
    <cellStyle name="20% - Accent4 2 4 2 4" xfId="6551"/>
    <cellStyle name="20% - Accent4 2 4 2 4 2" xfId="23598"/>
    <cellStyle name="20% - Accent4 2 4 2 4 2 2" xfId="52459"/>
    <cellStyle name="20% - Accent4 2 4 2 4 3" xfId="35412"/>
    <cellStyle name="20% - Accent4 2 4 2 5" xfId="14282"/>
    <cellStyle name="20% - Accent4 2 4 2 5 2" xfId="17826"/>
    <cellStyle name="20% - Accent4 2 4 2 5 2 2" xfId="46687"/>
    <cellStyle name="20% - Accent4 2 4 2 5 3" xfId="43143"/>
    <cellStyle name="20% - Accent4 2 4 2 6" xfId="15146"/>
    <cellStyle name="20% - Accent4 2 4 2 6 2" xfId="44007"/>
    <cellStyle name="20% - Accent4 2 4 2 7" xfId="29371"/>
    <cellStyle name="20% - Accent4 2 4 3" xfId="818"/>
    <cellStyle name="20% - Accent4 2 4 3 2" xfId="3705"/>
    <cellStyle name="20% - Accent4 2 4 3 2 2" xfId="9746"/>
    <cellStyle name="20% - Accent4 2 4 3 2 2 2" xfId="26793"/>
    <cellStyle name="20% - Accent4 2 4 3 2 2 2 2" xfId="55654"/>
    <cellStyle name="20% - Accent4 2 4 3 2 2 3" xfId="38607"/>
    <cellStyle name="20% - Accent4 2 4 3 2 3" xfId="20815"/>
    <cellStyle name="20% - Accent4 2 4 3 2 3 2" xfId="49676"/>
    <cellStyle name="20% - Accent4 2 4 3 2 4" xfId="32566"/>
    <cellStyle name="20% - Accent4 2 4 3 3" xfId="6860"/>
    <cellStyle name="20% - Accent4 2 4 3 3 2" xfId="23907"/>
    <cellStyle name="20% - Accent4 2 4 3 3 2 2" xfId="52768"/>
    <cellStyle name="20% - Accent4 2 4 3 3 3" xfId="35721"/>
    <cellStyle name="20% - Accent4 2 4 3 4" xfId="12601"/>
    <cellStyle name="20% - Accent4 2 4 3 4 2" xfId="18135"/>
    <cellStyle name="20% - Accent4 2 4 3 4 2 2" xfId="46996"/>
    <cellStyle name="20% - Accent4 2 4 3 4 3" xfId="41462"/>
    <cellStyle name="20% - Accent4 2 4 3 5" xfId="15455"/>
    <cellStyle name="20% - Accent4 2 4 3 5 2" xfId="44316"/>
    <cellStyle name="20% - Accent4 2 4 3 6" xfId="29680"/>
    <cellStyle name="20% - Accent4 2 4 4" xfId="1024"/>
    <cellStyle name="20% - Accent4 2 4 4 2" xfId="3911"/>
    <cellStyle name="20% - Accent4 2 4 4 2 2" xfId="9952"/>
    <cellStyle name="20% - Accent4 2 4 4 2 2 2" xfId="26999"/>
    <cellStyle name="20% - Accent4 2 4 4 2 2 2 2" xfId="55860"/>
    <cellStyle name="20% - Accent4 2 4 4 2 2 3" xfId="38813"/>
    <cellStyle name="20% - Accent4 2 4 4 2 3" xfId="21021"/>
    <cellStyle name="20% - Accent4 2 4 4 2 3 2" xfId="49882"/>
    <cellStyle name="20% - Accent4 2 4 4 2 4" xfId="32772"/>
    <cellStyle name="20% - Accent4 2 4 4 3" xfId="7066"/>
    <cellStyle name="20% - Accent4 2 4 4 3 2" xfId="24113"/>
    <cellStyle name="20% - Accent4 2 4 4 3 2 2" xfId="52974"/>
    <cellStyle name="20% - Accent4 2 4 4 3 3" xfId="35927"/>
    <cellStyle name="20% - Accent4 2 4 4 4" xfId="13895"/>
    <cellStyle name="20% - Accent4 2 4 4 4 2" xfId="18341"/>
    <cellStyle name="20% - Accent4 2 4 4 4 2 2" xfId="47202"/>
    <cellStyle name="20% - Accent4 2 4 4 4 3" xfId="42756"/>
    <cellStyle name="20% - Accent4 2 4 4 5" xfId="15661"/>
    <cellStyle name="20% - Accent4 2 4 4 5 2" xfId="44522"/>
    <cellStyle name="20% - Accent4 2 4 4 6" xfId="29886"/>
    <cellStyle name="20% - Accent4 2 4 5" xfId="1230"/>
    <cellStyle name="20% - Accent4 2 4 5 2" xfId="4117"/>
    <cellStyle name="20% - Accent4 2 4 5 2 2" xfId="10158"/>
    <cellStyle name="20% - Accent4 2 4 5 2 2 2" xfId="27205"/>
    <cellStyle name="20% - Accent4 2 4 5 2 2 2 2" xfId="56066"/>
    <cellStyle name="20% - Accent4 2 4 5 2 2 3" xfId="39019"/>
    <cellStyle name="20% - Accent4 2 4 5 2 3" xfId="21227"/>
    <cellStyle name="20% - Accent4 2 4 5 2 3 2" xfId="50088"/>
    <cellStyle name="20% - Accent4 2 4 5 2 4" xfId="32978"/>
    <cellStyle name="20% - Accent4 2 4 5 3" xfId="7272"/>
    <cellStyle name="20% - Accent4 2 4 5 3 2" xfId="24319"/>
    <cellStyle name="20% - Accent4 2 4 5 3 2 2" xfId="53180"/>
    <cellStyle name="20% - Accent4 2 4 5 3 3" xfId="36133"/>
    <cellStyle name="20% - Accent4 2 4 5 4" xfId="13379"/>
    <cellStyle name="20% - Accent4 2 4 5 4 2" xfId="18547"/>
    <cellStyle name="20% - Accent4 2 4 5 4 2 2" xfId="47408"/>
    <cellStyle name="20% - Accent4 2 4 5 4 3" xfId="42240"/>
    <cellStyle name="20% - Accent4 2 4 5 5" xfId="15867"/>
    <cellStyle name="20% - Accent4 2 4 5 5 2" xfId="44728"/>
    <cellStyle name="20% - Accent4 2 4 5 6" xfId="30092"/>
    <cellStyle name="20% - Accent4 2 4 6" xfId="1436"/>
    <cellStyle name="20% - Accent4 2 4 6 2" xfId="4323"/>
    <cellStyle name="20% - Accent4 2 4 6 2 2" xfId="10364"/>
    <cellStyle name="20% - Accent4 2 4 6 2 2 2" xfId="27411"/>
    <cellStyle name="20% - Accent4 2 4 6 2 2 2 2" xfId="56272"/>
    <cellStyle name="20% - Accent4 2 4 6 2 2 3" xfId="39225"/>
    <cellStyle name="20% - Accent4 2 4 6 2 3" xfId="21433"/>
    <cellStyle name="20% - Accent4 2 4 6 2 3 2" xfId="50294"/>
    <cellStyle name="20% - Accent4 2 4 6 2 4" xfId="33184"/>
    <cellStyle name="20% - Accent4 2 4 6 3" xfId="7478"/>
    <cellStyle name="20% - Accent4 2 4 6 3 2" xfId="24525"/>
    <cellStyle name="20% - Accent4 2 4 6 3 2 2" xfId="53386"/>
    <cellStyle name="20% - Accent4 2 4 6 3 3" xfId="36339"/>
    <cellStyle name="20% - Accent4 2 4 6 4" xfId="13178"/>
    <cellStyle name="20% - Accent4 2 4 6 4 2" xfId="18753"/>
    <cellStyle name="20% - Accent4 2 4 6 4 2 2" xfId="47614"/>
    <cellStyle name="20% - Accent4 2 4 6 4 3" xfId="42039"/>
    <cellStyle name="20% - Accent4 2 4 6 5" xfId="16073"/>
    <cellStyle name="20% - Accent4 2 4 6 5 2" xfId="44934"/>
    <cellStyle name="20% - Accent4 2 4 6 6" xfId="30298"/>
    <cellStyle name="20% - Accent4 2 4 7" xfId="1642"/>
    <cellStyle name="20% - Accent4 2 4 7 2" xfId="4529"/>
    <cellStyle name="20% - Accent4 2 4 7 2 2" xfId="10570"/>
    <cellStyle name="20% - Accent4 2 4 7 2 2 2" xfId="27617"/>
    <cellStyle name="20% - Accent4 2 4 7 2 2 2 2" xfId="56478"/>
    <cellStyle name="20% - Accent4 2 4 7 2 2 3" xfId="39431"/>
    <cellStyle name="20% - Accent4 2 4 7 2 3" xfId="21639"/>
    <cellStyle name="20% - Accent4 2 4 7 2 3 2" xfId="50500"/>
    <cellStyle name="20% - Accent4 2 4 7 2 4" xfId="33390"/>
    <cellStyle name="20% - Accent4 2 4 7 3" xfId="7684"/>
    <cellStyle name="20% - Accent4 2 4 7 3 2" xfId="24731"/>
    <cellStyle name="20% - Accent4 2 4 7 3 2 2" xfId="53592"/>
    <cellStyle name="20% - Accent4 2 4 7 3 3" xfId="36545"/>
    <cellStyle name="20% - Accent4 2 4 7 4" xfId="14171"/>
    <cellStyle name="20% - Accent4 2 4 7 4 2" xfId="18959"/>
    <cellStyle name="20% - Accent4 2 4 7 4 2 2" xfId="47820"/>
    <cellStyle name="20% - Accent4 2 4 7 4 3" xfId="43032"/>
    <cellStyle name="20% - Accent4 2 4 7 5" xfId="16279"/>
    <cellStyle name="20% - Accent4 2 4 7 5 2" xfId="45140"/>
    <cellStyle name="20% - Accent4 2 4 7 6" xfId="30504"/>
    <cellStyle name="20% - Accent4 2 4 8" xfId="1848"/>
    <cellStyle name="20% - Accent4 2 4 8 2" xfId="4735"/>
    <cellStyle name="20% - Accent4 2 4 8 2 2" xfId="10776"/>
    <cellStyle name="20% - Accent4 2 4 8 2 2 2" xfId="27823"/>
    <cellStyle name="20% - Accent4 2 4 8 2 2 2 2" xfId="56684"/>
    <cellStyle name="20% - Accent4 2 4 8 2 2 3" xfId="39637"/>
    <cellStyle name="20% - Accent4 2 4 8 2 3" xfId="21845"/>
    <cellStyle name="20% - Accent4 2 4 8 2 3 2" xfId="50706"/>
    <cellStyle name="20% - Accent4 2 4 8 2 4" xfId="33596"/>
    <cellStyle name="20% - Accent4 2 4 8 3" xfId="7890"/>
    <cellStyle name="20% - Accent4 2 4 8 3 2" xfId="24937"/>
    <cellStyle name="20% - Accent4 2 4 8 3 2 2" xfId="53798"/>
    <cellStyle name="20% - Accent4 2 4 8 3 3" xfId="36751"/>
    <cellStyle name="20% - Accent4 2 4 8 4" xfId="13986"/>
    <cellStyle name="20% - Accent4 2 4 8 4 2" xfId="19165"/>
    <cellStyle name="20% - Accent4 2 4 8 4 2 2" xfId="48026"/>
    <cellStyle name="20% - Accent4 2 4 8 4 3" xfId="42847"/>
    <cellStyle name="20% - Accent4 2 4 8 5" xfId="16485"/>
    <cellStyle name="20% - Accent4 2 4 8 5 2" xfId="45346"/>
    <cellStyle name="20% - Accent4 2 4 8 6" xfId="30710"/>
    <cellStyle name="20% - Accent4 2 4 9" xfId="2054"/>
    <cellStyle name="20% - Accent4 2 4 9 2" xfId="4941"/>
    <cellStyle name="20% - Accent4 2 4 9 2 2" xfId="10982"/>
    <cellStyle name="20% - Accent4 2 4 9 2 2 2" xfId="28029"/>
    <cellStyle name="20% - Accent4 2 4 9 2 2 2 2" xfId="56890"/>
    <cellStyle name="20% - Accent4 2 4 9 2 2 3" xfId="39843"/>
    <cellStyle name="20% - Accent4 2 4 9 2 3" xfId="22051"/>
    <cellStyle name="20% - Accent4 2 4 9 2 3 2" xfId="50912"/>
    <cellStyle name="20% - Accent4 2 4 9 2 4" xfId="33802"/>
    <cellStyle name="20% - Accent4 2 4 9 3" xfId="8096"/>
    <cellStyle name="20% - Accent4 2 4 9 3 2" xfId="25143"/>
    <cellStyle name="20% - Accent4 2 4 9 3 2 2" xfId="54004"/>
    <cellStyle name="20% - Accent4 2 4 9 3 3" xfId="36957"/>
    <cellStyle name="20% - Accent4 2 4 9 4" xfId="12144"/>
    <cellStyle name="20% - Accent4 2 4 9 4 2" xfId="19371"/>
    <cellStyle name="20% - Accent4 2 4 9 4 2 2" xfId="48232"/>
    <cellStyle name="20% - Accent4 2 4 9 4 3" xfId="41005"/>
    <cellStyle name="20% - Accent4 2 4 9 5" xfId="16691"/>
    <cellStyle name="20% - Accent4 2 4 9 5 2" xfId="45552"/>
    <cellStyle name="20% - Accent4 2 4 9 6" xfId="30916"/>
    <cellStyle name="20% - Accent4 2 5" xfId="200"/>
    <cellStyle name="20% - Accent4 2 5 2" xfId="612"/>
    <cellStyle name="20% - Accent4 2 5 2 2" xfId="3499"/>
    <cellStyle name="20% - Accent4 2 5 2 2 2" xfId="9540"/>
    <cellStyle name="20% - Accent4 2 5 2 2 2 2" xfId="26587"/>
    <cellStyle name="20% - Accent4 2 5 2 2 2 2 2" xfId="55448"/>
    <cellStyle name="20% - Accent4 2 5 2 2 2 3" xfId="38401"/>
    <cellStyle name="20% - Accent4 2 5 2 2 3" xfId="20609"/>
    <cellStyle name="20% - Accent4 2 5 2 2 3 2" xfId="49470"/>
    <cellStyle name="20% - Accent4 2 5 2 2 4" xfId="32360"/>
    <cellStyle name="20% - Accent4 2 5 2 3" xfId="6654"/>
    <cellStyle name="20% - Accent4 2 5 2 3 2" xfId="23701"/>
    <cellStyle name="20% - Accent4 2 5 2 3 2 2" xfId="52562"/>
    <cellStyle name="20% - Accent4 2 5 2 3 3" xfId="35515"/>
    <cellStyle name="20% - Accent4 2 5 2 4" xfId="13575"/>
    <cellStyle name="20% - Accent4 2 5 2 4 2" xfId="17929"/>
    <cellStyle name="20% - Accent4 2 5 2 4 2 2" xfId="46790"/>
    <cellStyle name="20% - Accent4 2 5 2 4 3" xfId="42436"/>
    <cellStyle name="20% - Accent4 2 5 2 5" xfId="15249"/>
    <cellStyle name="20% - Accent4 2 5 2 5 2" xfId="44110"/>
    <cellStyle name="20% - Accent4 2 5 2 6" xfId="29474"/>
    <cellStyle name="20% - Accent4 2 5 3" xfId="2157"/>
    <cellStyle name="20% - Accent4 2 5 3 2" xfId="5044"/>
    <cellStyle name="20% - Accent4 2 5 3 2 2" xfId="11085"/>
    <cellStyle name="20% - Accent4 2 5 3 2 2 2" xfId="28132"/>
    <cellStyle name="20% - Accent4 2 5 3 2 2 2 2" xfId="56993"/>
    <cellStyle name="20% - Accent4 2 5 3 2 2 3" xfId="39946"/>
    <cellStyle name="20% - Accent4 2 5 3 2 3" xfId="22154"/>
    <cellStyle name="20% - Accent4 2 5 3 2 3 2" xfId="51015"/>
    <cellStyle name="20% - Accent4 2 5 3 2 4" xfId="33905"/>
    <cellStyle name="20% - Accent4 2 5 3 3" xfId="8199"/>
    <cellStyle name="20% - Accent4 2 5 3 3 2" xfId="25246"/>
    <cellStyle name="20% - Accent4 2 5 3 3 2 2" xfId="54107"/>
    <cellStyle name="20% - Accent4 2 5 3 3 3" xfId="37060"/>
    <cellStyle name="20% - Accent4 2 5 3 4" xfId="13190"/>
    <cellStyle name="20% - Accent4 2 5 3 4 2" xfId="19474"/>
    <cellStyle name="20% - Accent4 2 5 3 4 2 2" xfId="48335"/>
    <cellStyle name="20% - Accent4 2 5 3 4 3" xfId="42051"/>
    <cellStyle name="20% - Accent4 2 5 3 5" xfId="16794"/>
    <cellStyle name="20% - Accent4 2 5 3 5 2" xfId="45655"/>
    <cellStyle name="20% - Accent4 2 5 3 6" xfId="31019"/>
    <cellStyle name="20% - Accent4 2 5 4" xfId="3087"/>
    <cellStyle name="20% - Accent4 2 5 4 2" xfId="9128"/>
    <cellStyle name="20% - Accent4 2 5 4 2 2" xfId="26175"/>
    <cellStyle name="20% - Accent4 2 5 4 2 2 2" xfId="55036"/>
    <cellStyle name="20% - Accent4 2 5 4 2 3" xfId="37989"/>
    <cellStyle name="20% - Accent4 2 5 4 3" xfId="20197"/>
    <cellStyle name="20% - Accent4 2 5 4 3 2" xfId="49058"/>
    <cellStyle name="20% - Accent4 2 5 4 4" xfId="31948"/>
    <cellStyle name="20% - Accent4 2 5 5" xfId="6242"/>
    <cellStyle name="20% - Accent4 2 5 5 2" xfId="23289"/>
    <cellStyle name="20% - Accent4 2 5 5 2 2" xfId="52150"/>
    <cellStyle name="20% - Accent4 2 5 5 3" xfId="35103"/>
    <cellStyle name="20% - Accent4 2 5 6" xfId="14176"/>
    <cellStyle name="20% - Accent4 2 5 6 2" xfId="17620"/>
    <cellStyle name="20% - Accent4 2 5 6 2 2" xfId="46481"/>
    <cellStyle name="20% - Accent4 2 5 6 3" xfId="43037"/>
    <cellStyle name="20% - Accent4 2 5 7" xfId="14837"/>
    <cellStyle name="20% - Accent4 2 5 7 2" xfId="43698"/>
    <cellStyle name="20% - Accent4 2 5 8" xfId="29062"/>
    <cellStyle name="20% - Accent4 2 6" xfId="406"/>
    <cellStyle name="20% - Accent4 2 6 2" xfId="3293"/>
    <cellStyle name="20% - Accent4 2 6 2 2" xfId="9334"/>
    <cellStyle name="20% - Accent4 2 6 2 2 2" xfId="26381"/>
    <cellStyle name="20% - Accent4 2 6 2 2 2 2" xfId="55242"/>
    <cellStyle name="20% - Accent4 2 6 2 2 3" xfId="38195"/>
    <cellStyle name="20% - Accent4 2 6 2 3" xfId="20403"/>
    <cellStyle name="20% - Accent4 2 6 2 3 2" xfId="49264"/>
    <cellStyle name="20% - Accent4 2 6 2 4" xfId="32154"/>
    <cellStyle name="20% - Accent4 2 6 3" xfId="6448"/>
    <cellStyle name="20% - Accent4 2 6 3 2" xfId="23495"/>
    <cellStyle name="20% - Accent4 2 6 3 2 2" xfId="52356"/>
    <cellStyle name="20% - Accent4 2 6 3 3" xfId="35309"/>
    <cellStyle name="20% - Accent4 2 6 4" xfId="14467"/>
    <cellStyle name="20% - Accent4 2 6 4 2" xfId="17723"/>
    <cellStyle name="20% - Accent4 2 6 4 2 2" xfId="46584"/>
    <cellStyle name="20% - Accent4 2 6 4 3" xfId="43328"/>
    <cellStyle name="20% - Accent4 2 6 5" xfId="15043"/>
    <cellStyle name="20% - Accent4 2 6 5 2" xfId="43904"/>
    <cellStyle name="20% - Accent4 2 6 6" xfId="29268"/>
    <cellStyle name="20% - Accent4 2 7" xfId="715"/>
    <cellStyle name="20% - Accent4 2 7 2" xfId="3602"/>
    <cellStyle name="20% - Accent4 2 7 2 2" xfId="9643"/>
    <cellStyle name="20% - Accent4 2 7 2 2 2" xfId="26690"/>
    <cellStyle name="20% - Accent4 2 7 2 2 2 2" xfId="55551"/>
    <cellStyle name="20% - Accent4 2 7 2 2 3" xfId="38504"/>
    <cellStyle name="20% - Accent4 2 7 2 3" xfId="20712"/>
    <cellStyle name="20% - Accent4 2 7 2 3 2" xfId="49573"/>
    <cellStyle name="20% - Accent4 2 7 2 4" xfId="32463"/>
    <cellStyle name="20% - Accent4 2 7 3" xfId="6757"/>
    <cellStyle name="20% - Accent4 2 7 3 2" xfId="23804"/>
    <cellStyle name="20% - Accent4 2 7 3 2 2" xfId="52665"/>
    <cellStyle name="20% - Accent4 2 7 3 3" xfId="35618"/>
    <cellStyle name="20% - Accent4 2 7 4" xfId="13936"/>
    <cellStyle name="20% - Accent4 2 7 4 2" xfId="18032"/>
    <cellStyle name="20% - Accent4 2 7 4 2 2" xfId="46893"/>
    <cellStyle name="20% - Accent4 2 7 4 3" xfId="42797"/>
    <cellStyle name="20% - Accent4 2 7 5" xfId="15352"/>
    <cellStyle name="20% - Accent4 2 7 5 2" xfId="44213"/>
    <cellStyle name="20% - Accent4 2 7 6" xfId="29577"/>
    <cellStyle name="20% - Accent4 2 8" xfId="921"/>
    <cellStyle name="20% - Accent4 2 8 2" xfId="3808"/>
    <cellStyle name="20% - Accent4 2 8 2 2" xfId="9849"/>
    <cellStyle name="20% - Accent4 2 8 2 2 2" xfId="26896"/>
    <cellStyle name="20% - Accent4 2 8 2 2 2 2" xfId="55757"/>
    <cellStyle name="20% - Accent4 2 8 2 2 3" xfId="38710"/>
    <cellStyle name="20% - Accent4 2 8 2 3" xfId="20918"/>
    <cellStyle name="20% - Accent4 2 8 2 3 2" xfId="49779"/>
    <cellStyle name="20% - Accent4 2 8 2 4" xfId="32669"/>
    <cellStyle name="20% - Accent4 2 8 3" xfId="6963"/>
    <cellStyle name="20% - Accent4 2 8 3 2" xfId="24010"/>
    <cellStyle name="20% - Accent4 2 8 3 2 2" xfId="52871"/>
    <cellStyle name="20% - Accent4 2 8 3 3" xfId="35824"/>
    <cellStyle name="20% - Accent4 2 8 4" xfId="12462"/>
    <cellStyle name="20% - Accent4 2 8 4 2" xfId="18238"/>
    <cellStyle name="20% - Accent4 2 8 4 2 2" xfId="47099"/>
    <cellStyle name="20% - Accent4 2 8 4 3" xfId="41323"/>
    <cellStyle name="20% - Accent4 2 8 5" xfId="15558"/>
    <cellStyle name="20% - Accent4 2 8 5 2" xfId="44419"/>
    <cellStyle name="20% - Accent4 2 8 6" xfId="29783"/>
    <cellStyle name="20% - Accent4 2 9" xfId="1127"/>
    <cellStyle name="20% - Accent4 2 9 2" xfId="4014"/>
    <cellStyle name="20% - Accent4 2 9 2 2" xfId="10055"/>
    <cellStyle name="20% - Accent4 2 9 2 2 2" xfId="27102"/>
    <cellStyle name="20% - Accent4 2 9 2 2 2 2" xfId="55963"/>
    <cellStyle name="20% - Accent4 2 9 2 2 3" xfId="38916"/>
    <cellStyle name="20% - Accent4 2 9 2 3" xfId="21124"/>
    <cellStyle name="20% - Accent4 2 9 2 3 2" xfId="49985"/>
    <cellStyle name="20% - Accent4 2 9 2 4" xfId="32875"/>
    <cellStyle name="20% - Accent4 2 9 3" xfId="7169"/>
    <cellStyle name="20% - Accent4 2 9 3 2" xfId="24216"/>
    <cellStyle name="20% - Accent4 2 9 3 2 2" xfId="53077"/>
    <cellStyle name="20% - Accent4 2 9 3 3" xfId="36030"/>
    <cellStyle name="20% - Accent4 2 9 4" xfId="12470"/>
    <cellStyle name="20% - Accent4 2 9 4 2" xfId="18444"/>
    <cellStyle name="20% - Accent4 2 9 4 2 2" xfId="47305"/>
    <cellStyle name="20% - Accent4 2 9 4 3" xfId="41331"/>
    <cellStyle name="20% - Accent4 2 9 5" xfId="15764"/>
    <cellStyle name="20% - Accent4 2 9 5 2" xfId="44625"/>
    <cellStyle name="20% - Accent4 2 9 6" xfId="29989"/>
    <cellStyle name="20% - Accent4 20" xfId="5867"/>
    <cellStyle name="20% - Accent4 20 2" xfId="22966"/>
    <cellStyle name="20% - Accent4 20 2 2" xfId="51827"/>
    <cellStyle name="20% - Accent4 20 3" xfId="34728"/>
    <cellStyle name="20% - Accent4 21" xfId="6125"/>
    <cellStyle name="20% - Accent4 21 2" xfId="23172"/>
    <cellStyle name="20% - Accent4 21 2 2" xfId="52033"/>
    <cellStyle name="20% - Accent4 21 3" xfId="34986"/>
    <cellStyle name="20% - Accent4 22" xfId="14514"/>
    <cellStyle name="20% - Accent4 22 2" xfId="43375"/>
    <cellStyle name="20% - Accent4 23" xfId="28945"/>
    <cellStyle name="20% - Accent4 3" xfId="110"/>
    <cellStyle name="20% - Accent4 3 10" xfId="1758"/>
    <cellStyle name="20% - Accent4 3 10 2" xfId="4645"/>
    <cellStyle name="20% - Accent4 3 10 2 2" xfId="10686"/>
    <cellStyle name="20% - Accent4 3 10 2 2 2" xfId="27733"/>
    <cellStyle name="20% - Accent4 3 10 2 2 2 2" xfId="56594"/>
    <cellStyle name="20% - Accent4 3 10 2 2 3" xfId="39547"/>
    <cellStyle name="20% - Accent4 3 10 2 3" xfId="21755"/>
    <cellStyle name="20% - Accent4 3 10 2 3 2" xfId="50616"/>
    <cellStyle name="20% - Accent4 3 10 2 4" xfId="33506"/>
    <cellStyle name="20% - Accent4 3 10 3" xfId="7800"/>
    <cellStyle name="20% - Accent4 3 10 3 2" xfId="24847"/>
    <cellStyle name="20% - Accent4 3 10 3 2 2" xfId="53708"/>
    <cellStyle name="20% - Accent4 3 10 3 3" xfId="36661"/>
    <cellStyle name="20% - Accent4 3 10 4" xfId="12669"/>
    <cellStyle name="20% - Accent4 3 10 4 2" xfId="19075"/>
    <cellStyle name="20% - Accent4 3 10 4 2 2" xfId="47936"/>
    <cellStyle name="20% - Accent4 3 10 4 3" xfId="41530"/>
    <cellStyle name="20% - Accent4 3 10 5" xfId="16395"/>
    <cellStyle name="20% - Accent4 3 10 5 2" xfId="45256"/>
    <cellStyle name="20% - Accent4 3 10 6" xfId="30620"/>
    <cellStyle name="20% - Accent4 3 11" xfId="1964"/>
    <cellStyle name="20% - Accent4 3 11 2" xfId="4851"/>
    <cellStyle name="20% - Accent4 3 11 2 2" xfId="10892"/>
    <cellStyle name="20% - Accent4 3 11 2 2 2" xfId="27939"/>
    <cellStyle name="20% - Accent4 3 11 2 2 2 2" xfId="56800"/>
    <cellStyle name="20% - Accent4 3 11 2 2 3" xfId="39753"/>
    <cellStyle name="20% - Accent4 3 11 2 3" xfId="21961"/>
    <cellStyle name="20% - Accent4 3 11 2 3 2" xfId="50822"/>
    <cellStyle name="20% - Accent4 3 11 2 4" xfId="33712"/>
    <cellStyle name="20% - Accent4 3 11 3" xfId="8006"/>
    <cellStyle name="20% - Accent4 3 11 3 2" xfId="25053"/>
    <cellStyle name="20% - Accent4 3 11 3 2 2" xfId="53914"/>
    <cellStyle name="20% - Accent4 3 11 3 3" xfId="36867"/>
    <cellStyle name="20% - Accent4 3 11 4" xfId="13842"/>
    <cellStyle name="20% - Accent4 3 11 4 2" xfId="19281"/>
    <cellStyle name="20% - Accent4 3 11 4 2 2" xfId="48142"/>
    <cellStyle name="20% - Accent4 3 11 4 3" xfId="42703"/>
    <cellStyle name="20% - Accent4 3 11 5" xfId="16601"/>
    <cellStyle name="20% - Accent4 3 11 5 2" xfId="45462"/>
    <cellStyle name="20% - Accent4 3 11 6" xfId="30826"/>
    <cellStyle name="20% - Accent4 3 12" xfId="2376"/>
    <cellStyle name="20% - Accent4 3 12 2" xfId="5263"/>
    <cellStyle name="20% - Accent4 3 12 2 2" xfId="11304"/>
    <cellStyle name="20% - Accent4 3 12 2 2 2" xfId="28351"/>
    <cellStyle name="20% - Accent4 3 12 2 2 2 2" xfId="57212"/>
    <cellStyle name="20% - Accent4 3 12 2 2 3" xfId="40165"/>
    <cellStyle name="20% - Accent4 3 12 2 3" xfId="22373"/>
    <cellStyle name="20% - Accent4 3 12 2 3 2" xfId="51234"/>
    <cellStyle name="20% - Accent4 3 12 2 4" xfId="34124"/>
    <cellStyle name="20% - Accent4 3 12 3" xfId="8418"/>
    <cellStyle name="20% - Accent4 3 12 3 2" xfId="25465"/>
    <cellStyle name="20% - Accent4 3 12 3 2 2" xfId="54326"/>
    <cellStyle name="20% - Accent4 3 12 3 3" xfId="37279"/>
    <cellStyle name="20% - Accent4 3 12 4" xfId="13636"/>
    <cellStyle name="20% - Accent4 3 12 4 2" xfId="19693"/>
    <cellStyle name="20% - Accent4 3 12 4 2 2" xfId="48554"/>
    <cellStyle name="20% - Accent4 3 12 4 3" xfId="42497"/>
    <cellStyle name="20% - Accent4 3 12 5" xfId="17013"/>
    <cellStyle name="20% - Accent4 3 12 5 2" xfId="45874"/>
    <cellStyle name="20% - Accent4 3 12 6" xfId="31238"/>
    <cellStyle name="20% - Accent4 3 13" xfId="2585"/>
    <cellStyle name="20% - Accent4 3 13 2" xfId="5471"/>
    <cellStyle name="20% - Accent4 3 13 2 2" xfId="11512"/>
    <cellStyle name="20% - Accent4 3 13 2 2 2" xfId="28559"/>
    <cellStyle name="20% - Accent4 3 13 2 2 2 2" xfId="57420"/>
    <cellStyle name="20% - Accent4 3 13 2 2 3" xfId="40373"/>
    <cellStyle name="20% - Accent4 3 13 2 3" xfId="22581"/>
    <cellStyle name="20% - Accent4 3 13 2 3 2" xfId="51442"/>
    <cellStyle name="20% - Accent4 3 13 2 4" xfId="34332"/>
    <cellStyle name="20% - Accent4 3 13 3" xfId="8626"/>
    <cellStyle name="20% - Accent4 3 13 3 2" xfId="25673"/>
    <cellStyle name="20% - Accent4 3 13 3 2 2" xfId="54534"/>
    <cellStyle name="20% - Accent4 3 13 3 3" xfId="37487"/>
    <cellStyle name="20% - Accent4 3 13 4" xfId="14002"/>
    <cellStyle name="20% - Accent4 3 13 4 2" xfId="19901"/>
    <cellStyle name="20% - Accent4 3 13 4 2 2" xfId="48762"/>
    <cellStyle name="20% - Accent4 3 13 4 3" xfId="42863"/>
    <cellStyle name="20% - Accent4 3 13 5" xfId="17221"/>
    <cellStyle name="20% - Accent4 3 13 5 2" xfId="46082"/>
    <cellStyle name="20% - Accent4 3 13 6" xfId="31446"/>
    <cellStyle name="20% - Accent4 3 14" xfId="2997"/>
    <cellStyle name="20% - Accent4 3 14 2" xfId="9038"/>
    <cellStyle name="20% - Accent4 3 14 2 2" xfId="26085"/>
    <cellStyle name="20% - Accent4 3 14 2 2 2" xfId="54946"/>
    <cellStyle name="20% - Accent4 3 14 2 3" xfId="37899"/>
    <cellStyle name="20% - Accent4 3 14 3" xfId="12360"/>
    <cellStyle name="20% - Accent4 3 14 3 2" xfId="20107"/>
    <cellStyle name="20% - Accent4 3 14 3 2 2" xfId="48968"/>
    <cellStyle name="20% - Accent4 3 14 3 3" xfId="41221"/>
    <cellStyle name="20% - Accent4 3 14 4" xfId="14747"/>
    <cellStyle name="20% - Accent4 3 14 4 2" xfId="43608"/>
    <cellStyle name="20% - Accent4 3 14 5" xfId="31858"/>
    <cellStyle name="20% - Accent4 3 15" xfId="2791"/>
    <cellStyle name="20% - Accent4 3 15 2" xfId="8832"/>
    <cellStyle name="20% - Accent4 3 15 2 2" xfId="25879"/>
    <cellStyle name="20% - Accent4 3 15 2 2 2" xfId="54740"/>
    <cellStyle name="20% - Accent4 3 15 2 3" xfId="37693"/>
    <cellStyle name="20% - Accent4 3 15 3" xfId="17427"/>
    <cellStyle name="20% - Accent4 3 15 3 2" xfId="46288"/>
    <cellStyle name="20% - Accent4 3 15 4" xfId="31652"/>
    <cellStyle name="20% - Accent4 3 16" xfId="5677"/>
    <cellStyle name="20% - Accent4 3 16 2" xfId="11718"/>
    <cellStyle name="20% - Accent4 3 16 2 2" xfId="28765"/>
    <cellStyle name="20% - Accent4 3 16 2 2 2" xfId="57626"/>
    <cellStyle name="20% - Accent4 3 16 2 3" xfId="40579"/>
    <cellStyle name="20% - Accent4 3 16 3" xfId="22787"/>
    <cellStyle name="20% - Accent4 3 16 3 2" xfId="51648"/>
    <cellStyle name="20% - Accent4 3 16 4" xfId="34538"/>
    <cellStyle name="20% - Accent4 3 17" xfId="5894"/>
    <cellStyle name="20% - Accent4 3 17 2" xfId="22993"/>
    <cellStyle name="20% - Accent4 3 17 2 2" xfId="51854"/>
    <cellStyle name="20% - Accent4 3 17 3" xfId="34755"/>
    <cellStyle name="20% - Accent4 3 18" xfId="6152"/>
    <cellStyle name="20% - Accent4 3 18 2" xfId="23199"/>
    <cellStyle name="20% - Accent4 3 18 2 2" xfId="52060"/>
    <cellStyle name="20% - Accent4 3 18 3" xfId="35013"/>
    <cellStyle name="20% - Accent4 3 19" xfId="14541"/>
    <cellStyle name="20% - Accent4 3 19 2" xfId="43402"/>
    <cellStyle name="20% - Accent4 3 2" xfId="316"/>
    <cellStyle name="20% - Accent4 3 2 10" xfId="2479"/>
    <cellStyle name="20% - Accent4 3 2 10 2" xfId="5366"/>
    <cellStyle name="20% - Accent4 3 2 10 2 2" xfId="11407"/>
    <cellStyle name="20% - Accent4 3 2 10 2 2 2" xfId="28454"/>
    <cellStyle name="20% - Accent4 3 2 10 2 2 2 2" xfId="57315"/>
    <cellStyle name="20% - Accent4 3 2 10 2 2 3" xfId="40268"/>
    <cellStyle name="20% - Accent4 3 2 10 2 3" xfId="22476"/>
    <cellStyle name="20% - Accent4 3 2 10 2 3 2" xfId="51337"/>
    <cellStyle name="20% - Accent4 3 2 10 2 4" xfId="34227"/>
    <cellStyle name="20% - Accent4 3 2 10 3" xfId="8521"/>
    <cellStyle name="20% - Accent4 3 2 10 3 2" xfId="25568"/>
    <cellStyle name="20% - Accent4 3 2 10 3 2 2" xfId="54429"/>
    <cellStyle name="20% - Accent4 3 2 10 3 3" xfId="37382"/>
    <cellStyle name="20% - Accent4 3 2 10 4" xfId="13806"/>
    <cellStyle name="20% - Accent4 3 2 10 4 2" xfId="19796"/>
    <cellStyle name="20% - Accent4 3 2 10 4 2 2" xfId="48657"/>
    <cellStyle name="20% - Accent4 3 2 10 4 3" xfId="42667"/>
    <cellStyle name="20% - Accent4 3 2 10 5" xfId="17116"/>
    <cellStyle name="20% - Accent4 3 2 10 5 2" xfId="45977"/>
    <cellStyle name="20% - Accent4 3 2 10 6" xfId="31341"/>
    <cellStyle name="20% - Accent4 3 2 11" xfId="2688"/>
    <cellStyle name="20% - Accent4 3 2 11 2" xfId="5574"/>
    <cellStyle name="20% - Accent4 3 2 11 2 2" xfId="11615"/>
    <cellStyle name="20% - Accent4 3 2 11 2 2 2" xfId="28662"/>
    <cellStyle name="20% - Accent4 3 2 11 2 2 2 2" xfId="57523"/>
    <cellStyle name="20% - Accent4 3 2 11 2 2 3" xfId="40476"/>
    <cellStyle name="20% - Accent4 3 2 11 2 3" xfId="22684"/>
    <cellStyle name="20% - Accent4 3 2 11 2 3 2" xfId="51545"/>
    <cellStyle name="20% - Accent4 3 2 11 2 4" xfId="34435"/>
    <cellStyle name="20% - Accent4 3 2 11 3" xfId="8729"/>
    <cellStyle name="20% - Accent4 3 2 11 3 2" xfId="25776"/>
    <cellStyle name="20% - Accent4 3 2 11 3 2 2" xfId="54637"/>
    <cellStyle name="20% - Accent4 3 2 11 3 3" xfId="37590"/>
    <cellStyle name="20% - Accent4 3 2 11 4" xfId="12515"/>
    <cellStyle name="20% - Accent4 3 2 11 4 2" xfId="20004"/>
    <cellStyle name="20% - Accent4 3 2 11 4 2 2" xfId="48865"/>
    <cellStyle name="20% - Accent4 3 2 11 4 3" xfId="41376"/>
    <cellStyle name="20% - Accent4 3 2 11 5" xfId="17324"/>
    <cellStyle name="20% - Accent4 3 2 11 5 2" xfId="46185"/>
    <cellStyle name="20% - Accent4 3 2 11 6" xfId="31549"/>
    <cellStyle name="20% - Accent4 3 2 12" xfId="3203"/>
    <cellStyle name="20% - Accent4 3 2 12 2" xfId="9244"/>
    <cellStyle name="20% - Accent4 3 2 12 2 2" xfId="26291"/>
    <cellStyle name="20% - Accent4 3 2 12 2 2 2" xfId="55152"/>
    <cellStyle name="20% - Accent4 3 2 12 2 3" xfId="38105"/>
    <cellStyle name="20% - Accent4 3 2 12 3" xfId="12831"/>
    <cellStyle name="20% - Accent4 3 2 12 3 2" xfId="20313"/>
    <cellStyle name="20% - Accent4 3 2 12 3 2 2" xfId="49174"/>
    <cellStyle name="20% - Accent4 3 2 12 3 3" xfId="41692"/>
    <cellStyle name="20% - Accent4 3 2 12 4" xfId="14953"/>
    <cellStyle name="20% - Accent4 3 2 12 4 2" xfId="43814"/>
    <cellStyle name="20% - Accent4 3 2 12 5" xfId="32064"/>
    <cellStyle name="20% - Accent4 3 2 13" xfId="2894"/>
    <cellStyle name="20% - Accent4 3 2 13 2" xfId="8935"/>
    <cellStyle name="20% - Accent4 3 2 13 2 2" xfId="25982"/>
    <cellStyle name="20% - Accent4 3 2 13 2 2 2" xfId="54843"/>
    <cellStyle name="20% - Accent4 3 2 13 2 3" xfId="37796"/>
    <cellStyle name="20% - Accent4 3 2 13 3" xfId="17530"/>
    <cellStyle name="20% - Accent4 3 2 13 3 2" xfId="46391"/>
    <cellStyle name="20% - Accent4 3 2 13 4" xfId="31755"/>
    <cellStyle name="20% - Accent4 3 2 14" xfId="5780"/>
    <cellStyle name="20% - Accent4 3 2 14 2" xfId="11821"/>
    <cellStyle name="20% - Accent4 3 2 14 2 2" xfId="28868"/>
    <cellStyle name="20% - Accent4 3 2 14 2 2 2" xfId="57729"/>
    <cellStyle name="20% - Accent4 3 2 14 2 3" xfId="40682"/>
    <cellStyle name="20% - Accent4 3 2 14 3" xfId="22890"/>
    <cellStyle name="20% - Accent4 3 2 14 3 2" xfId="51751"/>
    <cellStyle name="20% - Accent4 3 2 14 4" xfId="34641"/>
    <cellStyle name="20% - Accent4 3 2 15" xfId="5997"/>
    <cellStyle name="20% - Accent4 3 2 15 2" xfId="23096"/>
    <cellStyle name="20% - Accent4 3 2 15 2 2" xfId="51957"/>
    <cellStyle name="20% - Accent4 3 2 15 3" xfId="34858"/>
    <cellStyle name="20% - Accent4 3 2 16" xfId="6358"/>
    <cellStyle name="20% - Accent4 3 2 16 2" xfId="23405"/>
    <cellStyle name="20% - Accent4 3 2 16 2 2" xfId="52266"/>
    <cellStyle name="20% - Accent4 3 2 16 3" xfId="35219"/>
    <cellStyle name="20% - Accent4 3 2 17" xfId="14644"/>
    <cellStyle name="20% - Accent4 3 2 17 2" xfId="43505"/>
    <cellStyle name="20% - Accent4 3 2 18" xfId="29178"/>
    <cellStyle name="20% - Accent4 3 2 2" xfId="522"/>
    <cellStyle name="20% - Accent4 3 2 2 2" xfId="2273"/>
    <cellStyle name="20% - Accent4 3 2 2 2 2" xfId="5160"/>
    <cellStyle name="20% - Accent4 3 2 2 2 2 2" xfId="11201"/>
    <cellStyle name="20% - Accent4 3 2 2 2 2 2 2" xfId="28248"/>
    <cellStyle name="20% - Accent4 3 2 2 2 2 2 2 2" xfId="57109"/>
    <cellStyle name="20% - Accent4 3 2 2 2 2 2 3" xfId="40062"/>
    <cellStyle name="20% - Accent4 3 2 2 2 2 3" xfId="22270"/>
    <cellStyle name="20% - Accent4 3 2 2 2 2 3 2" xfId="51131"/>
    <cellStyle name="20% - Accent4 3 2 2 2 2 4" xfId="34021"/>
    <cellStyle name="20% - Accent4 3 2 2 2 3" xfId="8315"/>
    <cellStyle name="20% - Accent4 3 2 2 2 3 2" xfId="25362"/>
    <cellStyle name="20% - Accent4 3 2 2 2 3 2 2" xfId="54223"/>
    <cellStyle name="20% - Accent4 3 2 2 2 3 3" xfId="37176"/>
    <cellStyle name="20% - Accent4 3 2 2 2 4" xfId="12159"/>
    <cellStyle name="20% - Accent4 3 2 2 2 4 2" xfId="19590"/>
    <cellStyle name="20% - Accent4 3 2 2 2 4 2 2" xfId="48451"/>
    <cellStyle name="20% - Accent4 3 2 2 2 4 3" xfId="41020"/>
    <cellStyle name="20% - Accent4 3 2 2 2 5" xfId="16910"/>
    <cellStyle name="20% - Accent4 3 2 2 2 5 2" xfId="45771"/>
    <cellStyle name="20% - Accent4 3 2 2 2 6" xfId="31135"/>
    <cellStyle name="20% - Accent4 3 2 2 3" xfId="3409"/>
    <cellStyle name="20% - Accent4 3 2 2 3 2" xfId="9450"/>
    <cellStyle name="20% - Accent4 3 2 2 3 2 2" xfId="26497"/>
    <cellStyle name="20% - Accent4 3 2 2 3 2 2 2" xfId="55358"/>
    <cellStyle name="20% - Accent4 3 2 2 3 2 3" xfId="38311"/>
    <cellStyle name="20% - Accent4 3 2 2 3 3" xfId="20519"/>
    <cellStyle name="20% - Accent4 3 2 2 3 3 2" xfId="49380"/>
    <cellStyle name="20% - Accent4 3 2 2 3 4" xfId="32270"/>
    <cellStyle name="20% - Accent4 3 2 2 4" xfId="6564"/>
    <cellStyle name="20% - Accent4 3 2 2 4 2" xfId="23611"/>
    <cellStyle name="20% - Accent4 3 2 2 4 2 2" xfId="52472"/>
    <cellStyle name="20% - Accent4 3 2 2 4 3" xfId="35425"/>
    <cellStyle name="20% - Accent4 3 2 2 5" xfId="14030"/>
    <cellStyle name="20% - Accent4 3 2 2 5 2" xfId="17839"/>
    <cellStyle name="20% - Accent4 3 2 2 5 2 2" xfId="46700"/>
    <cellStyle name="20% - Accent4 3 2 2 5 3" xfId="42891"/>
    <cellStyle name="20% - Accent4 3 2 2 6" xfId="15159"/>
    <cellStyle name="20% - Accent4 3 2 2 6 2" xfId="44020"/>
    <cellStyle name="20% - Accent4 3 2 2 7" xfId="29384"/>
    <cellStyle name="20% - Accent4 3 2 3" xfId="831"/>
    <cellStyle name="20% - Accent4 3 2 3 2" xfId="3718"/>
    <cellStyle name="20% - Accent4 3 2 3 2 2" xfId="9759"/>
    <cellStyle name="20% - Accent4 3 2 3 2 2 2" xfId="26806"/>
    <cellStyle name="20% - Accent4 3 2 3 2 2 2 2" xfId="55667"/>
    <cellStyle name="20% - Accent4 3 2 3 2 2 3" xfId="38620"/>
    <cellStyle name="20% - Accent4 3 2 3 2 3" xfId="20828"/>
    <cellStyle name="20% - Accent4 3 2 3 2 3 2" xfId="49689"/>
    <cellStyle name="20% - Accent4 3 2 3 2 4" xfId="32579"/>
    <cellStyle name="20% - Accent4 3 2 3 3" xfId="6873"/>
    <cellStyle name="20% - Accent4 3 2 3 3 2" xfId="23920"/>
    <cellStyle name="20% - Accent4 3 2 3 3 2 2" xfId="52781"/>
    <cellStyle name="20% - Accent4 3 2 3 3 3" xfId="35734"/>
    <cellStyle name="20% - Accent4 3 2 3 4" xfId="14316"/>
    <cellStyle name="20% - Accent4 3 2 3 4 2" xfId="18148"/>
    <cellStyle name="20% - Accent4 3 2 3 4 2 2" xfId="47009"/>
    <cellStyle name="20% - Accent4 3 2 3 4 3" xfId="43177"/>
    <cellStyle name="20% - Accent4 3 2 3 5" xfId="15468"/>
    <cellStyle name="20% - Accent4 3 2 3 5 2" xfId="44329"/>
    <cellStyle name="20% - Accent4 3 2 3 6" xfId="29693"/>
    <cellStyle name="20% - Accent4 3 2 4" xfId="1037"/>
    <cellStyle name="20% - Accent4 3 2 4 2" xfId="3924"/>
    <cellStyle name="20% - Accent4 3 2 4 2 2" xfId="9965"/>
    <cellStyle name="20% - Accent4 3 2 4 2 2 2" xfId="27012"/>
    <cellStyle name="20% - Accent4 3 2 4 2 2 2 2" xfId="55873"/>
    <cellStyle name="20% - Accent4 3 2 4 2 2 3" xfId="38826"/>
    <cellStyle name="20% - Accent4 3 2 4 2 3" xfId="21034"/>
    <cellStyle name="20% - Accent4 3 2 4 2 3 2" xfId="49895"/>
    <cellStyle name="20% - Accent4 3 2 4 2 4" xfId="32785"/>
    <cellStyle name="20% - Accent4 3 2 4 3" xfId="7079"/>
    <cellStyle name="20% - Accent4 3 2 4 3 2" xfId="24126"/>
    <cellStyle name="20% - Accent4 3 2 4 3 2 2" xfId="52987"/>
    <cellStyle name="20% - Accent4 3 2 4 3 3" xfId="35940"/>
    <cellStyle name="20% - Accent4 3 2 4 4" xfId="12810"/>
    <cellStyle name="20% - Accent4 3 2 4 4 2" xfId="18354"/>
    <cellStyle name="20% - Accent4 3 2 4 4 2 2" xfId="47215"/>
    <cellStyle name="20% - Accent4 3 2 4 4 3" xfId="41671"/>
    <cellStyle name="20% - Accent4 3 2 4 5" xfId="15674"/>
    <cellStyle name="20% - Accent4 3 2 4 5 2" xfId="44535"/>
    <cellStyle name="20% - Accent4 3 2 4 6" xfId="29899"/>
    <cellStyle name="20% - Accent4 3 2 5" xfId="1243"/>
    <cellStyle name="20% - Accent4 3 2 5 2" xfId="4130"/>
    <cellStyle name="20% - Accent4 3 2 5 2 2" xfId="10171"/>
    <cellStyle name="20% - Accent4 3 2 5 2 2 2" xfId="27218"/>
    <cellStyle name="20% - Accent4 3 2 5 2 2 2 2" xfId="56079"/>
    <cellStyle name="20% - Accent4 3 2 5 2 2 3" xfId="39032"/>
    <cellStyle name="20% - Accent4 3 2 5 2 3" xfId="21240"/>
    <cellStyle name="20% - Accent4 3 2 5 2 3 2" xfId="50101"/>
    <cellStyle name="20% - Accent4 3 2 5 2 4" xfId="32991"/>
    <cellStyle name="20% - Accent4 3 2 5 3" xfId="7285"/>
    <cellStyle name="20% - Accent4 3 2 5 3 2" xfId="24332"/>
    <cellStyle name="20% - Accent4 3 2 5 3 2 2" xfId="53193"/>
    <cellStyle name="20% - Accent4 3 2 5 3 3" xfId="36146"/>
    <cellStyle name="20% - Accent4 3 2 5 4" xfId="13797"/>
    <cellStyle name="20% - Accent4 3 2 5 4 2" xfId="18560"/>
    <cellStyle name="20% - Accent4 3 2 5 4 2 2" xfId="47421"/>
    <cellStyle name="20% - Accent4 3 2 5 4 3" xfId="42658"/>
    <cellStyle name="20% - Accent4 3 2 5 5" xfId="15880"/>
    <cellStyle name="20% - Accent4 3 2 5 5 2" xfId="44741"/>
    <cellStyle name="20% - Accent4 3 2 5 6" xfId="30105"/>
    <cellStyle name="20% - Accent4 3 2 6" xfId="1449"/>
    <cellStyle name="20% - Accent4 3 2 6 2" xfId="4336"/>
    <cellStyle name="20% - Accent4 3 2 6 2 2" xfId="10377"/>
    <cellStyle name="20% - Accent4 3 2 6 2 2 2" xfId="27424"/>
    <cellStyle name="20% - Accent4 3 2 6 2 2 2 2" xfId="56285"/>
    <cellStyle name="20% - Accent4 3 2 6 2 2 3" xfId="39238"/>
    <cellStyle name="20% - Accent4 3 2 6 2 3" xfId="21446"/>
    <cellStyle name="20% - Accent4 3 2 6 2 3 2" xfId="50307"/>
    <cellStyle name="20% - Accent4 3 2 6 2 4" xfId="33197"/>
    <cellStyle name="20% - Accent4 3 2 6 3" xfId="7491"/>
    <cellStyle name="20% - Accent4 3 2 6 3 2" xfId="24538"/>
    <cellStyle name="20% - Accent4 3 2 6 3 2 2" xfId="53399"/>
    <cellStyle name="20% - Accent4 3 2 6 3 3" xfId="36352"/>
    <cellStyle name="20% - Accent4 3 2 6 4" xfId="13498"/>
    <cellStyle name="20% - Accent4 3 2 6 4 2" xfId="18766"/>
    <cellStyle name="20% - Accent4 3 2 6 4 2 2" xfId="47627"/>
    <cellStyle name="20% - Accent4 3 2 6 4 3" xfId="42359"/>
    <cellStyle name="20% - Accent4 3 2 6 5" xfId="16086"/>
    <cellStyle name="20% - Accent4 3 2 6 5 2" xfId="44947"/>
    <cellStyle name="20% - Accent4 3 2 6 6" xfId="30311"/>
    <cellStyle name="20% - Accent4 3 2 7" xfId="1655"/>
    <cellStyle name="20% - Accent4 3 2 7 2" xfId="4542"/>
    <cellStyle name="20% - Accent4 3 2 7 2 2" xfId="10583"/>
    <cellStyle name="20% - Accent4 3 2 7 2 2 2" xfId="27630"/>
    <cellStyle name="20% - Accent4 3 2 7 2 2 2 2" xfId="56491"/>
    <cellStyle name="20% - Accent4 3 2 7 2 2 3" xfId="39444"/>
    <cellStyle name="20% - Accent4 3 2 7 2 3" xfId="21652"/>
    <cellStyle name="20% - Accent4 3 2 7 2 3 2" xfId="50513"/>
    <cellStyle name="20% - Accent4 3 2 7 2 4" xfId="33403"/>
    <cellStyle name="20% - Accent4 3 2 7 3" xfId="7697"/>
    <cellStyle name="20% - Accent4 3 2 7 3 2" xfId="24744"/>
    <cellStyle name="20% - Accent4 3 2 7 3 2 2" xfId="53605"/>
    <cellStyle name="20% - Accent4 3 2 7 3 3" xfId="36558"/>
    <cellStyle name="20% - Accent4 3 2 7 4" xfId="12447"/>
    <cellStyle name="20% - Accent4 3 2 7 4 2" xfId="18972"/>
    <cellStyle name="20% - Accent4 3 2 7 4 2 2" xfId="47833"/>
    <cellStyle name="20% - Accent4 3 2 7 4 3" xfId="41308"/>
    <cellStyle name="20% - Accent4 3 2 7 5" xfId="16292"/>
    <cellStyle name="20% - Accent4 3 2 7 5 2" xfId="45153"/>
    <cellStyle name="20% - Accent4 3 2 7 6" xfId="30517"/>
    <cellStyle name="20% - Accent4 3 2 8" xfId="1861"/>
    <cellStyle name="20% - Accent4 3 2 8 2" xfId="4748"/>
    <cellStyle name="20% - Accent4 3 2 8 2 2" xfId="10789"/>
    <cellStyle name="20% - Accent4 3 2 8 2 2 2" xfId="27836"/>
    <cellStyle name="20% - Accent4 3 2 8 2 2 2 2" xfId="56697"/>
    <cellStyle name="20% - Accent4 3 2 8 2 2 3" xfId="39650"/>
    <cellStyle name="20% - Accent4 3 2 8 2 3" xfId="21858"/>
    <cellStyle name="20% - Accent4 3 2 8 2 3 2" xfId="50719"/>
    <cellStyle name="20% - Accent4 3 2 8 2 4" xfId="33609"/>
    <cellStyle name="20% - Accent4 3 2 8 3" xfId="7903"/>
    <cellStyle name="20% - Accent4 3 2 8 3 2" xfId="24950"/>
    <cellStyle name="20% - Accent4 3 2 8 3 2 2" xfId="53811"/>
    <cellStyle name="20% - Accent4 3 2 8 3 3" xfId="36764"/>
    <cellStyle name="20% - Accent4 3 2 8 4" xfId="13236"/>
    <cellStyle name="20% - Accent4 3 2 8 4 2" xfId="19178"/>
    <cellStyle name="20% - Accent4 3 2 8 4 2 2" xfId="48039"/>
    <cellStyle name="20% - Accent4 3 2 8 4 3" xfId="42097"/>
    <cellStyle name="20% - Accent4 3 2 8 5" xfId="16498"/>
    <cellStyle name="20% - Accent4 3 2 8 5 2" xfId="45359"/>
    <cellStyle name="20% - Accent4 3 2 8 6" xfId="30723"/>
    <cellStyle name="20% - Accent4 3 2 9" xfId="2067"/>
    <cellStyle name="20% - Accent4 3 2 9 2" xfId="4954"/>
    <cellStyle name="20% - Accent4 3 2 9 2 2" xfId="10995"/>
    <cellStyle name="20% - Accent4 3 2 9 2 2 2" xfId="28042"/>
    <cellStyle name="20% - Accent4 3 2 9 2 2 2 2" xfId="56903"/>
    <cellStyle name="20% - Accent4 3 2 9 2 2 3" xfId="39856"/>
    <cellStyle name="20% - Accent4 3 2 9 2 3" xfId="22064"/>
    <cellStyle name="20% - Accent4 3 2 9 2 3 2" xfId="50925"/>
    <cellStyle name="20% - Accent4 3 2 9 2 4" xfId="33815"/>
    <cellStyle name="20% - Accent4 3 2 9 3" xfId="8109"/>
    <cellStyle name="20% - Accent4 3 2 9 3 2" xfId="25156"/>
    <cellStyle name="20% - Accent4 3 2 9 3 2 2" xfId="54017"/>
    <cellStyle name="20% - Accent4 3 2 9 3 3" xfId="36970"/>
    <cellStyle name="20% - Accent4 3 2 9 4" xfId="13064"/>
    <cellStyle name="20% - Accent4 3 2 9 4 2" xfId="19384"/>
    <cellStyle name="20% - Accent4 3 2 9 4 2 2" xfId="48245"/>
    <cellStyle name="20% - Accent4 3 2 9 4 3" xfId="41925"/>
    <cellStyle name="20% - Accent4 3 2 9 5" xfId="16704"/>
    <cellStyle name="20% - Accent4 3 2 9 5 2" xfId="45565"/>
    <cellStyle name="20% - Accent4 3 2 9 6" xfId="30929"/>
    <cellStyle name="20% - Accent4 3 20" xfId="28972"/>
    <cellStyle name="20% - Accent4 3 3" xfId="213"/>
    <cellStyle name="20% - Accent4 3 3 2" xfId="625"/>
    <cellStyle name="20% - Accent4 3 3 2 2" xfId="3512"/>
    <cellStyle name="20% - Accent4 3 3 2 2 2" xfId="9553"/>
    <cellStyle name="20% - Accent4 3 3 2 2 2 2" xfId="26600"/>
    <cellStyle name="20% - Accent4 3 3 2 2 2 2 2" xfId="55461"/>
    <cellStyle name="20% - Accent4 3 3 2 2 2 3" xfId="38414"/>
    <cellStyle name="20% - Accent4 3 3 2 2 3" xfId="20622"/>
    <cellStyle name="20% - Accent4 3 3 2 2 3 2" xfId="49483"/>
    <cellStyle name="20% - Accent4 3 3 2 2 4" xfId="32373"/>
    <cellStyle name="20% - Accent4 3 3 2 3" xfId="6667"/>
    <cellStyle name="20% - Accent4 3 3 2 3 2" xfId="23714"/>
    <cellStyle name="20% - Accent4 3 3 2 3 2 2" xfId="52575"/>
    <cellStyle name="20% - Accent4 3 3 2 3 3" xfId="35528"/>
    <cellStyle name="20% - Accent4 3 3 2 4" xfId="12475"/>
    <cellStyle name="20% - Accent4 3 3 2 4 2" xfId="17942"/>
    <cellStyle name="20% - Accent4 3 3 2 4 2 2" xfId="46803"/>
    <cellStyle name="20% - Accent4 3 3 2 4 3" xfId="41336"/>
    <cellStyle name="20% - Accent4 3 3 2 5" xfId="15262"/>
    <cellStyle name="20% - Accent4 3 3 2 5 2" xfId="44123"/>
    <cellStyle name="20% - Accent4 3 3 2 6" xfId="29487"/>
    <cellStyle name="20% - Accent4 3 3 3" xfId="2170"/>
    <cellStyle name="20% - Accent4 3 3 3 2" xfId="5057"/>
    <cellStyle name="20% - Accent4 3 3 3 2 2" xfId="11098"/>
    <cellStyle name="20% - Accent4 3 3 3 2 2 2" xfId="28145"/>
    <cellStyle name="20% - Accent4 3 3 3 2 2 2 2" xfId="57006"/>
    <cellStyle name="20% - Accent4 3 3 3 2 2 3" xfId="39959"/>
    <cellStyle name="20% - Accent4 3 3 3 2 3" xfId="22167"/>
    <cellStyle name="20% - Accent4 3 3 3 2 3 2" xfId="51028"/>
    <cellStyle name="20% - Accent4 3 3 3 2 4" xfId="33918"/>
    <cellStyle name="20% - Accent4 3 3 3 3" xfId="8212"/>
    <cellStyle name="20% - Accent4 3 3 3 3 2" xfId="25259"/>
    <cellStyle name="20% - Accent4 3 3 3 3 2 2" xfId="54120"/>
    <cellStyle name="20% - Accent4 3 3 3 3 3" xfId="37073"/>
    <cellStyle name="20% - Accent4 3 3 3 4" xfId="11909"/>
    <cellStyle name="20% - Accent4 3 3 3 4 2" xfId="19487"/>
    <cellStyle name="20% - Accent4 3 3 3 4 2 2" xfId="48348"/>
    <cellStyle name="20% - Accent4 3 3 3 4 3" xfId="40770"/>
    <cellStyle name="20% - Accent4 3 3 3 5" xfId="16807"/>
    <cellStyle name="20% - Accent4 3 3 3 5 2" xfId="45668"/>
    <cellStyle name="20% - Accent4 3 3 3 6" xfId="31032"/>
    <cellStyle name="20% - Accent4 3 3 4" xfId="3100"/>
    <cellStyle name="20% - Accent4 3 3 4 2" xfId="9141"/>
    <cellStyle name="20% - Accent4 3 3 4 2 2" xfId="26188"/>
    <cellStyle name="20% - Accent4 3 3 4 2 2 2" xfId="55049"/>
    <cellStyle name="20% - Accent4 3 3 4 2 3" xfId="38002"/>
    <cellStyle name="20% - Accent4 3 3 4 3" xfId="20210"/>
    <cellStyle name="20% - Accent4 3 3 4 3 2" xfId="49071"/>
    <cellStyle name="20% - Accent4 3 3 4 4" xfId="31961"/>
    <cellStyle name="20% - Accent4 3 3 5" xfId="6255"/>
    <cellStyle name="20% - Accent4 3 3 5 2" xfId="23302"/>
    <cellStyle name="20% - Accent4 3 3 5 2 2" xfId="52163"/>
    <cellStyle name="20% - Accent4 3 3 5 3" xfId="35116"/>
    <cellStyle name="20% - Accent4 3 3 6" xfId="12047"/>
    <cellStyle name="20% - Accent4 3 3 6 2" xfId="17633"/>
    <cellStyle name="20% - Accent4 3 3 6 2 2" xfId="46494"/>
    <cellStyle name="20% - Accent4 3 3 6 3" xfId="40908"/>
    <cellStyle name="20% - Accent4 3 3 7" xfId="14850"/>
    <cellStyle name="20% - Accent4 3 3 7 2" xfId="43711"/>
    <cellStyle name="20% - Accent4 3 3 8" xfId="29075"/>
    <cellStyle name="20% - Accent4 3 4" xfId="419"/>
    <cellStyle name="20% - Accent4 3 4 2" xfId="3306"/>
    <cellStyle name="20% - Accent4 3 4 2 2" xfId="9347"/>
    <cellStyle name="20% - Accent4 3 4 2 2 2" xfId="26394"/>
    <cellStyle name="20% - Accent4 3 4 2 2 2 2" xfId="55255"/>
    <cellStyle name="20% - Accent4 3 4 2 2 3" xfId="38208"/>
    <cellStyle name="20% - Accent4 3 4 2 3" xfId="20416"/>
    <cellStyle name="20% - Accent4 3 4 2 3 2" xfId="49277"/>
    <cellStyle name="20% - Accent4 3 4 2 4" xfId="32167"/>
    <cellStyle name="20% - Accent4 3 4 3" xfId="6461"/>
    <cellStyle name="20% - Accent4 3 4 3 2" xfId="23508"/>
    <cellStyle name="20% - Accent4 3 4 3 2 2" xfId="52369"/>
    <cellStyle name="20% - Accent4 3 4 3 3" xfId="35322"/>
    <cellStyle name="20% - Accent4 3 4 4" xfId="13003"/>
    <cellStyle name="20% - Accent4 3 4 4 2" xfId="17736"/>
    <cellStyle name="20% - Accent4 3 4 4 2 2" xfId="46597"/>
    <cellStyle name="20% - Accent4 3 4 4 3" xfId="41864"/>
    <cellStyle name="20% - Accent4 3 4 5" xfId="15056"/>
    <cellStyle name="20% - Accent4 3 4 5 2" xfId="43917"/>
    <cellStyle name="20% - Accent4 3 4 6" xfId="29281"/>
    <cellStyle name="20% - Accent4 3 5" xfId="728"/>
    <cellStyle name="20% - Accent4 3 5 2" xfId="3615"/>
    <cellStyle name="20% - Accent4 3 5 2 2" xfId="9656"/>
    <cellStyle name="20% - Accent4 3 5 2 2 2" xfId="26703"/>
    <cellStyle name="20% - Accent4 3 5 2 2 2 2" xfId="55564"/>
    <cellStyle name="20% - Accent4 3 5 2 2 3" xfId="38517"/>
    <cellStyle name="20% - Accent4 3 5 2 3" xfId="20725"/>
    <cellStyle name="20% - Accent4 3 5 2 3 2" xfId="49586"/>
    <cellStyle name="20% - Accent4 3 5 2 4" xfId="32476"/>
    <cellStyle name="20% - Accent4 3 5 3" xfId="6770"/>
    <cellStyle name="20% - Accent4 3 5 3 2" xfId="23817"/>
    <cellStyle name="20% - Accent4 3 5 3 2 2" xfId="52678"/>
    <cellStyle name="20% - Accent4 3 5 3 3" xfId="35631"/>
    <cellStyle name="20% - Accent4 3 5 4" xfId="13564"/>
    <cellStyle name="20% - Accent4 3 5 4 2" xfId="18045"/>
    <cellStyle name="20% - Accent4 3 5 4 2 2" xfId="46906"/>
    <cellStyle name="20% - Accent4 3 5 4 3" xfId="42425"/>
    <cellStyle name="20% - Accent4 3 5 5" xfId="15365"/>
    <cellStyle name="20% - Accent4 3 5 5 2" xfId="44226"/>
    <cellStyle name="20% - Accent4 3 5 6" xfId="29590"/>
    <cellStyle name="20% - Accent4 3 6" xfId="934"/>
    <cellStyle name="20% - Accent4 3 6 2" xfId="3821"/>
    <cellStyle name="20% - Accent4 3 6 2 2" xfId="9862"/>
    <cellStyle name="20% - Accent4 3 6 2 2 2" xfId="26909"/>
    <cellStyle name="20% - Accent4 3 6 2 2 2 2" xfId="55770"/>
    <cellStyle name="20% - Accent4 3 6 2 2 3" xfId="38723"/>
    <cellStyle name="20% - Accent4 3 6 2 3" xfId="20931"/>
    <cellStyle name="20% - Accent4 3 6 2 3 2" xfId="49792"/>
    <cellStyle name="20% - Accent4 3 6 2 4" xfId="32682"/>
    <cellStyle name="20% - Accent4 3 6 3" xfId="6976"/>
    <cellStyle name="20% - Accent4 3 6 3 2" xfId="24023"/>
    <cellStyle name="20% - Accent4 3 6 3 2 2" xfId="52884"/>
    <cellStyle name="20% - Accent4 3 6 3 3" xfId="35837"/>
    <cellStyle name="20% - Accent4 3 6 4" xfId="13138"/>
    <cellStyle name="20% - Accent4 3 6 4 2" xfId="18251"/>
    <cellStyle name="20% - Accent4 3 6 4 2 2" xfId="47112"/>
    <cellStyle name="20% - Accent4 3 6 4 3" xfId="41999"/>
    <cellStyle name="20% - Accent4 3 6 5" xfId="15571"/>
    <cellStyle name="20% - Accent4 3 6 5 2" xfId="44432"/>
    <cellStyle name="20% - Accent4 3 6 6" xfId="29796"/>
    <cellStyle name="20% - Accent4 3 7" xfId="1140"/>
    <cellStyle name="20% - Accent4 3 7 2" xfId="4027"/>
    <cellStyle name="20% - Accent4 3 7 2 2" xfId="10068"/>
    <cellStyle name="20% - Accent4 3 7 2 2 2" xfId="27115"/>
    <cellStyle name="20% - Accent4 3 7 2 2 2 2" xfId="55976"/>
    <cellStyle name="20% - Accent4 3 7 2 2 3" xfId="38929"/>
    <cellStyle name="20% - Accent4 3 7 2 3" xfId="21137"/>
    <cellStyle name="20% - Accent4 3 7 2 3 2" xfId="49998"/>
    <cellStyle name="20% - Accent4 3 7 2 4" xfId="32888"/>
    <cellStyle name="20% - Accent4 3 7 3" xfId="7182"/>
    <cellStyle name="20% - Accent4 3 7 3 2" xfId="24229"/>
    <cellStyle name="20% - Accent4 3 7 3 2 2" xfId="53090"/>
    <cellStyle name="20% - Accent4 3 7 3 3" xfId="36043"/>
    <cellStyle name="20% - Accent4 3 7 4" xfId="13043"/>
    <cellStyle name="20% - Accent4 3 7 4 2" xfId="18457"/>
    <cellStyle name="20% - Accent4 3 7 4 2 2" xfId="47318"/>
    <cellStyle name="20% - Accent4 3 7 4 3" xfId="41904"/>
    <cellStyle name="20% - Accent4 3 7 5" xfId="15777"/>
    <cellStyle name="20% - Accent4 3 7 5 2" xfId="44638"/>
    <cellStyle name="20% - Accent4 3 7 6" xfId="30002"/>
    <cellStyle name="20% - Accent4 3 8" xfId="1346"/>
    <cellStyle name="20% - Accent4 3 8 2" xfId="4233"/>
    <cellStyle name="20% - Accent4 3 8 2 2" xfId="10274"/>
    <cellStyle name="20% - Accent4 3 8 2 2 2" xfId="27321"/>
    <cellStyle name="20% - Accent4 3 8 2 2 2 2" xfId="56182"/>
    <cellStyle name="20% - Accent4 3 8 2 2 3" xfId="39135"/>
    <cellStyle name="20% - Accent4 3 8 2 3" xfId="21343"/>
    <cellStyle name="20% - Accent4 3 8 2 3 2" xfId="50204"/>
    <cellStyle name="20% - Accent4 3 8 2 4" xfId="33094"/>
    <cellStyle name="20% - Accent4 3 8 3" xfId="7388"/>
    <cellStyle name="20% - Accent4 3 8 3 2" xfId="24435"/>
    <cellStyle name="20% - Accent4 3 8 3 2 2" xfId="53296"/>
    <cellStyle name="20% - Accent4 3 8 3 3" xfId="36249"/>
    <cellStyle name="20% - Accent4 3 8 4" xfId="11879"/>
    <cellStyle name="20% - Accent4 3 8 4 2" xfId="18663"/>
    <cellStyle name="20% - Accent4 3 8 4 2 2" xfId="47524"/>
    <cellStyle name="20% - Accent4 3 8 4 3" xfId="40740"/>
    <cellStyle name="20% - Accent4 3 8 5" xfId="15983"/>
    <cellStyle name="20% - Accent4 3 8 5 2" xfId="44844"/>
    <cellStyle name="20% - Accent4 3 8 6" xfId="30208"/>
    <cellStyle name="20% - Accent4 3 9" xfId="1552"/>
    <cellStyle name="20% - Accent4 3 9 2" xfId="4439"/>
    <cellStyle name="20% - Accent4 3 9 2 2" xfId="10480"/>
    <cellStyle name="20% - Accent4 3 9 2 2 2" xfId="27527"/>
    <cellStyle name="20% - Accent4 3 9 2 2 2 2" xfId="56388"/>
    <cellStyle name="20% - Accent4 3 9 2 2 3" xfId="39341"/>
    <cellStyle name="20% - Accent4 3 9 2 3" xfId="21549"/>
    <cellStyle name="20% - Accent4 3 9 2 3 2" xfId="50410"/>
    <cellStyle name="20% - Accent4 3 9 2 4" xfId="33300"/>
    <cellStyle name="20% - Accent4 3 9 3" xfId="7594"/>
    <cellStyle name="20% - Accent4 3 9 3 2" xfId="24641"/>
    <cellStyle name="20% - Accent4 3 9 3 2 2" xfId="53502"/>
    <cellStyle name="20% - Accent4 3 9 3 3" xfId="36455"/>
    <cellStyle name="20% - Accent4 3 9 4" xfId="12634"/>
    <cellStyle name="20% - Accent4 3 9 4 2" xfId="18869"/>
    <cellStyle name="20% - Accent4 3 9 4 2 2" xfId="47730"/>
    <cellStyle name="20% - Accent4 3 9 4 3" xfId="41495"/>
    <cellStyle name="20% - Accent4 3 9 5" xfId="16189"/>
    <cellStyle name="20% - Accent4 3 9 5 2" xfId="45050"/>
    <cellStyle name="20% - Accent4 3 9 6" xfId="30414"/>
    <cellStyle name="20% - Accent4 4" xfId="136"/>
    <cellStyle name="20% - Accent4 4 10" xfId="1784"/>
    <cellStyle name="20% - Accent4 4 10 2" xfId="4671"/>
    <cellStyle name="20% - Accent4 4 10 2 2" xfId="10712"/>
    <cellStyle name="20% - Accent4 4 10 2 2 2" xfId="27759"/>
    <cellStyle name="20% - Accent4 4 10 2 2 2 2" xfId="56620"/>
    <cellStyle name="20% - Accent4 4 10 2 2 3" xfId="39573"/>
    <cellStyle name="20% - Accent4 4 10 2 3" xfId="21781"/>
    <cellStyle name="20% - Accent4 4 10 2 3 2" xfId="50642"/>
    <cellStyle name="20% - Accent4 4 10 2 4" xfId="33532"/>
    <cellStyle name="20% - Accent4 4 10 3" xfId="7826"/>
    <cellStyle name="20% - Accent4 4 10 3 2" xfId="24873"/>
    <cellStyle name="20% - Accent4 4 10 3 2 2" xfId="53734"/>
    <cellStyle name="20% - Accent4 4 10 3 3" xfId="36687"/>
    <cellStyle name="20% - Accent4 4 10 4" xfId="12189"/>
    <cellStyle name="20% - Accent4 4 10 4 2" xfId="19101"/>
    <cellStyle name="20% - Accent4 4 10 4 2 2" xfId="47962"/>
    <cellStyle name="20% - Accent4 4 10 4 3" xfId="41050"/>
    <cellStyle name="20% - Accent4 4 10 5" xfId="16421"/>
    <cellStyle name="20% - Accent4 4 10 5 2" xfId="45282"/>
    <cellStyle name="20% - Accent4 4 10 6" xfId="30646"/>
    <cellStyle name="20% - Accent4 4 11" xfId="1990"/>
    <cellStyle name="20% - Accent4 4 11 2" xfId="4877"/>
    <cellStyle name="20% - Accent4 4 11 2 2" xfId="10918"/>
    <cellStyle name="20% - Accent4 4 11 2 2 2" xfId="27965"/>
    <cellStyle name="20% - Accent4 4 11 2 2 2 2" xfId="56826"/>
    <cellStyle name="20% - Accent4 4 11 2 2 3" xfId="39779"/>
    <cellStyle name="20% - Accent4 4 11 2 3" xfId="21987"/>
    <cellStyle name="20% - Accent4 4 11 2 3 2" xfId="50848"/>
    <cellStyle name="20% - Accent4 4 11 2 4" xfId="33738"/>
    <cellStyle name="20% - Accent4 4 11 3" xfId="8032"/>
    <cellStyle name="20% - Accent4 4 11 3 2" xfId="25079"/>
    <cellStyle name="20% - Accent4 4 11 3 2 2" xfId="53940"/>
    <cellStyle name="20% - Accent4 4 11 3 3" xfId="36893"/>
    <cellStyle name="20% - Accent4 4 11 4" xfId="11990"/>
    <cellStyle name="20% - Accent4 4 11 4 2" xfId="19307"/>
    <cellStyle name="20% - Accent4 4 11 4 2 2" xfId="48168"/>
    <cellStyle name="20% - Accent4 4 11 4 3" xfId="40851"/>
    <cellStyle name="20% - Accent4 4 11 5" xfId="16627"/>
    <cellStyle name="20% - Accent4 4 11 5 2" xfId="45488"/>
    <cellStyle name="20% - Accent4 4 11 6" xfId="30852"/>
    <cellStyle name="20% - Accent4 4 12" xfId="2402"/>
    <cellStyle name="20% - Accent4 4 12 2" xfId="5289"/>
    <cellStyle name="20% - Accent4 4 12 2 2" xfId="11330"/>
    <cellStyle name="20% - Accent4 4 12 2 2 2" xfId="28377"/>
    <cellStyle name="20% - Accent4 4 12 2 2 2 2" xfId="57238"/>
    <cellStyle name="20% - Accent4 4 12 2 2 3" xfId="40191"/>
    <cellStyle name="20% - Accent4 4 12 2 3" xfId="22399"/>
    <cellStyle name="20% - Accent4 4 12 2 3 2" xfId="51260"/>
    <cellStyle name="20% - Accent4 4 12 2 4" xfId="34150"/>
    <cellStyle name="20% - Accent4 4 12 3" xfId="8444"/>
    <cellStyle name="20% - Accent4 4 12 3 2" xfId="25491"/>
    <cellStyle name="20% - Accent4 4 12 3 2 2" xfId="54352"/>
    <cellStyle name="20% - Accent4 4 12 3 3" xfId="37305"/>
    <cellStyle name="20% - Accent4 4 12 4" xfId="13244"/>
    <cellStyle name="20% - Accent4 4 12 4 2" xfId="19719"/>
    <cellStyle name="20% - Accent4 4 12 4 2 2" xfId="48580"/>
    <cellStyle name="20% - Accent4 4 12 4 3" xfId="42105"/>
    <cellStyle name="20% - Accent4 4 12 5" xfId="17039"/>
    <cellStyle name="20% - Accent4 4 12 5 2" xfId="45900"/>
    <cellStyle name="20% - Accent4 4 12 6" xfId="31264"/>
    <cellStyle name="20% - Accent4 4 13" xfId="2611"/>
    <cellStyle name="20% - Accent4 4 13 2" xfId="5497"/>
    <cellStyle name="20% - Accent4 4 13 2 2" xfId="11538"/>
    <cellStyle name="20% - Accent4 4 13 2 2 2" xfId="28585"/>
    <cellStyle name="20% - Accent4 4 13 2 2 2 2" xfId="57446"/>
    <cellStyle name="20% - Accent4 4 13 2 2 3" xfId="40399"/>
    <cellStyle name="20% - Accent4 4 13 2 3" xfId="22607"/>
    <cellStyle name="20% - Accent4 4 13 2 3 2" xfId="51468"/>
    <cellStyle name="20% - Accent4 4 13 2 4" xfId="34358"/>
    <cellStyle name="20% - Accent4 4 13 3" xfId="8652"/>
    <cellStyle name="20% - Accent4 4 13 3 2" xfId="25699"/>
    <cellStyle name="20% - Accent4 4 13 3 2 2" xfId="54560"/>
    <cellStyle name="20% - Accent4 4 13 3 3" xfId="37513"/>
    <cellStyle name="20% - Accent4 4 13 4" xfId="12845"/>
    <cellStyle name="20% - Accent4 4 13 4 2" xfId="19927"/>
    <cellStyle name="20% - Accent4 4 13 4 2 2" xfId="48788"/>
    <cellStyle name="20% - Accent4 4 13 4 3" xfId="41706"/>
    <cellStyle name="20% - Accent4 4 13 5" xfId="17247"/>
    <cellStyle name="20% - Accent4 4 13 5 2" xfId="46108"/>
    <cellStyle name="20% - Accent4 4 13 6" xfId="31472"/>
    <cellStyle name="20% - Accent4 4 14" xfId="3023"/>
    <cellStyle name="20% - Accent4 4 14 2" xfId="9064"/>
    <cellStyle name="20% - Accent4 4 14 2 2" xfId="26111"/>
    <cellStyle name="20% - Accent4 4 14 2 2 2" xfId="54972"/>
    <cellStyle name="20% - Accent4 4 14 2 3" xfId="37925"/>
    <cellStyle name="20% - Accent4 4 14 3" xfId="12366"/>
    <cellStyle name="20% - Accent4 4 14 3 2" xfId="20133"/>
    <cellStyle name="20% - Accent4 4 14 3 2 2" xfId="48994"/>
    <cellStyle name="20% - Accent4 4 14 3 3" xfId="41227"/>
    <cellStyle name="20% - Accent4 4 14 4" xfId="14773"/>
    <cellStyle name="20% - Accent4 4 14 4 2" xfId="43634"/>
    <cellStyle name="20% - Accent4 4 14 5" xfId="31884"/>
    <cellStyle name="20% - Accent4 4 15" xfId="2817"/>
    <cellStyle name="20% - Accent4 4 15 2" xfId="8858"/>
    <cellStyle name="20% - Accent4 4 15 2 2" xfId="25905"/>
    <cellStyle name="20% - Accent4 4 15 2 2 2" xfId="54766"/>
    <cellStyle name="20% - Accent4 4 15 2 3" xfId="37719"/>
    <cellStyle name="20% - Accent4 4 15 3" xfId="17453"/>
    <cellStyle name="20% - Accent4 4 15 3 2" xfId="46314"/>
    <cellStyle name="20% - Accent4 4 15 4" xfId="31678"/>
    <cellStyle name="20% - Accent4 4 16" xfId="5703"/>
    <cellStyle name="20% - Accent4 4 16 2" xfId="11744"/>
    <cellStyle name="20% - Accent4 4 16 2 2" xfId="28791"/>
    <cellStyle name="20% - Accent4 4 16 2 2 2" xfId="57652"/>
    <cellStyle name="20% - Accent4 4 16 2 3" xfId="40605"/>
    <cellStyle name="20% - Accent4 4 16 3" xfId="22813"/>
    <cellStyle name="20% - Accent4 4 16 3 2" xfId="51674"/>
    <cellStyle name="20% - Accent4 4 16 4" xfId="34564"/>
    <cellStyle name="20% - Accent4 4 17" xfId="5920"/>
    <cellStyle name="20% - Accent4 4 17 2" xfId="23019"/>
    <cellStyle name="20% - Accent4 4 17 2 2" xfId="51880"/>
    <cellStyle name="20% - Accent4 4 17 3" xfId="34781"/>
    <cellStyle name="20% - Accent4 4 18" xfId="6178"/>
    <cellStyle name="20% - Accent4 4 18 2" xfId="23225"/>
    <cellStyle name="20% - Accent4 4 18 2 2" xfId="52086"/>
    <cellStyle name="20% - Accent4 4 18 3" xfId="35039"/>
    <cellStyle name="20% - Accent4 4 19" xfId="14567"/>
    <cellStyle name="20% - Accent4 4 19 2" xfId="43428"/>
    <cellStyle name="20% - Accent4 4 2" xfId="342"/>
    <cellStyle name="20% - Accent4 4 2 10" xfId="2505"/>
    <cellStyle name="20% - Accent4 4 2 10 2" xfId="5392"/>
    <cellStyle name="20% - Accent4 4 2 10 2 2" xfId="11433"/>
    <cellStyle name="20% - Accent4 4 2 10 2 2 2" xfId="28480"/>
    <cellStyle name="20% - Accent4 4 2 10 2 2 2 2" xfId="57341"/>
    <cellStyle name="20% - Accent4 4 2 10 2 2 3" xfId="40294"/>
    <cellStyle name="20% - Accent4 4 2 10 2 3" xfId="22502"/>
    <cellStyle name="20% - Accent4 4 2 10 2 3 2" xfId="51363"/>
    <cellStyle name="20% - Accent4 4 2 10 2 4" xfId="34253"/>
    <cellStyle name="20% - Accent4 4 2 10 3" xfId="8547"/>
    <cellStyle name="20% - Accent4 4 2 10 3 2" xfId="25594"/>
    <cellStyle name="20% - Accent4 4 2 10 3 2 2" xfId="54455"/>
    <cellStyle name="20% - Accent4 4 2 10 3 3" xfId="37408"/>
    <cellStyle name="20% - Accent4 4 2 10 4" xfId="12110"/>
    <cellStyle name="20% - Accent4 4 2 10 4 2" xfId="19822"/>
    <cellStyle name="20% - Accent4 4 2 10 4 2 2" xfId="48683"/>
    <cellStyle name="20% - Accent4 4 2 10 4 3" xfId="40971"/>
    <cellStyle name="20% - Accent4 4 2 10 5" xfId="17142"/>
    <cellStyle name="20% - Accent4 4 2 10 5 2" xfId="46003"/>
    <cellStyle name="20% - Accent4 4 2 10 6" xfId="31367"/>
    <cellStyle name="20% - Accent4 4 2 11" xfId="2714"/>
    <cellStyle name="20% - Accent4 4 2 11 2" xfId="5600"/>
    <cellStyle name="20% - Accent4 4 2 11 2 2" xfId="11641"/>
    <cellStyle name="20% - Accent4 4 2 11 2 2 2" xfId="28688"/>
    <cellStyle name="20% - Accent4 4 2 11 2 2 2 2" xfId="57549"/>
    <cellStyle name="20% - Accent4 4 2 11 2 2 3" xfId="40502"/>
    <cellStyle name="20% - Accent4 4 2 11 2 3" xfId="22710"/>
    <cellStyle name="20% - Accent4 4 2 11 2 3 2" xfId="51571"/>
    <cellStyle name="20% - Accent4 4 2 11 2 4" xfId="34461"/>
    <cellStyle name="20% - Accent4 4 2 11 3" xfId="8755"/>
    <cellStyle name="20% - Accent4 4 2 11 3 2" xfId="25802"/>
    <cellStyle name="20% - Accent4 4 2 11 3 2 2" xfId="54663"/>
    <cellStyle name="20% - Accent4 4 2 11 3 3" xfId="37616"/>
    <cellStyle name="20% - Accent4 4 2 11 4" xfId="13901"/>
    <cellStyle name="20% - Accent4 4 2 11 4 2" xfId="20030"/>
    <cellStyle name="20% - Accent4 4 2 11 4 2 2" xfId="48891"/>
    <cellStyle name="20% - Accent4 4 2 11 4 3" xfId="42762"/>
    <cellStyle name="20% - Accent4 4 2 11 5" xfId="17350"/>
    <cellStyle name="20% - Accent4 4 2 11 5 2" xfId="46211"/>
    <cellStyle name="20% - Accent4 4 2 11 6" xfId="31575"/>
    <cellStyle name="20% - Accent4 4 2 12" xfId="3229"/>
    <cellStyle name="20% - Accent4 4 2 12 2" xfId="9270"/>
    <cellStyle name="20% - Accent4 4 2 12 2 2" xfId="26317"/>
    <cellStyle name="20% - Accent4 4 2 12 2 2 2" xfId="55178"/>
    <cellStyle name="20% - Accent4 4 2 12 2 3" xfId="38131"/>
    <cellStyle name="20% - Accent4 4 2 12 3" xfId="14008"/>
    <cellStyle name="20% - Accent4 4 2 12 3 2" xfId="20339"/>
    <cellStyle name="20% - Accent4 4 2 12 3 2 2" xfId="49200"/>
    <cellStyle name="20% - Accent4 4 2 12 3 3" xfId="42869"/>
    <cellStyle name="20% - Accent4 4 2 12 4" xfId="14979"/>
    <cellStyle name="20% - Accent4 4 2 12 4 2" xfId="43840"/>
    <cellStyle name="20% - Accent4 4 2 12 5" xfId="32090"/>
    <cellStyle name="20% - Accent4 4 2 13" xfId="2920"/>
    <cellStyle name="20% - Accent4 4 2 13 2" xfId="8961"/>
    <cellStyle name="20% - Accent4 4 2 13 2 2" xfId="26008"/>
    <cellStyle name="20% - Accent4 4 2 13 2 2 2" xfId="54869"/>
    <cellStyle name="20% - Accent4 4 2 13 2 3" xfId="37822"/>
    <cellStyle name="20% - Accent4 4 2 13 3" xfId="17556"/>
    <cellStyle name="20% - Accent4 4 2 13 3 2" xfId="46417"/>
    <cellStyle name="20% - Accent4 4 2 13 4" xfId="31781"/>
    <cellStyle name="20% - Accent4 4 2 14" xfId="5806"/>
    <cellStyle name="20% - Accent4 4 2 14 2" xfId="11847"/>
    <cellStyle name="20% - Accent4 4 2 14 2 2" xfId="28894"/>
    <cellStyle name="20% - Accent4 4 2 14 2 2 2" xfId="57755"/>
    <cellStyle name="20% - Accent4 4 2 14 2 3" xfId="40708"/>
    <cellStyle name="20% - Accent4 4 2 14 3" xfId="22916"/>
    <cellStyle name="20% - Accent4 4 2 14 3 2" xfId="51777"/>
    <cellStyle name="20% - Accent4 4 2 14 4" xfId="34667"/>
    <cellStyle name="20% - Accent4 4 2 15" xfId="6023"/>
    <cellStyle name="20% - Accent4 4 2 15 2" xfId="23122"/>
    <cellStyle name="20% - Accent4 4 2 15 2 2" xfId="51983"/>
    <cellStyle name="20% - Accent4 4 2 15 3" xfId="34884"/>
    <cellStyle name="20% - Accent4 4 2 16" xfId="6384"/>
    <cellStyle name="20% - Accent4 4 2 16 2" xfId="23431"/>
    <cellStyle name="20% - Accent4 4 2 16 2 2" xfId="52292"/>
    <cellStyle name="20% - Accent4 4 2 16 3" xfId="35245"/>
    <cellStyle name="20% - Accent4 4 2 17" xfId="14670"/>
    <cellStyle name="20% - Accent4 4 2 17 2" xfId="43531"/>
    <cellStyle name="20% - Accent4 4 2 18" xfId="29204"/>
    <cellStyle name="20% - Accent4 4 2 2" xfId="548"/>
    <cellStyle name="20% - Accent4 4 2 2 2" xfId="2299"/>
    <cellStyle name="20% - Accent4 4 2 2 2 2" xfId="5186"/>
    <cellStyle name="20% - Accent4 4 2 2 2 2 2" xfId="11227"/>
    <cellStyle name="20% - Accent4 4 2 2 2 2 2 2" xfId="28274"/>
    <cellStyle name="20% - Accent4 4 2 2 2 2 2 2 2" xfId="57135"/>
    <cellStyle name="20% - Accent4 4 2 2 2 2 2 3" xfId="40088"/>
    <cellStyle name="20% - Accent4 4 2 2 2 2 3" xfId="22296"/>
    <cellStyle name="20% - Accent4 4 2 2 2 2 3 2" xfId="51157"/>
    <cellStyle name="20% - Accent4 4 2 2 2 2 4" xfId="34047"/>
    <cellStyle name="20% - Accent4 4 2 2 2 3" xfId="8341"/>
    <cellStyle name="20% - Accent4 4 2 2 2 3 2" xfId="25388"/>
    <cellStyle name="20% - Accent4 4 2 2 2 3 2 2" xfId="54249"/>
    <cellStyle name="20% - Accent4 4 2 2 2 3 3" xfId="37202"/>
    <cellStyle name="20% - Accent4 4 2 2 2 4" xfId="12016"/>
    <cellStyle name="20% - Accent4 4 2 2 2 4 2" xfId="19616"/>
    <cellStyle name="20% - Accent4 4 2 2 2 4 2 2" xfId="48477"/>
    <cellStyle name="20% - Accent4 4 2 2 2 4 3" xfId="40877"/>
    <cellStyle name="20% - Accent4 4 2 2 2 5" xfId="16936"/>
    <cellStyle name="20% - Accent4 4 2 2 2 5 2" xfId="45797"/>
    <cellStyle name="20% - Accent4 4 2 2 2 6" xfId="31161"/>
    <cellStyle name="20% - Accent4 4 2 2 3" xfId="3435"/>
    <cellStyle name="20% - Accent4 4 2 2 3 2" xfId="9476"/>
    <cellStyle name="20% - Accent4 4 2 2 3 2 2" xfId="26523"/>
    <cellStyle name="20% - Accent4 4 2 2 3 2 2 2" xfId="55384"/>
    <cellStyle name="20% - Accent4 4 2 2 3 2 3" xfId="38337"/>
    <cellStyle name="20% - Accent4 4 2 2 3 3" xfId="20545"/>
    <cellStyle name="20% - Accent4 4 2 2 3 3 2" xfId="49406"/>
    <cellStyle name="20% - Accent4 4 2 2 3 4" xfId="32296"/>
    <cellStyle name="20% - Accent4 4 2 2 4" xfId="6590"/>
    <cellStyle name="20% - Accent4 4 2 2 4 2" xfId="23637"/>
    <cellStyle name="20% - Accent4 4 2 2 4 2 2" xfId="52498"/>
    <cellStyle name="20% - Accent4 4 2 2 4 3" xfId="35451"/>
    <cellStyle name="20% - Accent4 4 2 2 5" xfId="12278"/>
    <cellStyle name="20% - Accent4 4 2 2 5 2" xfId="17865"/>
    <cellStyle name="20% - Accent4 4 2 2 5 2 2" xfId="46726"/>
    <cellStyle name="20% - Accent4 4 2 2 5 3" xfId="41139"/>
    <cellStyle name="20% - Accent4 4 2 2 6" xfId="15185"/>
    <cellStyle name="20% - Accent4 4 2 2 6 2" xfId="44046"/>
    <cellStyle name="20% - Accent4 4 2 2 7" xfId="29410"/>
    <cellStyle name="20% - Accent4 4 2 3" xfId="857"/>
    <cellStyle name="20% - Accent4 4 2 3 2" xfId="3744"/>
    <cellStyle name="20% - Accent4 4 2 3 2 2" xfId="9785"/>
    <cellStyle name="20% - Accent4 4 2 3 2 2 2" xfId="26832"/>
    <cellStyle name="20% - Accent4 4 2 3 2 2 2 2" xfId="55693"/>
    <cellStyle name="20% - Accent4 4 2 3 2 2 3" xfId="38646"/>
    <cellStyle name="20% - Accent4 4 2 3 2 3" xfId="20854"/>
    <cellStyle name="20% - Accent4 4 2 3 2 3 2" xfId="49715"/>
    <cellStyle name="20% - Accent4 4 2 3 2 4" xfId="32605"/>
    <cellStyle name="20% - Accent4 4 2 3 3" xfId="6899"/>
    <cellStyle name="20% - Accent4 4 2 3 3 2" xfId="23946"/>
    <cellStyle name="20% - Accent4 4 2 3 3 2 2" xfId="52807"/>
    <cellStyle name="20% - Accent4 4 2 3 3 3" xfId="35760"/>
    <cellStyle name="20% - Accent4 4 2 3 4" xfId="13615"/>
    <cellStyle name="20% - Accent4 4 2 3 4 2" xfId="18174"/>
    <cellStyle name="20% - Accent4 4 2 3 4 2 2" xfId="47035"/>
    <cellStyle name="20% - Accent4 4 2 3 4 3" xfId="42476"/>
    <cellStyle name="20% - Accent4 4 2 3 5" xfId="15494"/>
    <cellStyle name="20% - Accent4 4 2 3 5 2" xfId="44355"/>
    <cellStyle name="20% - Accent4 4 2 3 6" xfId="29719"/>
    <cellStyle name="20% - Accent4 4 2 4" xfId="1063"/>
    <cellStyle name="20% - Accent4 4 2 4 2" xfId="3950"/>
    <cellStyle name="20% - Accent4 4 2 4 2 2" xfId="9991"/>
    <cellStyle name="20% - Accent4 4 2 4 2 2 2" xfId="27038"/>
    <cellStyle name="20% - Accent4 4 2 4 2 2 2 2" xfId="55899"/>
    <cellStyle name="20% - Accent4 4 2 4 2 2 3" xfId="38852"/>
    <cellStyle name="20% - Accent4 4 2 4 2 3" xfId="21060"/>
    <cellStyle name="20% - Accent4 4 2 4 2 3 2" xfId="49921"/>
    <cellStyle name="20% - Accent4 4 2 4 2 4" xfId="32811"/>
    <cellStyle name="20% - Accent4 4 2 4 3" xfId="7105"/>
    <cellStyle name="20% - Accent4 4 2 4 3 2" xfId="24152"/>
    <cellStyle name="20% - Accent4 4 2 4 3 2 2" xfId="53013"/>
    <cellStyle name="20% - Accent4 4 2 4 3 3" xfId="35966"/>
    <cellStyle name="20% - Accent4 4 2 4 4" xfId="14133"/>
    <cellStyle name="20% - Accent4 4 2 4 4 2" xfId="18380"/>
    <cellStyle name="20% - Accent4 4 2 4 4 2 2" xfId="47241"/>
    <cellStyle name="20% - Accent4 4 2 4 4 3" xfId="42994"/>
    <cellStyle name="20% - Accent4 4 2 4 5" xfId="15700"/>
    <cellStyle name="20% - Accent4 4 2 4 5 2" xfId="44561"/>
    <cellStyle name="20% - Accent4 4 2 4 6" xfId="29925"/>
    <cellStyle name="20% - Accent4 4 2 5" xfId="1269"/>
    <cellStyle name="20% - Accent4 4 2 5 2" xfId="4156"/>
    <cellStyle name="20% - Accent4 4 2 5 2 2" xfId="10197"/>
    <cellStyle name="20% - Accent4 4 2 5 2 2 2" xfId="27244"/>
    <cellStyle name="20% - Accent4 4 2 5 2 2 2 2" xfId="56105"/>
    <cellStyle name="20% - Accent4 4 2 5 2 2 3" xfId="39058"/>
    <cellStyle name="20% - Accent4 4 2 5 2 3" xfId="21266"/>
    <cellStyle name="20% - Accent4 4 2 5 2 3 2" xfId="50127"/>
    <cellStyle name="20% - Accent4 4 2 5 2 4" xfId="33017"/>
    <cellStyle name="20% - Accent4 4 2 5 3" xfId="7311"/>
    <cellStyle name="20% - Accent4 4 2 5 3 2" xfId="24358"/>
    <cellStyle name="20% - Accent4 4 2 5 3 2 2" xfId="53219"/>
    <cellStyle name="20% - Accent4 4 2 5 3 3" xfId="36172"/>
    <cellStyle name="20% - Accent4 4 2 5 4" xfId="14027"/>
    <cellStyle name="20% - Accent4 4 2 5 4 2" xfId="18586"/>
    <cellStyle name="20% - Accent4 4 2 5 4 2 2" xfId="47447"/>
    <cellStyle name="20% - Accent4 4 2 5 4 3" xfId="42888"/>
    <cellStyle name="20% - Accent4 4 2 5 5" xfId="15906"/>
    <cellStyle name="20% - Accent4 4 2 5 5 2" xfId="44767"/>
    <cellStyle name="20% - Accent4 4 2 5 6" xfId="30131"/>
    <cellStyle name="20% - Accent4 4 2 6" xfId="1475"/>
    <cellStyle name="20% - Accent4 4 2 6 2" xfId="4362"/>
    <cellStyle name="20% - Accent4 4 2 6 2 2" xfId="10403"/>
    <cellStyle name="20% - Accent4 4 2 6 2 2 2" xfId="27450"/>
    <cellStyle name="20% - Accent4 4 2 6 2 2 2 2" xfId="56311"/>
    <cellStyle name="20% - Accent4 4 2 6 2 2 3" xfId="39264"/>
    <cellStyle name="20% - Accent4 4 2 6 2 3" xfId="21472"/>
    <cellStyle name="20% - Accent4 4 2 6 2 3 2" xfId="50333"/>
    <cellStyle name="20% - Accent4 4 2 6 2 4" xfId="33223"/>
    <cellStyle name="20% - Accent4 4 2 6 3" xfId="7517"/>
    <cellStyle name="20% - Accent4 4 2 6 3 2" xfId="24564"/>
    <cellStyle name="20% - Accent4 4 2 6 3 2 2" xfId="53425"/>
    <cellStyle name="20% - Accent4 4 2 6 3 3" xfId="36378"/>
    <cellStyle name="20% - Accent4 4 2 6 4" xfId="12088"/>
    <cellStyle name="20% - Accent4 4 2 6 4 2" xfId="18792"/>
    <cellStyle name="20% - Accent4 4 2 6 4 2 2" xfId="47653"/>
    <cellStyle name="20% - Accent4 4 2 6 4 3" xfId="40949"/>
    <cellStyle name="20% - Accent4 4 2 6 5" xfId="16112"/>
    <cellStyle name="20% - Accent4 4 2 6 5 2" xfId="44973"/>
    <cellStyle name="20% - Accent4 4 2 6 6" xfId="30337"/>
    <cellStyle name="20% - Accent4 4 2 7" xfId="1681"/>
    <cellStyle name="20% - Accent4 4 2 7 2" xfId="4568"/>
    <cellStyle name="20% - Accent4 4 2 7 2 2" xfId="10609"/>
    <cellStyle name="20% - Accent4 4 2 7 2 2 2" xfId="27656"/>
    <cellStyle name="20% - Accent4 4 2 7 2 2 2 2" xfId="56517"/>
    <cellStyle name="20% - Accent4 4 2 7 2 2 3" xfId="39470"/>
    <cellStyle name="20% - Accent4 4 2 7 2 3" xfId="21678"/>
    <cellStyle name="20% - Accent4 4 2 7 2 3 2" xfId="50539"/>
    <cellStyle name="20% - Accent4 4 2 7 2 4" xfId="33429"/>
    <cellStyle name="20% - Accent4 4 2 7 3" xfId="7723"/>
    <cellStyle name="20% - Accent4 4 2 7 3 2" xfId="24770"/>
    <cellStyle name="20% - Accent4 4 2 7 3 2 2" xfId="53631"/>
    <cellStyle name="20% - Accent4 4 2 7 3 3" xfId="36584"/>
    <cellStyle name="20% - Accent4 4 2 7 4" xfId="13116"/>
    <cellStyle name="20% - Accent4 4 2 7 4 2" xfId="18998"/>
    <cellStyle name="20% - Accent4 4 2 7 4 2 2" xfId="47859"/>
    <cellStyle name="20% - Accent4 4 2 7 4 3" xfId="41977"/>
    <cellStyle name="20% - Accent4 4 2 7 5" xfId="16318"/>
    <cellStyle name="20% - Accent4 4 2 7 5 2" xfId="45179"/>
    <cellStyle name="20% - Accent4 4 2 7 6" xfId="30543"/>
    <cellStyle name="20% - Accent4 4 2 8" xfId="1887"/>
    <cellStyle name="20% - Accent4 4 2 8 2" xfId="4774"/>
    <cellStyle name="20% - Accent4 4 2 8 2 2" xfId="10815"/>
    <cellStyle name="20% - Accent4 4 2 8 2 2 2" xfId="27862"/>
    <cellStyle name="20% - Accent4 4 2 8 2 2 2 2" xfId="56723"/>
    <cellStyle name="20% - Accent4 4 2 8 2 2 3" xfId="39676"/>
    <cellStyle name="20% - Accent4 4 2 8 2 3" xfId="21884"/>
    <cellStyle name="20% - Accent4 4 2 8 2 3 2" xfId="50745"/>
    <cellStyle name="20% - Accent4 4 2 8 2 4" xfId="33635"/>
    <cellStyle name="20% - Accent4 4 2 8 3" xfId="7929"/>
    <cellStyle name="20% - Accent4 4 2 8 3 2" xfId="24976"/>
    <cellStyle name="20% - Accent4 4 2 8 3 2 2" xfId="53837"/>
    <cellStyle name="20% - Accent4 4 2 8 3 3" xfId="36790"/>
    <cellStyle name="20% - Accent4 4 2 8 4" xfId="12846"/>
    <cellStyle name="20% - Accent4 4 2 8 4 2" xfId="19204"/>
    <cellStyle name="20% - Accent4 4 2 8 4 2 2" xfId="48065"/>
    <cellStyle name="20% - Accent4 4 2 8 4 3" xfId="41707"/>
    <cellStyle name="20% - Accent4 4 2 8 5" xfId="16524"/>
    <cellStyle name="20% - Accent4 4 2 8 5 2" xfId="45385"/>
    <cellStyle name="20% - Accent4 4 2 8 6" xfId="30749"/>
    <cellStyle name="20% - Accent4 4 2 9" xfId="2093"/>
    <cellStyle name="20% - Accent4 4 2 9 2" xfId="4980"/>
    <cellStyle name="20% - Accent4 4 2 9 2 2" xfId="11021"/>
    <cellStyle name="20% - Accent4 4 2 9 2 2 2" xfId="28068"/>
    <cellStyle name="20% - Accent4 4 2 9 2 2 2 2" xfId="56929"/>
    <cellStyle name="20% - Accent4 4 2 9 2 2 3" xfId="39882"/>
    <cellStyle name="20% - Accent4 4 2 9 2 3" xfId="22090"/>
    <cellStyle name="20% - Accent4 4 2 9 2 3 2" xfId="50951"/>
    <cellStyle name="20% - Accent4 4 2 9 2 4" xfId="33841"/>
    <cellStyle name="20% - Accent4 4 2 9 3" xfId="8135"/>
    <cellStyle name="20% - Accent4 4 2 9 3 2" xfId="25182"/>
    <cellStyle name="20% - Accent4 4 2 9 3 2 2" xfId="54043"/>
    <cellStyle name="20% - Accent4 4 2 9 3 3" xfId="36996"/>
    <cellStyle name="20% - Accent4 4 2 9 4" xfId="12641"/>
    <cellStyle name="20% - Accent4 4 2 9 4 2" xfId="19410"/>
    <cellStyle name="20% - Accent4 4 2 9 4 2 2" xfId="48271"/>
    <cellStyle name="20% - Accent4 4 2 9 4 3" xfId="41502"/>
    <cellStyle name="20% - Accent4 4 2 9 5" xfId="16730"/>
    <cellStyle name="20% - Accent4 4 2 9 5 2" xfId="45591"/>
    <cellStyle name="20% - Accent4 4 2 9 6" xfId="30955"/>
    <cellStyle name="20% - Accent4 4 20" xfId="28998"/>
    <cellStyle name="20% - Accent4 4 3" xfId="239"/>
    <cellStyle name="20% - Accent4 4 3 2" xfId="651"/>
    <cellStyle name="20% - Accent4 4 3 2 2" xfId="3538"/>
    <cellStyle name="20% - Accent4 4 3 2 2 2" xfId="9579"/>
    <cellStyle name="20% - Accent4 4 3 2 2 2 2" xfId="26626"/>
    <cellStyle name="20% - Accent4 4 3 2 2 2 2 2" xfId="55487"/>
    <cellStyle name="20% - Accent4 4 3 2 2 2 3" xfId="38440"/>
    <cellStyle name="20% - Accent4 4 3 2 2 3" xfId="20648"/>
    <cellStyle name="20% - Accent4 4 3 2 2 3 2" xfId="49509"/>
    <cellStyle name="20% - Accent4 4 3 2 2 4" xfId="32399"/>
    <cellStyle name="20% - Accent4 4 3 2 3" xfId="6693"/>
    <cellStyle name="20% - Accent4 4 3 2 3 2" xfId="23740"/>
    <cellStyle name="20% - Accent4 4 3 2 3 2 2" xfId="52601"/>
    <cellStyle name="20% - Accent4 4 3 2 3 3" xfId="35554"/>
    <cellStyle name="20% - Accent4 4 3 2 4" xfId="14076"/>
    <cellStyle name="20% - Accent4 4 3 2 4 2" xfId="17968"/>
    <cellStyle name="20% - Accent4 4 3 2 4 2 2" xfId="46829"/>
    <cellStyle name="20% - Accent4 4 3 2 4 3" xfId="42937"/>
    <cellStyle name="20% - Accent4 4 3 2 5" xfId="15288"/>
    <cellStyle name="20% - Accent4 4 3 2 5 2" xfId="44149"/>
    <cellStyle name="20% - Accent4 4 3 2 6" xfId="29513"/>
    <cellStyle name="20% - Accent4 4 3 3" xfId="2196"/>
    <cellStyle name="20% - Accent4 4 3 3 2" xfId="5083"/>
    <cellStyle name="20% - Accent4 4 3 3 2 2" xfId="11124"/>
    <cellStyle name="20% - Accent4 4 3 3 2 2 2" xfId="28171"/>
    <cellStyle name="20% - Accent4 4 3 3 2 2 2 2" xfId="57032"/>
    <cellStyle name="20% - Accent4 4 3 3 2 2 3" xfId="39985"/>
    <cellStyle name="20% - Accent4 4 3 3 2 3" xfId="22193"/>
    <cellStyle name="20% - Accent4 4 3 3 2 3 2" xfId="51054"/>
    <cellStyle name="20% - Accent4 4 3 3 2 4" xfId="33944"/>
    <cellStyle name="20% - Accent4 4 3 3 3" xfId="8238"/>
    <cellStyle name="20% - Accent4 4 3 3 3 2" xfId="25285"/>
    <cellStyle name="20% - Accent4 4 3 3 3 2 2" xfId="54146"/>
    <cellStyle name="20% - Accent4 4 3 3 3 3" xfId="37099"/>
    <cellStyle name="20% - Accent4 4 3 3 4" xfId="12505"/>
    <cellStyle name="20% - Accent4 4 3 3 4 2" xfId="19513"/>
    <cellStyle name="20% - Accent4 4 3 3 4 2 2" xfId="48374"/>
    <cellStyle name="20% - Accent4 4 3 3 4 3" xfId="41366"/>
    <cellStyle name="20% - Accent4 4 3 3 5" xfId="16833"/>
    <cellStyle name="20% - Accent4 4 3 3 5 2" xfId="45694"/>
    <cellStyle name="20% - Accent4 4 3 3 6" xfId="31058"/>
    <cellStyle name="20% - Accent4 4 3 4" xfId="3126"/>
    <cellStyle name="20% - Accent4 4 3 4 2" xfId="9167"/>
    <cellStyle name="20% - Accent4 4 3 4 2 2" xfId="26214"/>
    <cellStyle name="20% - Accent4 4 3 4 2 2 2" xfId="55075"/>
    <cellStyle name="20% - Accent4 4 3 4 2 3" xfId="38028"/>
    <cellStyle name="20% - Accent4 4 3 4 3" xfId="20236"/>
    <cellStyle name="20% - Accent4 4 3 4 3 2" xfId="49097"/>
    <cellStyle name="20% - Accent4 4 3 4 4" xfId="31987"/>
    <cellStyle name="20% - Accent4 4 3 5" xfId="6281"/>
    <cellStyle name="20% - Accent4 4 3 5 2" xfId="23328"/>
    <cellStyle name="20% - Accent4 4 3 5 2 2" xfId="52189"/>
    <cellStyle name="20% - Accent4 4 3 5 3" xfId="35142"/>
    <cellStyle name="20% - Accent4 4 3 6" xfId="12832"/>
    <cellStyle name="20% - Accent4 4 3 6 2" xfId="17659"/>
    <cellStyle name="20% - Accent4 4 3 6 2 2" xfId="46520"/>
    <cellStyle name="20% - Accent4 4 3 6 3" xfId="41693"/>
    <cellStyle name="20% - Accent4 4 3 7" xfId="14876"/>
    <cellStyle name="20% - Accent4 4 3 7 2" xfId="43737"/>
    <cellStyle name="20% - Accent4 4 3 8" xfId="29101"/>
    <cellStyle name="20% - Accent4 4 4" xfId="445"/>
    <cellStyle name="20% - Accent4 4 4 2" xfId="3332"/>
    <cellStyle name="20% - Accent4 4 4 2 2" xfId="9373"/>
    <cellStyle name="20% - Accent4 4 4 2 2 2" xfId="26420"/>
    <cellStyle name="20% - Accent4 4 4 2 2 2 2" xfId="55281"/>
    <cellStyle name="20% - Accent4 4 4 2 2 3" xfId="38234"/>
    <cellStyle name="20% - Accent4 4 4 2 3" xfId="20442"/>
    <cellStyle name="20% - Accent4 4 4 2 3 2" xfId="49303"/>
    <cellStyle name="20% - Accent4 4 4 2 4" xfId="32193"/>
    <cellStyle name="20% - Accent4 4 4 3" xfId="6487"/>
    <cellStyle name="20% - Accent4 4 4 3 2" xfId="23534"/>
    <cellStyle name="20% - Accent4 4 4 3 2 2" xfId="52395"/>
    <cellStyle name="20% - Accent4 4 4 3 3" xfId="35348"/>
    <cellStyle name="20% - Accent4 4 4 4" xfId="13314"/>
    <cellStyle name="20% - Accent4 4 4 4 2" xfId="17762"/>
    <cellStyle name="20% - Accent4 4 4 4 2 2" xfId="46623"/>
    <cellStyle name="20% - Accent4 4 4 4 3" xfId="42175"/>
    <cellStyle name="20% - Accent4 4 4 5" xfId="15082"/>
    <cellStyle name="20% - Accent4 4 4 5 2" xfId="43943"/>
    <cellStyle name="20% - Accent4 4 4 6" xfId="29307"/>
    <cellStyle name="20% - Accent4 4 5" xfId="754"/>
    <cellStyle name="20% - Accent4 4 5 2" xfId="3641"/>
    <cellStyle name="20% - Accent4 4 5 2 2" xfId="9682"/>
    <cellStyle name="20% - Accent4 4 5 2 2 2" xfId="26729"/>
    <cellStyle name="20% - Accent4 4 5 2 2 2 2" xfId="55590"/>
    <cellStyle name="20% - Accent4 4 5 2 2 3" xfId="38543"/>
    <cellStyle name="20% - Accent4 4 5 2 3" xfId="20751"/>
    <cellStyle name="20% - Accent4 4 5 2 3 2" xfId="49612"/>
    <cellStyle name="20% - Accent4 4 5 2 4" xfId="32502"/>
    <cellStyle name="20% - Accent4 4 5 3" xfId="6796"/>
    <cellStyle name="20% - Accent4 4 5 3 2" xfId="23843"/>
    <cellStyle name="20% - Accent4 4 5 3 2 2" xfId="52704"/>
    <cellStyle name="20% - Accent4 4 5 3 3" xfId="35657"/>
    <cellStyle name="20% - Accent4 4 5 4" xfId="13028"/>
    <cellStyle name="20% - Accent4 4 5 4 2" xfId="18071"/>
    <cellStyle name="20% - Accent4 4 5 4 2 2" xfId="46932"/>
    <cellStyle name="20% - Accent4 4 5 4 3" xfId="41889"/>
    <cellStyle name="20% - Accent4 4 5 5" xfId="15391"/>
    <cellStyle name="20% - Accent4 4 5 5 2" xfId="44252"/>
    <cellStyle name="20% - Accent4 4 5 6" xfId="29616"/>
    <cellStyle name="20% - Accent4 4 6" xfId="960"/>
    <cellStyle name="20% - Accent4 4 6 2" xfId="3847"/>
    <cellStyle name="20% - Accent4 4 6 2 2" xfId="9888"/>
    <cellStyle name="20% - Accent4 4 6 2 2 2" xfId="26935"/>
    <cellStyle name="20% - Accent4 4 6 2 2 2 2" xfId="55796"/>
    <cellStyle name="20% - Accent4 4 6 2 2 3" xfId="38749"/>
    <cellStyle name="20% - Accent4 4 6 2 3" xfId="20957"/>
    <cellStyle name="20% - Accent4 4 6 2 3 2" xfId="49818"/>
    <cellStyle name="20% - Accent4 4 6 2 4" xfId="32708"/>
    <cellStyle name="20% - Accent4 4 6 3" xfId="7002"/>
    <cellStyle name="20% - Accent4 4 6 3 2" xfId="24049"/>
    <cellStyle name="20% - Accent4 4 6 3 2 2" xfId="52910"/>
    <cellStyle name="20% - Accent4 4 6 3 3" xfId="35863"/>
    <cellStyle name="20% - Accent4 4 6 4" xfId="13808"/>
    <cellStyle name="20% - Accent4 4 6 4 2" xfId="18277"/>
    <cellStyle name="20% - Accent4 4 6 4 2 2" xfId="47138"/>
    <cellStyle name="20% - Accent4 4 6 4 3" xfId="42669"/>
    <cellStyle name="20% - Accent4 4 6 5" xfId="15597"/>
    <cellStyle name="20% - Accent4 4 6 5 2" xfId="44458"/>
    <cellStyle name="20% - Accent4 4 6 6" xfId="29822"/>
    <cellStyle name="20% - Accent4 4 7" xfId="1166"/>
    <cellStyle name="20% - Accent4 4 7 2" xfId="4053"/>
    <cellStyle name="20% - Accent4 4 7 2 2" xfId="10094"/>
    <cellStyle name="20% - Accent4 4 7 2 2 2" xfId="27141"/>
    <cellStyle name="20% - Accent4 4 7 2 2 2 2" xfId="56002"/>
    <cellStyle name="20% - Accent4 4 7 2 2 3" xfId="38955"/>
    <cellStyle name="20% - Accent4 4 7 2 3" xfId="21163"/>
    <cellStyle name="20% - Accent4 4 7 2 3 2" xfId="50024"/>
    <cellStyle name="20% - Accent4 4 7 2 4" xfId="32914"/>
    <cellStyle name="20% - Accent4 4 7 3" xfId="7208"/>
    <cellStyle name="20% - Accent4 4 7 3 2" xfId="24255"/>
    <cellStyle name="20% - Accent4 4 7 3 2 2" xfId="53116"/>
    <cellStyle name="20% - Accent4 4 7 3 3" xfId="36069"/>
    <cellStyle name="20% - Accent4 4 7 4" xfId="12012"/>
    <cellStyle name="20% - Accent4 4 7 4 2" xfId="18483"/>
    <cellStyle name="20% - Accent4 4 7 4 2 2" xfId="47344"/>
    <cellStyle name="20% - Accent4 4 7 4 3" xfId="40873"/>
    <cellStyle name="20% - Accent4 4 7 5" xfId="15803"/>
    <cellStyle name="20% - Accent4 4 7 5 2" xfId="44664"/>
    <cellStyle name="20% - Accent4 4 7 6" xfId="30028"/>
    <cellStyle name="20% - Accent4 4 8" xfId="1372"/>
    <cellStyle name="20% - Accent4 4 8 2" xfId="4259"/>
    <cellStyle name="20% - Accent4 4 8 2 2" xfId="10300"/>
    <cellStyle name="20% - Accent4 4 8 2 2 2" xfId="27347"/>
    <cellStyle name="20% - Accent4 4 8 2 2 2 2" xfId="56208"/>
    <cellStyle name="20% - Accent4 4 8 2 2 3" xfId="39161"/>
    <cellStyle name="20% - Accent4 4 8 2 3" xfId="21369"/>
    <cellStyle name="20% - Accent4 4 8 2 3 2" xfId="50230"/>
    <cellStyle name="20% - Accent4 4 8 2 4" xfId="33120"/>
    <cellStyle name="20% - Accent4 4 8 3" xfId="7414"/>
    <cellStyle name="20% - Accent4 4 8 3 2" xfId="24461"/>
    <cellStyle name="20% - Accent4 4 8 3 2 2" xfId="53322"/>
    <cellStyle name="20% - Accent4 4 8 3 3" xfId="36275"/>
    <cellStyle name="20% - Accent4 4 8 4" xfId="12955"/>
    <cellStyle name="20% - Accent4 4 8 4 2" xfId="18689"/>
    <cellStyle name="20% - Accent4 4 8 4 2 2" xfId="47550"/>
    <cellStyle name="20% - Accent4 4 8 4 3" xfId="41816"/>
    <cellStyle name="20% - Accent4 4 8 5" xfId="16009"/>
    <cellStyle name="20% - Accent4 4 8 5 2" xfId="44870"/>
    <cellStyle name="20% - Accent4 4 8 6" xfId="30234"/>
    <cellStyle name="20% - Accent4 4 9" xfId="1578"/>
    <cellStyle name="20% - Accent4 4 9 2" xfId="4465"/>
    <cellStyle name="20% - Accent4 4 9 2 2" xfId="10506"/>
    <cellStyle name="20% - Accent4 4 9 2 2 2" xfId="27553"/>
    <cellStyle name="20% - Accent4 4 9 2 2 2 2" xfId="56414"/>
    <cellStyle name="20% - Accent4 4 9 2 2 3" xfId="39367"/>
    <cellStyle name="20% - Accent4 4 9 2 3" xfId="21575"/>
    <cellStyle name="20% - Accent4 4 9 2 3 2" xfId="50436"/>
    <cellStyle name="20% - Accent4 4 9 2 4" xfId="33326"/>
    <cellStyle name="20% - Accent4 4 9 3" xfId="7620"/>
    <cellStyle name="20% - Accent4 4 9 3 2" xfId="24667"/>
    <cellStyle name="20% - Accent4 4 9 3 2 2" xfId="53528"/>
    <cellStyle name="20% - Accent4 4 9 3 3" xfId="36481"/>
    <cellStyle name="20% - Accent4 4 9 4" xfId="13945"/>
    <cellStyle name="20% - Accent4 4 9 4 2" xfId="18895"/>
    <cellStyle name="20% - Accent4 4 9 4 2 2" xfId="47756"/>
    <cellStyle name="20% - Accent4 4 9 4 3" xfId="42806"/>
    <cellStyle name="20% - Accent4 4 9 5" xfId="16215"/>
    <cellStyle name="20% - Accent4 4 9 5 2" xfId="45076"/>
    <cellStyle name="20% - Accent4 4 9 6" xfId="30440"/>
    <cellStyle name="20% - Accent4 5" xfId="289"/>
    <cellStyle name="20% - Accent4 5 10" xfId="2452"/>
    <cellStyle name="20% - Accent4 5 10 2" xfId="5339"/>
    <cellStyle name="20% - Accent4 5 10 2 2" xfId="11380"/>
    <cellStyle name="20% - Accent4 5 10 2 2 2" xfId="28427"/>
    <cellStyle name="20% - Accent4 5 10 2 2 2 2" xfId="57288"/>
    <cellStyle name="20% - Accent4 5 10 2 2 3" xfId="40241"/>
    <cellStyle name="20% - Accent4 5 10 2 3" xfId="22449"/>
    <cellStyle name="20% - Accent4 5 10 2 3 2" xfId="51310"/>
    <cellStyle name="20% - Accent4 5 10 2 4" xfId="34200"/>
    <cellStyle name="20% - Accent4 5 10 3" xfId="8494"/>
    <cellStyle name="20% - Accent4 5 10 3 2" xfId="25541"/>
    <cellStyle name="20% - Accent4 5 10 3 2 2" xfId="54402"/>
    <cellStyle name="20% - Accent4 5 10 3 3" xfId="37355"/>
    <cellStyle name="20% - Accent4 5 10 4" xfId="13676"/>
    <cellStyle name="20% - Accent4 5 10 4 2" xfId="19769"/>
    <cellStyle name="20% - Accent4 5 10 4 2 2" xfId="48630"/>
    <cellStyle name="20% - Accent4 5 10 4 3" xfId="42537"/>
    <cellStyle name="20% - Accent4 5 10 5" xfId="17089"/>
    <cellStyle name="20% - Accent4 5 10 5 2" xfId="45950"/>
    <cellStyle name="20% - Accent4 5 10 6" xfId="31314"/>
    <cellStyle name="20% - Accent4 5 11" xfId="2661"/>
    <cellStyle name="20% - Accent4 5 11 2" xfId="5547"/>
    <cellStyle name="20% - Accent4 5 11 2 2" xfId="11588"/>
    <cellStyle name="20% - Accent4 5 11 2 2 2" xfId="28635"/>
    <cellStyle name="20% - Accent4 5 11 2 2 2 2" xfId="57496"/>
    <cellStyle name="20% - Accent4 5 11 2 2 3" xfId="40449"/>
    <cellStyle name="20% - Accent4 5 11 2 3" xfId="22657"/>
    <cellStyle name="20% - Accent4 5 11 2 3 2" xfId="51518"/>
    <cellStyle name="20% - Accent4 5 11 2 4" xfId="34408"/>
    <cellStyle name="20% - Accent4 5 11 3" xfId="8702"/>
    <cellStyle name="20% - Accent4 5 11 3 2" xfId="25749"/>
    <cellStyle name="20% - Accent4 5 11 3 2 2" xfId="54610"/>
    <cellStyle name="20% - Accent4 5 11 3 3" xfId="37563"/>
    <cellStyle name="20% - Accent4 5 11 4" xfId="13846"/>
    <cellStyle name="20% - Accent4 5 11 4 2" xfId="19977"/>
    <cellStyle name="20% - Accent4 5 11 4 2 2" xfId="48838"/>
    <cellStyle name="20% - Accent4 5 11 4 3" xfId="42707"/>
    <cellStyle name="20% - Accent4 5 11 5" xfId="17297"/>
    <cellStyle name="20% - Accent4 5 11 5 2" xfId="46158"/>
    <cellStyle name="20% - Accent4 5 11 6" xfId="31522"/>
    <cellStyle name="20% - Accent4 5 12" xfId="3176"/>
    <cellStyle name="20% - Accent4 5 12 2" xfId="9217"/>
    <cellStyle name="20% - Accent4 5 12 2 2" xfId="26264"/>
    <cellStyle name="20% - Accent4 5 12 2 2 2" xfId="55125"/>
    <cellStyle name="20% - Accent4 5 12 2 3" xfId="38078"/>
    <cellStyle name="20% - Accent4 5 12 3" xfId="13942"/>
    <cellStyle name="20% - Accent4 5 12 3 2" xfId="20286"/>
    <cellStyle name="20% - Accent4 5 12 3 2 2" xfId="49147"/>
    <cellStyle name="20% - Accent4 5 12 3 3" xfId="42803"/>
    <cellStyle name="20% - Accent4 5 12 4" xfId="14926"/>
    <cellStyle name="20% - Accent4 5 12 4 2" xfId="43787"/>
    <cellStyle name="20% - Accent4 5 12 5" xfId="32037"/>
    <cellStyle name="20% - Accent4 5 13" xfId="2867"/>
    <cellStyle name="20% - Accent4 5 13 2" xfId="8908"/>
    <cellStyle name="20% - Accent4 5 13 2 2" xfId="25955"/>
    <cellStyle name="20% - Accent4 5 13 2 2 2" xfId="54816"/>
    <cellStyle name="20% - Accent4 5 13 2 3" xfId="37769"/>
    <cellStyle name="20% - Accent4 5 13 3" xfId="17503"/>
    <cellStyle name="20% - Accent4 5 13 3 2" xfId="46364"/>
    <cellStyle name="20% - Accent4 5 13 4" xfId="31728"/>
    <cellStyle name="20% - Accent4 5 14" xfId="5753"/>
    <cellStyle name="20% - Accent4 5 14 2" xfId="11794"/>
    <cellStyle name="20% - Accent4 5 14 2 2" xfId="28841"/>
    <cellStyle name="20% - Accent4 5 14 2 2 2" xfId="57702"/>
    <cellStyle name="20% - Accent4 5 14 2 3" xfId="40655"/>
    <cellStyle name="20% - Accent4 5 14 3" xfId="22863"/>
    <cellStyle name="20% - Accent4 5 14 3 2" xfId="51724"/>
    <cellStyle name="20% - Accent4 5 14 4" xfId="34614"/>
    <cellStyle name="20% - Accent4 5 15" xfId="5970"/>
    <cellStyle name="20% - Accent4 5 15 2" xfId="23069"/>
    <cellStyle name="20% - Accent4 5 15 2 2" xfId="51930"/>
    <cellStyle name="20% - Accent4 5 15 3" xfId="34831"/>
    <cellStyle name="20% - Accent4 5 16" xfId="6331"/>
    <cellStyle name="20% - Accent4 5 16 2" xfId="23378"/>
    <cellStyle name="20% - Accent4 5 16 2 2" xfId="52239"/>
    <cellStyle name="20% - Accent4 5 16 3" xfId="35192"/>
    <cellStyle name="20% - Accent4 5 17" xfId="14617"/>
    <cellStyle name="20% - Accent4 5 17 2" xfId="43478"/>
    <cellStyle name="20% - Accent4 5 18" xfId="29151"/>
    <cellStyle name="20% - Accent4 5 2" xfId="495"/>
    <cellStyle name="20% - Accent4 5 2 2" xfId="2246"/>
    <cellStyle name="20% - Accent4 5 2 2 2" xfId="5133"/>
    <cellStyle name="20% - Accent4 5 2 2 2 2" xfId="11174"/>
    <cellStyle name="20% - Accent4 5 2 2 2 2 2" xfId="28221"/>
    <cellStyle name="20% - Accent4 5 2 2 2 2 2 2" xfId="57082"/>
    <cellStyle name="20% - Accent4 5 2 2 2 2 3" xfId="40035"/>
    <cellStyle name="20% - Accent4 5 2 2 2 3" xfId="22243"/>
    <cellStyle name="20% - Accent4 5 2 2 2 3 2" xfId="51104"/>
    <cellStyle name="20% - Accent4 5 2 2 2 4" xfId="33994"/>
    <cellStyle name="20% - Accent4 5 2 2 3" xfId="8288"/>
    <cellStyle name="20% - Accent4 5 2 2 3 2" xfId="25335"/>
    <cellStyle name="20% - Accent4 5 2 2 3 2 2" xfId="54196"/>
    <cellStyle name="20% - Accent4 5 2 2 3 3" xfId="37149"/>
    <cellStyle name="20% - Accent4 5 2 2 4" xfId="12096"/>
    <cellStyle name="20% - Accent4 5 2 2 4 2" xfId="19563"/>
    <cellStyle name="20% - Accent4 5 2 2 4 2 2" xfId="48424"/>
    <cellStyle name="20% - Accent4 5 2 2 4 3" xfId="40957"/>
    <cellStyle name="20% - Accent4 5 2 2 5" xfId="16883"/>
    <cellStyle name="20% - Accent4 5 2 2 5 2" xfId="45744"/>
    <cellStyle name="20% - Accent4 5 2 2 6" xfId="31108"/>
    <cellStyle name="20% - Accent4 5 2 3" xfId="3382"/>
    <cellStyle name="20% - Accent4 5 2 3 2" xfId="9423"/>
    <cellStyle name="20% - Accent4 5 2 3 2 2" xfId="26470"/>
    <cellStyle name="20% - Accent4 5 2 3 2 2 2" xfId="55331"/>
    <cellStyle name="20% - Accent4 5 2 3 2 3" xfId="38284"/>
    <cellStyle name="20% - Accent4 5 2 3 3" xfId="20492"/>
    <cellStyle name="20% - Accent4 5 2 3 3 2" xfId="49353"/>
    <cellStyle name="20% - Accent4 5 2 3 4" xfId="32243"/>
    <cellStyle name="20% - Accent4 5 2 4" xfId="6537"/>
    <cellStyle name="20% - Accent4 5 2 4 2" xfId="23584"/>
    <cellStyle name="20% - Accent4 5 2 4 2 2" xfId="52445"/>
    <cellStyle name="20% - Accent4 5 2 4 3" xfId="35398"/>
    <cellStyle name="20% - Accent4 5 2 5" xfId="12566"/>
    <cellStyle name="20% - Accent4 5 2 5 2" xfId="17812"/>
    <cellStyle name="20% - Accent4 5 2 5 2 2" xfId="46673"/>
    <cellStyle name="20% - Accent4 5 2 5 3" xfId="41427"/>
    <cellStyle name="20% - Accent4 5 2 6" xfId="15132"/>
    <cellStyle name="20% - Accent4 5 2 6 2" xfId="43993"/>
    <cellStyle name="20% - Accent4 5 2 7" xfId="29357"/>
    <cellStyle name="20% - Accent4 5 3" xfId="804"/>
    <cellStyle name="20% - Accent4 5 3 2" xfId="3691"/>
    <cellStyle name="20% - Accent4 5 3 2 2" xfId="9732"/>
    <cellStyle name="20% - Accent4 5 3 2 2 2" xfId="26779"/>
    <cellStyle name="20% - Accent4 5 3 2 2 2 2" xfId="55640"/>
    <cellStyle name="20% - Accent4 5 3 2 2 3" xfId="38593"/>
    <cellStyle name="20% - Accent4 5 3 2 3" xfId="20801"/>
    <cellStyle name="20% - Accent4 5 3 2 3 2" xfId="49662"/>
    <cellStyle name="20% - Accent4 5 3 2 4" xfId="32552"/>
    <cellStyle name="20% - Accent4 5 3 3" xfId="6846"/>
    <cellStyle name="20% - Accent4 5 3 3 2" xfId="23893"/>
    <cellStyle name="20% - Accent4 5 3 3 2 2" xfId="52754"/>
    <cellStyle name="20% - Accent4 5 3 3 3" xfId="35707"/>
    <cellStyle name="20% - Accent4 5 3 4" xfId="13860"/>
    <cellStyle name="20% - Accent4 5 3 4 2" xfId="18121"/>
    <cellStyle name="20% - Accent4 5 3 4 2 2" xfId="46982"/>
    <cellStyle name="20% - Accent4 5 3 4 3" xfId="42721"/>
    <cellStyle name="20% - Accent4 5 3 5" xfId="15441"/>
    <cellStyle name="20% - Accent4 5 3 5 2" xfId="44302"/>
    <cellStyle name="20% - Accent4 5 3 6" xfId="29666"/>
    <cellStyle name="20% - Accent4 5 4" xfId="1010"/>
    <cellStyle name="20% - Accent4 5 4 2" xfId="3897"/>
    <cellStyle name="20% - Accent4 5 4 2 2" xfId="9938"/>
    <cellStyle name="20% - Accent4 5 4 2 2 2" xfId="26985"/>
    <cellStyle name="20% - Accent4 5 4 2 2 2 2" xfId="55846"/>
    <cellStyle name="20% - Accent4 5 4 2 2 3" xfId="38799"/>
    <cellStyle name="20% - Accent4 5 4 2 3" xfId="21007"/>
    <cellStyle name="20% - Accent4 5 4 2 3 2" xfId="49868"/>
    <cellStyle name="20% - Accent4 5 4 2 4" xfId="32758"/>
    <cellStyle name="20% - Accent4 5 4 3" xfId="7052"/>
    <cellStyle name="20% - Accent4 5 4 3 2" xfId="24099"/>
    <cellStyle name="20% - Accent4 5 4 3 2 2" xfId="52960"/>
    <cellStyle name="20% - Accent4 5 4 3 3" xfId="35913"/>
    <cellStyle name="20% - Accent4 5 4 4" xfId="13678"/>
    <cellStyle name="20% - Accent4 5 4 4 2" xfId="18327"/>
    <cellStyle name="20% - Accent4 5 4 4 2 2" xfId="47188"/>
    <cellStyle name="20% - Accent4 5 4 4 3" xfId="42539"/>
    <cellStyle name="20% - Accent4 5 4 5" xfId="15647"/>
    <cellStyle name="20% - Accent4 5 4 5 2" xfId="44508"/>
    <cellStyle name="20% - Accent4 5 4 6" xfId="29872"/>
    <cellStyle name="20% - Accent4 5 5" xfId="1216"/>
    <cellStyle name="20% - Accent4 5 5 2" xfId="4103"/>
    <cellStyle name="20% - Accent4 5 5 2 2" xfId="10144"/>
    <cellStyle name="20% - Accent4 5 5 2 2 2" xfId="27191"/>
    <cellStyle name="20% - Accent4 5 5 2 2 2 2" xfId="56052"/>
    <cellStyle name="20% - Accent4 5 5 2 2 3" xfId="39005"/>
    <cellStyle name="20% - Accent4 5 5 2 3" xfId="21213"/>
    <cellStyle name="20% - Accent4 5 5 2 3 2" xfId="50074"/>
    <cellStyle name="20% - Accent4 5 5 2 4" xfId="32964"/>
    <cellStyle name="20% - Accent4 5 5 3" xfId="7258"/>
    <cellStyle name="20% - Accent4 5 5 3 2" xfId="24305"/>
    <cellStyle name="20% - Accent4 5 5 3 2 2" xfId="53166"/>
    <cellStyle name="20% - Accent4 5 5 3 3" xfId="36119"/>
    <cellStyle name="20% - Accent4 5 5 4" xfId="13048"/>
    <cellStyle name="20% - Accent4 5 5 4 2" xfId="18533"/>
    <cellStyle name="20% - Accent4 5 5 4 2 2" xfId="47394"/>
    <cellStyle name="20% - Accent4 5 5 4 3" xfId="41909"/>
    <cellStyle name="20% - Accent4 5 5 5" xfId="15853"/>
    <cellStyle name="20% - Accent4 5 5 5 2" xfId="44714"/>
    <cellStyle name="20% - Accent4 5 5 6" xfId="30078"/>
    <cellStyle name="20% - Accent4 5 6" xfId="1422"/>
    <cellStyle name="20% - Accent4 5 6 2" xfId="4309"/>
    <cellStyle name="20% - Accent4 5 6 2 2" xfId="10350"/>
    <cellStyle name="20% - Accent4 5 6 2 2 2" xfId="27397"/>
    <cellStyle name="20% - Accent4 5 6 2 2 2 2" xfId="56258"/>
    <cellStyle name="20% - Accent4 5 6 2 2 3" xfId="39211"/>
    <cellStyle name="20% - Accent4 5 6 2 3" xfId="21419"/>
    <cellStyle name="20% - Accent4 5 6 2 3 2" xfId="50280"/>
    <cellStyle name="20% - Accent4 5 6 2 4" xfId="33170"/>
    <cellStyle name="20% - Accent4 5 6 3" xfId="7464"/>
    <cellStyle name="20% - Accent4 5 6 3 2" xfId="24511"/>
    <cellStyle name="20% - Accent4 5 6 3 2 2" xfId="53372"/>
    <cellStyle name="20% - Accent4 5 6 3 3" xfId="36325"/>
    <cellStyle name="20% - Accent4 5 6 4" xfId="11956"/>
    <cellStyle name="20% - Accent4 5 6 4 2" xfId="18739"/>
    <cellStyle name="20% - Accent4 5 6 4 2 2" xfId="47600"/>
    <cellStyle name="20% - Accent4 5 6 4 3" xfId="40817"/>
    <cellStyle name="20% - Accent4 5 6 5" xfId="16059"/>
    <cellStyle name="20% - Accent4 5 6 5 2" xfId="44920"/>
    <cellStyle name="20% - Accent4 5 6 6" xfId="30284"/>
    <cellStyle name="20% - Accent4 5 7" xfId="1628"/>
    <cellStyle name="20% - Accent4 5 7 2" xfId="4515"/>
    <cellStyle name="20% - Accent4 5 7 2 2" xfId="10556"/>
    <cellStyle name="20% - Accent4 5 7 2 2 2" xfId="27603"/>
    <cellStyle name="20% - Accent4 5 7 2 2 2 2" xfId="56464"/>
    <cellStyle name="20% - Accent4 5 7 2 2 3" xfId="39417"/>
    <cellStyle name="20% - Accent4 5 7 2 3" xfId="21625"/>
    <cellStyle name="20% - Accent4 5 7 2 3 2" xfId="50486"/>
    <cellStyle name="20% - Accent4 5 7 2 4" xfId="33376"/>
    <cellStyle name="20% - Accent4 5 7 3" xfId="7670"/>
    <cellStyle name="20% - Accent4 5 7 3 2" xfId="24717"/>
    <cellStyle name="20% - Accent4 5 7 3 2 2" xfId="53578"/>
    <cellStyle name="20% - Accent4 5 7 3 3" xfId="36531"/>
    <cellStyle name="20% - Accent4 5 7 4" xfId="13407"/>
    <cellStyle name="20% - Accent4 5 7 4 2" xfId="18945"/>
    <cellStyle name="20% - Accent4 5 7 4 2 2" xfId="47806"/>
    <cellStyle name="20% - Accent4 5 7 4 3" xfId="42268"/>
    <cellStyle name="20% - Accent4 5 7 5" xfId="16265"/>
    <cellStyle name="20% - Accent4 5 7 5 2" xfId="45126"/>
    <cellStyle name="20% - Accent4 5 7 6" xfId="30490"/>
    <cellStyle name="20% - Accent4 5 8" xfId="1834"/>
    <cellStyle name="20% - Accent4 5 8 2" xfId="4721"/>
    <cellStyle name="20% - Accent4 5 8 2 2" xfId="10762"/>
    <cellStyle name="20% - Accent4 5 8 2 2 2" xfId="27809"/>
    <cellStyle name="20% - Accent4 5 8 2 2 2 2" xfId="56670"/>
    <cellStyle name="20% - Accent4 5 8 2 2 3" xfId="39623"/>
    <cellStyle name="20% - Accent4 5 8 2 3" xfId="21831"/>
    <cellStyle name="20% - Accent4 5 8 2 3 2" xfId="50692"/>
    <cellStyle name="20% - Accent4 5 8 2 4" xfId="33582"/>
    <cellStyle name="20% - Accent4 5 8 3" xfId="7876"/>
    <cellStyle name="20% - Accent4 5 8 3 2" xfId="24923"/>
    <cellStyle name="20% - Accent4 5 8 3 2 2" xfId="53784"/>
    <cellStyle name="20% - Accent4 5 8 3 3" xfId="36737"/>
    <cellStyle name="20% - Accent4 5 8 4" xfId="13007"/>
    <cellStyle name="20% - Accent4 5 8 4 2" xfId="19151"/>
    <cellStyle name="20% - Accent4 5 8 4 2 2" xfId="48012"/>
    <cellStyle name="20% - Accent4 5 8 4 3" xfId="41868"/>
    <cellStyle name="20% - Accent4 5 8 5" xfId="16471"/>
    <cellStyle name="20% - Accent4 5 8 5 2" xfId="45332"/>
    <cellStyle name="20% - Accent4 5 8 6" xfId="30696"/>
    <cellStyle name="20% - Accent4 5 9" xfId="2040"/>
    <cellStyle name="20% - Accent4 5 9 2" xfId="4927"/>
    <cellStyle name="20% - Accent4 5 9 2 2" xfId="10968"/>
    <cellStyle name="20% - Accent4 5 9 2 2 2" xfId="28015"/>
    <cellStyle name="20% - Accent4 5 9 2 2 2 2" xfId="56876"/>
    <cellStyle name="20% - Accent4 5 9 2 2 3" xfId="39829"/>
    <cellStyle name="20% - Accent4 5 9 2 3" xfId="22037"/>
    <cellStyle name="20% - Accent4 5 9 2 3 2" xfId="50898"/>
    <cellStyle name="20% - Accent4 5 9 2 4" xfId="33788"/>
    <cellStyle name="20% - Accent4 5 9 3" xfId="8082"/>
    <cellStyle name="20% - Accent4 5 9 3 2" xfId="25129"/>
    <cellStyle name="20% - Accent4 5 9 3 2 2" xfId="53990"/>
    <cellStyle name="20% - Accent4 5 9 3 3" xfId="36943"/>
    <cellStyle name="20% - Accent4 5 9 4" xfId="12301"/>
    <cellStyle name="20% - Accent4 5 9 4 2" xfId="19357"/>
    <cellStyle name="20% - Accent4 5 9 4 2 2" xfId="48218"/>
    <cellStyle name="20% - Accent4 5 9 4 3" xfId="41162"/>
    <cellStyle name="20% - Accent4 5 9 5" xfId="16677"/>
    <cellStyle name="20% - Accent4 5 9 5 2" xfId="45538"/>
    <cellStyle name="20% - Accent4 5 9 6" xfId="30902"/>
    <cellStyle name="20% - Accent4 6" xfId="186"/>
    <cellStyle name="20% - Accent4 6 2" xfId="598"/>
    <cellStyle name="20% - Accent4 6 2 2" xfId="3485"/>
    <cellStyle name="20% - Accent4 6 2 2 2" xfId="9526"/>
    <cellStyle name="20% - Accent4 6 2 2 2 2" xfId="26573"/>
    <cellStyle name="20% - Accent4 6 2 2 2 2 2" xfId="55434"/>
    <cellStyle name="20% - Accent4 6 2 2 2 3" xfId="38387"/>
    <cellStyle name="20% - Accent4 6 2 2 3" xfId="20595"/>
    <cellStyle name="20% - Accent4 6 2 2 3 2" xfId="49456"/>
    <cellStyle name="20% - Accent4 6 2 2 4" xfId="32346"/>
    <cellStyle name="20% - Accent4 6 2 3" xfId="6640"/>
    <cellStyle name="20% - Accent4 6 2 3 2" xfId="23687"/>
    <cellStyle name="20% - Accent4 6 2 3 2 2" xfId="52548"/>
    <cellStyle name="20% - Accent4 6 2 3 3" xfId="35501"/>
    <cellStyle name="20% - Accent4 6 2 4" xfId="12756"/>
    <cellStyle name="20% - Accent4 6 2 4 2" xfId="17915"/>
    <cellStyle name="20% - Accent4 6 2 4 2 2" xfId="46776"/>
    <cellStyle name="20% - Accent4 6 2 4 3" xfId="41617"/>
    <cellStyle name="20% - Accent4 6 2 5" xfId="15235"/>
    <cellStyle name="20% - Accent4 6 2 5 2" xfId="44096"/>
    <cellStyle name="20% - Accent4 6 2 6" xfId="29460"/>
    <cellStyle name="20% - Accent4 6 3" xfId="2143"/>
    <cellStyle name="20% - Accent4 6 3 2" xfId="5030"/>
    <cellStyle name="20% - Accent4 6 3 2 2" xfId="11071"/>
    <cellStyle name="20% - Accent4 6 3 2 2 2" xfId="28118"/>
    <cellStyle name="20% - Accent4 6 3 2 2 2 2" xfId="56979"/>
    <cellStyle name="20% - Accent4 6 3 2 2 3" xfId="39932"/>
    <cellStyle name="20% - Accent4 6 3 2 3" xfId="22140"/>
    <cellStyle name="20% - Accent4 6 3 2 3 2" xfId="51001"/>
    <cellStyle name="20% - Accent4 6 3 2 4" xfId="33891"/>
    <cellStyle name="20% - Accent4 6 3 3" xfId="8185"/>
    <cellStyle name="20% - Accent4 6 3 3 2" xfId="25232"/>
    <cellStyle name="20% - Accent4 6 3 3 2 2" xfId="54093"/>
    <cellStyle name="20% - Accent4 6 3 3 3" xfId="37046"/>
    <cellStyle name="20% - Accent4 6 3 4" xfId="14165"/>
    <cellStyle name="20% - Accent4 6 3 4 2" xfId="19460"/>
    <cellStyle name="20% - Accent4 6 3 4 2 2" xfId="48321"/>
    <cellStyle name="20% - Accent4 6 3 4 3" xfId="43026"/>
    <cellStyle name="20% - Accent4 6 3 5" xfId="16780"/>
    <cellStyle name="20% - Accent4 6 3 5 2" xfId="45641"/>
    <cellStyle name="20% - Accent4 6 3 6" xfId="31005"/>
    <cellStyle name="20% - Accent4 6 4" xfId="3073"/>
    <cellStyle name="20% - Accent4 6 4 2" xfId="9114"/>
    <cellStyle name="20% - Accent4 6 4 2 2" xfId="26161"/>
    <cellStyle name="20% - Accent4 6 4 2 2 2" xfId="55022"/>
    <cellStyle name="20% - Accent4 6 4 2 3" xfId="37975"/>
    <cellStyle name="20% - Accent4 6 4 3" xfId="20183"/>
    <cellStyle name="20% - Accent4 6 4 3 2" xfId="49044"/>
    <cellStyle name="20% - Accent4 6 4 4" xfId="31934"/>
    <cellStyle name="20% - Accent4 6 5" xfId="6228"/>
    <cellStyle name="20% - Accent4 6 5 2" xfId="23275"/>
    <cellStyle name="20% - Accent4 6 5 2 2" xfId="52136"/>
    <cellStyle name="20% - Accent4 6 5 3" xfId="35089"/>
    <cellStyle name="20% - Accent4 6 6" xfId="13415"/>
    <cellStyle name="20% - Accent4 6 6 2" xfId="17606"/>
    <cellStyle name="20% - Accent4 6 6 2 2" xfId="46467"/>
    <cellStyle name="20% - Accent4 6 6 3" xfId="42276"/>
    <cellStyle name="20% - Accent4 6 7" xfId="14823"/>
    <cellStyle name="20% - Accent4 6 7 2" xfId="43684"/>
    <cellStyle name="20% - Accent4 6 8" xfId="29048"/>
    <cellStyle name="20% - Accent4 7" xfId="392"/>
    <cellStyle name="20% - Accent4 7 2" xfId="3279"/>
    <cellStyle name="20% - Accent4 7 2 2" xfId="9320"/>
    <cellStyle name="20% - Accent4 7 2 2 2" xfId="26367"/>
    <cellStyle name="20% - Accent4 7 2 2 2 2" xfId="55228"/>
    <cellStyle name="20% - Accent4 7 2 2 3" xfId="38181"/>
    <cellStyle name="20% - Accent4 7 2 3" xfId="20389"/>
    <cellStyle name="20% - Accent4 7 2 3 2" xfId="49250"/>
    <cellStyle name="20% - Accent4 7 2 4" xfId="32140"/>
    <cellStyle name="20% - Accent4 7 3" xfId="6434"/>
    <cellStyle name="20% - Accent4 7 3 2" xfId="23481"/>
    <cellStyle name="20% - Accent4 7 3 2 2" xfId="52342"/>
    <cellStyle name="20% - Accent4 7 3 3" xfId="35295"/>
    <cellStyle name="20% - Accent4 7 4" xfId="12077"/>
    <cellStyle name="20% - Accent4 7 4 2" xfId="17709"/>
    <cellStyle name="20% - Accent4 7 4 2 2" xfId="46570"/>
    <cellStyle name="20% - Accent4 7 4 3" xfId="40938"/>
    <cellStyle name="20% - Accent4 7 5" xfId="15029"/>
    <cellStyle name="20% - Accent4 7 5 2" xfId="43890"/>
    <cellStyle name="20% - Accent4 7 6" xfId="29254"/>
    <cellStyle name="20% - Accent4 8" xfId="701"/>
    <cellStyle name="20% - Accent4 8 2" xfId="3588"/>
    <cellStyle name="20% - Accent4 8 2 2" xfId="9629"/>
    <cellStyle name="20% - Accent4 8 2 2 2" xfId="26676"/>
    <cellStyle name="20% - Accent4 8 2 2 2 2" xfId="55537"/>
    <cellStyle name="20% - Accent4 8 2 2 3" xfId="38490"/>
    <cellStyle name="20% - Accent4 8 2 3" xfId="20698"/>
    <cellStyle name="20% - Accent4 8 2 3 2" xfId="49559"/>
    <cellStyle name="20% - Accent4 8 2 4" xfId="32449"/>
    <cellStyle name="20% - Accent4 8 3" xfId="6743"/>
    <cellStyle name="20% - Accent4 8 3 2" xfId="23790"/>
    <cellStyle name="20% - Accent4 8 3 2 2" xfId="52651"/>
    <cellStyle name="20% - Accent4 8 3 3" xfId="35604"/>
    <cellStyle name="20% - Accent4 8 4" xfId="14198"/>
    <cellStyle name="20% - Accent4 8 4 2" xfId="18018"/>
    <cellStyle name="20% - Accent4 8 4 2 2" xfId="46879"/>
    <cellStyle name="20% - Accent4 8 4 3" xfId="43059"/>
    <cellStyle name="20% - Accent4 8 5" xfId="15338"/>
    <cellStyle name="20% - Accent4 8 5 2" xfId="44199"/>
    <cellStyle name="20% - Accent4 8 6" xfId="29563"/>
    <cellStyle name="20% - Accent4 9" xfId="907"/>
    <cellStyle name="20% - Accent4 9 2" xfId="3794"/>
    <cellStyle name="20% - Accent4 9 2 2" xfId="9835"/>
    <cellStyle name="20% - Accent4 9 2 2 2" xfId="26882"/>
    <cellStyle name="20% - Accent4 9 2 2 2 2" xfId="55743"/>
    <cellStyle name="20% - Accent4 9 2 2 3" xfId="38696"/>
    <cellStyle name="20% - Accent4 9 2 3" xfId="20904"/>
    <cellStyle name="20% - Accent4 9 2 3 2" xfId="49765"/>
    <cellStyle name="20% - Accent4 9 2 4" xfId="32655"/>
    <cellStyle name="20% - Accent4 9 3" xfId="6949"/>
    <cellStyle name="20% - Accent4 9 3 2" xfId="23996"/>
    <cellStyle name="20% - Accent4 9 3 2 2" xfId="52857"/>
    <cellStyle name="20% - Accent4 9 3 3" xfId="35810"/>
    <cellStyle name="20% - Accent4 9 4" xfId="11944"/>
    <cellStyle name="20% - Accent4 9 4 2" xfId="18224"/>
    <cellStyle name="20% - Accent4 9 4 2 2" xfId="47085"/>
    <cellStyle name="20% - Accent4 9 4 3" xfId="40805"/>
    <cellStyle name="20% - Accent4 9 5" xfId="15544"/>
    <cellStyle name="20% - Accent4 9 5 2" xfId="44405"/>
    <cellStyle name="20% - Accent4 9 6" xfId="29769"/>
    <cellStyle name="20% - Accent5" xfId="82" builtinId="46" customBuiltin="1"/>
    <cellStyle name="20% - Accent5 10" xfId="1115"/>
    <cellStyle name="20% - Accent5 10 2" xfId="4002"/>
    <cellStyle name="20% - Accent5 10 2 2" xfId="10043"/>
    <cellStyle name="20% - Accent5 10 2 2 2" xfId="27090"/>
    <cellStyle name="20% - Accent5 10 2 2 2 2" xfId="55951"/>
    <cellStyle name="20% - Accent5 10 2 2 3" xfId="38904"/>
    <cellStyle name="20% - Accent5 10 2 3" xfId="21112"/>
    <cellStyle name="20% - Accent5 10 2 3 2" xfId="49973"/>
    <cellStyle name="20% - Accent5 10 2 4" xfId="32863"/>
    <cellStyle name="20% - Accent5 10 3" xfId="7157"/>
    <cellStyle name="20% - Accent5 10 3 2" xfId="24204"/>
    <cellStyle name="20% - Accent5 10 3 2 2" xfId="53065"/>
    <cellStyle name="20% - Accent5 10 3 3" xfId="36018"/>
    <cellStyle name="20% - Accent5 10 4" xfId="14297"/>
    <cellStyle name="20% - Accent5 10 4 2" xfId="18432"/>
    <cellStyle name="20% - Accent5 10 4 2 2" xfId="47293"/>
    <cellStyle name="20% - Accent5 10 4 3" xfId="43158"/>
    <cellStyle name="20% - Accent5 10 5" xfId="15752"/>
    <cellStyle name="20% - Accent5 10 5 2" xfId="44613"/>
    <cellStyle name="20% - Accent5 10 6" xfId="29977"/>
    <cellStyle name="20% - Accent5 11" xfId="1321"/>
    <cellStyle name="20% - Accent5 11 2" xfId="4208"/>
    <cellStyle name="20% - Accent5 11 2 2" xfId="10249"/>
    <cellStyle name="20% - Accent5 11 2 2 2" xfId="27296"/>
    <cellStyle name="20% - Accent5 11 2 2 2 2" xfId="56157"/>
    <cellStyle name="20% - Accent5 11 2 2 3" xfId="39110"/>
    <cellStyle name="20% - Accent5 11 2 3" xfId="21318"/>
    <cellStyle name="20% - Accent5 11 2 3 2" xfId="50179"/>
    <cellStyle name="20% - Accent5 11 2 4" xfId="33069"/>
    <cellStyle name="20% - Accent5 11 3" xfId="7363"/>
    <cellStyle name="20% - Accent5 11 3 2" xfId="24410"/>
    <cellStyle name="20% - Accent5 11 3 2 2" xfId="53271"/>
    <cellStyle name="20% - Accent5 11 3 3" xfId="36224"/>
    <cellStyle name="20% - Accent5 11 4" xfId="12446"/>
    <cellStyle name="20% - Accent5 11 4 2" xfId="18638"/>
    <cellStyle name="20% - Accent5 11 4 2 2" xfId="47499"/>
    <cellStyle name="20% - Accent5 11 4 3" xfId="41307"/>
    <cellStyle name="20% - Accent5 11 5" xfId="15958"/>
    <cellStyle name="20% - Accent5 11 5 2" xfId="44819"/>
    <cellStyle name="20% - Accent5 11 6" xfId="30183"/>
    <cellStyle name="20% - Accent5 12" xfId="1527"/>
    <cellStyle name="20% - Accent5 12 2" xfId="4414"/>
    <cellStyle name="20% - Accent5 12 2 2" xfId="10455"/>
    <cellStyle name="20% - Accent5 12 2 2 2" xfId="27502"/>
    <cellStyle name="20% - Accent5 12 2 2 2 2" xfId="56363"/>
    <cellStyle name="20% - Accent5 12 2 2 3" xfId="39316"/>
    <cellStyle name="20% - Accent5 12 2 3" xfId="21524"/>
    <cellStyle name="20% - Accent5 12 2 3 2" xfId="50385"/>
    <cellStyle name="20% - Accent5 12 2 4" xfId="33275"/>
    <cellStyle name="20% - Accent5 12 3" xfId="7569"/>
    <cellStyle name="20% - Accent5 12 3 2" xfId="24616"/>
    <cellStyle name="20% - Accent5 12 3 2 2" xfId="53477"/>
    <cellStyle name="20% - Accent5 12 3 3" xfId="36430"/>
    <cellStyle name="20% - Accent5 12 4" xfId="13750"/>
    <cellStyle name="20% - Accent5 12 4 2" xfId="18844"/>
    <cellStyle name="20% - Accent5 12 4 2 2" xfId="47705"/>
    <cellStyle name="20% - Accent5 12 4 3" xfId="42611"/>
    <cellStyle name="20% - Accent5 12 5" xfId="16164"/>
    <cellStyle name="20% - Accent5 12 5 2" xfId="45025"/>
    <cellStyle name="20% - Accent5 12 6" xfId="30389"/>
    <cellStyle name="20% - Accent5 13" xfId="1733"/>
    <cellStyle name="20% - Accent5 13 2" xfId="4620"/>
    <cellStyle name="20% - Accent5 13 2 2" xfId="10661"/>
    <cellStyle name="20% - Accent5 13 2 2 2" xfId="27708"/>
    <cellStyle name="20% - Accent5 13 2 2 2 2" xfId="56569"/>
    <cellStyle name="20% - Accent5 13 2 2 3" xfId="39522"/>
    <cellStyle name="20% - Accent5 13 2 3" xfId="21730"/>
    <cellStyle name="20% - Accent5 13 2 3 2" xfId="50591"/>
    <cellStyle name="20% - Accent5 13 2 4" xfId="33481"/>
    <cellStyle name="20% - Accent5 13 3" xfId="7775"/>
    <cellStyle name="20% - Accent5 13 3 2" xfId="24822"/>
    <cellStyle name="20% - Accent5 13 3 2 2" xfId="53683"/>
    <cellStyle name="20% - Accent5 13 3 3" xfId="36636"/>
    <cellStyle name="20% - Accent5 13 4" xfId="12569"/>
    <cellStyle name="20% - Accent5 13 4 2" xfId="19050"/>
    <cellStyle name="20% - Accent5 13 4 2 2" xfId="47911"/>
    <cellStyle name="20% - Accent5 13 4 3" xfId="41430"/>
    <cellStyle name="20% - Accent5 13 5" xfId="16370"/>
    <cellStyle name="20% - Accent5 13 5 2" xfId="45231"/>
    <cellStyle name="20% - Accent5 13 6" xfId="30595"/>
    <cellStyle name="20% - Accent5 14" xfId="1939"/>
    <cellStyle name="20% - Accent5 14 2" xfId="4826"/>
    <cellStyle name="20% - Accent5 14 2 2" xfId="10867"/>
    <cellStyle name="20% - Accent5 14 2 2 2" xfId="27914"/>
    <cellStyle name="20% - Accent5 14 2 2 2 2" xfId="56775"/>
    <cellStyle name="20% - Accent5 14 2 2 3" xfId="39728"/>
    <cellStyle name="20% - Accent5 14 2 3" xfId="21936"/>
    <cellStyle name="20% - Accent5 14 2 3 2" xfId="50797"/>
    <cellStyle name="20% - Accent5 14 2 4" xfId="33687"/>
    <cellStyle name="20% - Accent5 14 3" xfId="7981"/>
    <cellStyle name="20% - Accent5 14 3 2" xfId="25028"/>
    <cellStyle name="20% - Accent5 14 3 2 2" xfId="53889"/>
    <cellStyle name="20% - Accent5 14 3 3" xfId="36842"/>
    <cellStyle name="20% - Accent5 14 4" xfId="12924"/>
    <cellStyle name="20% - Accent5 14 4 2" xfId="19256"/>
    <cellStyle name="20% - Accent5 14 4 2 2" xfId="48117"/>
    <cellStyle name="20% - Accent5 14 4 3" xfId="41785"/>
    <cellStyle name="20% - Accent5 14 5" xfId="16576"/>
    <cellStyle name="20% - Accent5 14 5 2" xfId="45437"/>
    <cellStyle name="20% - Accent5 14 6" xfId="30801"/>
    <cellStyle name="20% - Accent5 15" xfId="2351"/>
    <cellStyle name="20% - Accent5 15 2" xfId="5238"/>
    <cellStyle name="20% - Accent5 15 2 2" xfId="11279"/>
    <cellStyle name="20% - Accent5 15 2 2 2" xfId="28326"/>
    <cellStyle name="20% - Accent5 15 2 2 2 2" xfId="57187"/>
    <cellStyle name="20% - Accent5 15 2 2 3" xfId="40140"/>
    <cellStyle name="20% - Accent5 15 2 3" xfId="22348"/>
    <cellStyle name="20% - Accent5 15 2 3 2" xfId="51209"/>
    <cellStyle name="20% - Accent5 15 2 4" xfId="34099"/>
    <cellStyle name="20% - Accent5 15 3" xfId="8393"/>
    <cellStyle name="20% - Accent5 15 3 2" xfId="25440"/>
    <cellStyle name="20% - Accent5 15 3 2 2" xfId="54301"/>
    <cellStyle name="20% - Accent5 15 3 3" xfId="37254"/>
    <cellStyle name="20% - Accent5 15 4" xfId="13496"/>
    <cellStyle name="20% - Accent5 15 4 2" xfId="19668"/>
    <cellStyle name="20% - Accent5 15 4 2 2" xfId="48529"/>
    <cellStyle name="20% - Accent5 15 4 3" xfId="42357"/>
    <cellStyle name="20% - Accent5 15 5" xfId="16988"/>
    <cellStyle name="20% - Accent5 15 5 2" xfId="45849"/>
    <cellStyle name="20% - Accent5 15 6" xfId="31213"/>
    <cellStyle name="20% - Accent5 16" xfId="2560"/>
    <cellStyle name="20% - Accent5 16 2" xfId="5446"/>
    <cellStyle name="20% - Accent5 16 2 2" xfId="11487"/>
    <cellStyle name="20% - Accent5 16 2 2 2" xfId="28534"/>
    <cellStyle name="20% - Accent5 16 2 2 2 2" xfId="57395"/>
    <cellStyle name="20% - Accent5 16 2 2 3" xfId="40348"/>
    <cellStyle name="20% - Accent5 16 2 3" xfId="22556"/>
    <cellStyle name="20% - Accent5 16 2 3 2" xfId="51417"/>
    <cellStyle name="20% - Accent5 16 2 4" xfId="34307"/>
    <cellStyle name="20% - Accent5 16 3" xfId="8601"/>
    <cellStyle name="20% - Accent5 16 3 2" xfId="25648"/>
    <cellStyle name="20% - Accent5 16 3 2 2" xfId="54509"/>
    <cellStyle name="20% - Accent5 16 3 3" xfId="37462"/>
    <cellStyle name="20% - Accent5 16 4" xfId="12064"/>
    <cellStyle name="20% - Accent5 16 4 2" xfId="19876"/>
    <cellStyle name="20% - Accent5 16 4 2 2" xfId="48737"/>
    <cellStyle name="20% - Accent5 16 4 3" xfId="40925"/>
    <cellStyle name="20% - Accent5 16 5" xfId="17196"/>
    <cellStyle name="20% - Accent5 16 5 2" xfId="46057"/>
    <cellStyle name="20% - Accent5 16 6" xfId="31421"/>
    <cellStyle name="20% - Accent5 17" xfId="2972"/>
    <cellStyle name="20% - Accent5 17 2" xfId="9013"/>
    <cellStyle name="20% - Accent5 17 2 2" xfId="26060"/>
    <cellStyle name="20% - Accent5 17 2 2 2" xfId="54921"/>
    <cellStyle name="20% - Accent5 17 2 3" xfId="37874"/>
    <cellStyle name="20% - Accent5 17 3" xfId="14130"/>
    <cellStyle name="20% - Accent5 17 3 2" xfId="20082"/>
    <cellStyle name="20% - Accent5 17 3 2 2" xfId="48943"/>
    <cellStyle name="20% - Accent5 17 3 3" xfId="42991"/>
    <cellStyle name="20% - Accent5 17 4" xfId="14722"/>
    <cellStyle name="20% - Accent5 17 4 2" xfId="43583"/>
    <cellStyle name="20% - Accent5 17 5" xfId="31833"/>
    <cellStyle name="20% - Accent5 18" xfId="2766"/>
    <cellStyle name="20% - Accent5 18 2" xfId="8807"/>
    <cellStyle name="20% - Accent5 18 2 2" xfId="25854"/>
    <cellStyle name="20% - Accent5 18 2 2 2" xfId="54715"/>
    <cellStyle name="20% - Accent5 18 2 3" xfId="37668"/>
    <cellStyle name="20% - Accent5 18 3" xfId="17402"/>
    <cellStyle name="20% - Accent5 18 3 2" xfId="46263"/>
    <cellStyle name="20% - Accent5 18 4" xfId="31627"/>
    <cellStyle name="20% - Accent5 19" xfId="5652"/>
    <cellStyle name="20% - Accent5 19 2" xfId="11693"/>
    <cellStyle name="20% - Accent5 19 2 2" xfId="28740"/>
    <cellStyle name="20% - Accent5 19 2 2 2" xfId="57601"/>
    <cellStyle name="20% - Accent5 19 2 3" xfId="40554"/>
    <cellStyle name="20% - Accent5 19 3" xfId="22762"/>
    <cellStyle name="20% - Accent5 19 3 2" xfId="51623"/>
    <cellStyle name="20% - Accent5 19 4" xfId="34513"/>
    <cellStyle name="20% - Accent5 2" xfId="99"/>
    <cellStyle name="20% - Accent5 2 10" xfId="1335"/>
    <cellStyle name="20% - Accent5 2 10 2" xfId="4222"/>
    <cellStyle name="20% - Accent5 2 10 2 2" xfId="10263"/>
    <cellStyle name="20% - Accent5 2 10 2 2 2" xfId="27310"/>
    <cellStyle name="20% - Accent5 2 10 2 2 2 2" xfId="56171"/>
    <cellStyle name="20% - Accent5 2 10 2 2 3" xfId="39124"/>
    <cellStyle name="20% - Accent5 2 10 2 3" xfId="21332"/>
    <cellStyle name="20% - Accent5 2 10 2 3 2" xfId="50193"/>
    <cellStyle name="20% - Accent5 2 10 2 4" xfId="33083"/>
    <cellStyle name="20% - Accent5 2 10 3" xfId="7377"/>
    <cellStyle name="20% - Accent5 2 10 3 2" xfId="24424"/>
    <cellStyle name="20% - Accent5 2 10 3 2 2" xfId="53285"/>
    <cellStyle name="20% - Accent5 2 10 3 3" xfId="36238"/>
    <cellStyle name="20% - Accent5 2 10 4" xfId="12710"/>
    <cellStyle name="20% - Accent5 2 10 4 2" xfId="18652"/>
    <cellStyle name="20% - Accent5 2 10 4 2 2" xfId="47513"/>
    <cellStyle name="20% - Accent5 2 10 4 3" xfId="41571"/>
    <cellStyle name="20% - Accent5 2 10 5" xfId="15972"/>
    <cellStyle name="20% - Accent5 2 10 5 2" xfId="44833"/>
    <cellStyle name="20% - Accent5 2 10 6" xfId="30197"/>
    <cellStyle name="20% - Accent5 2 11" xfId="1541"/>
    <cellStyle name="20% - Accent5 2 11 2" xfId="4428"/>
    <cellStyle name="20% - Accent5 2 11 2 2" xfId="10469"/>
    <cellStyle name="20% - Accent5 2 11 2 2 2" xfId="27516"/>
    <cellStyle name="20% - Accent5 2 11 2 2 2 2" xfId="56377"/>
    <cellStyle name="20% - Accent5 2 11 2 2 3" xfId="39330"/>
    <cellStyle name="20% - Accent5 2 11 2 3" xfId="21538"/>
    <cellStyle name="20% - Accent5 2 11 2 3 2" xfId="50399"/>
    <cellStyle name="20% - Accent5 2 11 2 4" xfId="33289"/>
    <cellStyle name="20% - Accent5 2 11 3" xfId="7583"/>
    <cellStyle name="20% - Accent5 2 11 3 2" xfId="24630"/>
    <cellStyle name="20% - Accent5 2 11 3 2 2" xfId="53491"/>
    <cellStyle name="20% - Accent5 2 11 3 3" xfId="36444"/>
    <cellStyle name="20% - Accent5 2 11 4" xfId="13630"/>
    <cellStyle name="20% - Accent5 2 11 4 2" xfId="18858"/>
    <cellStyle name="20% - Accent5 2 11 4 2 2" xfId="47719"/>
    <cellStyle name="20% - Accent5 2 11 4 3" xfId="42491"/>
    <cellStyle name="20% - Accent5 2 11 5" xfId="16178"/>
    <cellStyle name="20% - Accent5 2 11 5 2" xfId="45039"/>
    <cellStyle name="20% - Accent5 2 11 6" xfId="30403"/>
    <cellStyle name="20% - Accent5 2 12" xfId="1747"/>
    <cellStyle name="20% - Accent5 2 12 2" xfId="4634"/>
    <cellStyle name="20% - Accent5 2 12 2 2" xfId="10675"/>
    <cellStyle name="20% - Accent5 2 12 2 2 2" xfId="27722"/>
    <cellStyle name="20% - Accent5 2 12 2 2 2 2" xfId="56583"/>
    <cellStyle name="20% - Accent5 2 12 2 2 3" xfId="39536"/>
    <cellStyle name="20% - Accent5 2 12 2 3" xfId="21744"/>
    <cellStyle name="20% - Accent5 2 12 2 3 2" xfId="50605"/>
    <cellStyle name="20% - Accent5 2 12 2 4" xfId="33495"/>
    <cellStyle name="20% - Accent5 2 12 3" xfId="7789"/>
    <cellStyle name="20% - Accent5 2 12 3 2" xfId="24836"/>
    <cellStyle name="20% - Accent5 2 12 3 2 2" xfId="53697"/>
    <cellStyle name="20% - Accent5 2 12 3 3" xfId="36650"/>
    <cellStyle name="20% - Accent5 2 12 4" xfId="12481"/>
    <cellStyle name="20% - Accent5 2 12 4 2" xfId="19064"/>
    <cellStyle name="20% - Accent5 2 12 4 2 2" xfId="47925"/>
    <cellStyle name="20% - Accent5 2 12 4 3" xfId="41342"/>
    <cellStyle name="20% - Accent5 2 12 5" xfId="16384"/>
    <cellStyle name="20% - Accent5 2 12 5 2" xfId="45245"/>
    <cellStyle name="20% - Accent5 2 12 6" xfId="30609"/>
    <cellStyle name="20% - Accent5 2 13" xfId="1953"/>
    <cellStyle name="20% - Accent5 2 13 2" xfId="4840"/>
    <cellStyle name="20% - Accent5 2 13 2 2" xfId="10881"/>
    <cellStyle name="20% - Accent5 2 13 2 2 2" xfId="27928"/>
    <cellStyle name="20% - Accent5 2 13 2 2 2 2" xfId="56789"/>
    <cellStyle name="20% - Accent5 2 13 2 2 3" xfId="39742"/>
    <cellStyle name="20% - Accent5 2 13 2 3" xfId="21950"/>
    <cellStyle name="20% - Accent5 2 13 2 3 2" xfId="50811"/>
    <cellStyle name="20% - Accent5 2 13 2 4" xfId="33701"/>
    <cellStyle name="20% - Accent5 2 13 3" xfId="7995"/>
    <cellStyle name="20% - Accent5 2 13 3 2" xfId="25042"/>
    <cellStyle name="20% - Accent5 2 13 3 2 2" xfId="53903"/>
    <cellStyle name="20% - Accent5 2 13 3 3" xfId="36856"/>
    <cellStyle name="20% - Accent5 2 13 4" xfId="12187"/>
    <cellStyle name="20% - Accent5 2 13 4 2" xfId="19270"/>
    <cellStyle name="20% - Accent5 2 13 4 2 2" xfId="48131"/>
    <cellStyle name="20% - Accent5 2 13 4 3" xfId="41048"/>
    <cellStyle name="20% - Accent5 2 13 5" xfId="16590"/>
    <cellStyle name="20% - Accent5 2 13 5 2" xfId="45451"/>
    <cellStyle name="20% - Accent5 2 13 6" xfId="30815"/>
    <cellStyle name="20% - Accent5 2 14" xfId="2365"/>
    <cellStyle name="20% - Accent5 2 14 2" xfId="5252"/>
    <cellStyle name="20% - Accent5 2 14 2 2" xfId="11293"/>
    <cellStyle name="20% - Accent5 2 14 2 2 2" xfId="28340"/>
    <cellStyle name="20% - Accent5 2 14 2 2 2 2" xfId="57201"/>
    <cellStyle name="20% - Accent5 2 14 2 2 3" xfId="40154"/>
    <cellStyle name="20% - Accent5 2 14 2 3" xfId="22362"/>
    <cellStyle name="20% - Accent5 2 14 2 3 2" xfId="51223"/>
    <cellStyle name="20% - Accent5 2 14 2 4" xfId="34113"/>
    <cellStyle name="20% - Accent5 2 14 3" xfId="8407"/>
    <cellStyle name="20% - Accent5 2 14 3 2" xfId="25454"/>
    <cellStyle name="20% - Accent5 2 14 3 2 2" xfId="54315"/>
    <cellStyle name="20% - Accent5 2 14 3 3" xfId="37268"/>
    <cellStyle name="20% - Accent5 2 14 4" xfId="12580"/>
    <cellStyle name="20% - Accent5 2 14 4 2" xfId="19682"/>
    <cellStyle name="20% - Accent5 2 14 4 2 2" xfId="48543"/>
    <cellStyle name="20% - Accent5 2 14 4 3" xfId="41441"/>
    <cellStyle name="20% - Accent5 2 14 5" xfId="17002"/>
    <cellStyle name="20% - Accent5 2 14 5 2" xfId="45863"/>
    <cellStyle name="20% - Accent5 2 14 6" xfId="31227"/>
    <cellStyle name="20% - Accent5 2 15" xfId="2574"/>
    <cellStyle name="20% - Accent5 2 15 2" xfId="5460"/>
    <cellStyle name="20% - Accent5 2 15 2 2" xfId="11501"/>
    <cellStyle name="20% - Accent5 2 15 2 2 2" xfId="28548"/>
    <cellStyle name="20% - Accent5 2 15 2 2 2 2" xfId="57409"/>
    <cellStyle name="20% - Accent5 2 15 2 2 3" xfId="40362"/>
    <cellStyle name="20% - Accent5 2 15 2 3" xfId="22570"/>
    <cellStyle name="20% - Accent5 2 15 2 3 2" xfId="51431"/>
    <cellStyle name="20% - Accent5 2 15 2 4" xfId="34321"/>
    <cellStyle name="20% - Accent5 2 15 3" xfId="8615"/>
    <cellStyle name="20% - Accent5 2 15 3 2" xfId="25662"/>
    <cellStyle name="20% - Accent5 2 15 3 2 2" xfId="54523"/>
    <cellStyle name="20% - Accent5 2 15 3 3" xfId="37476"/>
    <cellStyle name="20% - Accent5 2 15 4" xfId="12232"/>
    <cellStyle name="20% - Accent5 2 15 4 2" xfId="19890"/>
    <cellStyle name="20% - Accent5 2 15 4 2 2" xfId="48751"/>
    <cellStyle name="20% - Accent5 2 15 4 3" xfId="41093"/>
    <cellStyle name="20% - Accent5 2 15 5" xfId="17210"/>
    <cellStyle name="20% - Accent5 2 15 5 2" xfId="46071"/>
    <cellStyle name="20% - Accent5 2 15 6" xfId="31435"/>
    <cellStyle name="20% - Accent5 2 16" xfId="2986"/>
    <cellStyle name="20% - Accent5 2 16 2" xfId="9027"/>
    <cellStyle name="20% - Accent5 2 16 2 2" xfId="26074"/>
    <cellStyle name="20% - Accent5 2 16 2 2 2" xfId="54935"/>
    <cellStyle name="20% - Accent5 2 16 2 3" xfId="37888"/>
    <cellStyle name="20% - Accent5 2 16 3" xfId="14121"/>
    <cellStyle name="20% - Accent5 2 16 3 2" xfId="20096"/>
    <cellStyle name="20% - Accent5 2 16 3 2 2" xfId="48957"/>
    <cellStyle name="20% - Accent5 2 16 3 3" xfId="42982"/>
    <cellStyle name="20% - Accent5 2 16 4" xfId="14736"/>
    <cellStyle name="20% - Accent5 2 16 4 2" xfId="43597"/>
    <cellStyle name="20% - Accent5 2 16 5" xfId="31847"/>
    <cellStyle name="20% - Accent5 2 17" xfId="2780"/>
    <cellStyle name="20% - Accent5 2 17 2" xfId="8821"/>
    <cellStyle name="20% - Accent5 2 17 2 2" xfId="25868"/>
    <cellStyle name="20% - Accent5 2 17 2 2 2" xfId="54729"/>
    <cellStyle name="20% - Accent5 2 17 2 3" xfId="37682"/>
    <cellStyle name="20% - Accent5 2 17 3" xfId="17416"/>
    <cellStyle name="20% - Accent5 2 17 3 2" xfId="46277"/>
    <cellStyle name="20% - Accent5 2 17 4" xfId="31641"/>
    <cellStyle name="20% - Accent5 2 18" xfId="5666"/>
    <cellStyle name="20% - Accent5 2 18 2" xfId="11707"/>
    <cellStyle name="20% - Accent5 2 18 2 2" xfId="28754"/>
    <cellStyle name="20% - Accent5 2 18 2 2 2" xfId="57615"/>
    <cellStyle name="20% - Accent5 2 18 2 3" xfId="40568"/>
    <cellStyle name="20% - Accent5 2 18 3" xfId="22776"/>
    <cellStyle name="20% - Accent5 2 18 3 2" xfId="51637"/>
    <cellStyle name="20% - Accent5 2 18 4" xfId="34527"/>
    <cellStyle name="20% - Accent5 2 19" xfId="5883"/>
    <cellStyle name="20% - Accent5 2 19 2" xfId="22982"/>
    <cellStyle name="20% - Accent5 2 19 2 2" xfId="51843"/>
    <cellStyle name="20% - Accent5 2 19 3" xfId="34744"/>
    <cellStyle name="20% - Accent5 2 2" xfId="125"/>
    <cellStyle name="20% - Accent5 2 2 10" xfId="1773"/>
    <cellStyle name="20% - Accent5 2 2 10 2" xfId="4660"/>
    <cellStyle name="20% - Accent5 2 2 10 2 2" xfId="10701"/>
    <cellStyle name="20% - Accent5 2 2 10 2 2 2" xfId="27748"/>
    <cellStyle name="20% - Accent5 2 2 10 2 2 2 2" xfId="56609"/>
    <cellStyle name="20% - Accent5 2 2 10 2 2 3" xfId="39562"/>
    <cellStyle name="20% - Accent5 2 2 10 2 3" xfId="21770"/>
    <cellStyle name="20% - Accent5 2 2 10 2 3 2" xfId="50631"/>
    <cellStyle name="20% - Accent5 2 2 10 2 4" xfId="33521"/>
    <cellStyle name="20% - Accent5 2 2 10 3" xfId="7815"/>
    <cellStyle name="20% - Accent5 2 2 10 3 2" xfId="24862"/>
    <cellStyle name="20% - Accent5 2 2 10 3 2 2" xfId="53723"/>
    <cellStyle name="20% - Accent5 2 2 10 3 3" xfId="36676"/>
    <cellStyle name="20% - Accent5 2 2 10 4" xfId="13070"/>
    <cellStyle name="20% - Accent5 2 2 10 4 2" xfId="19090"/>
    <cellStyle name="20% - Accent5 2 2 10 4 2 2" xfId="47951"/>
    <cellStyle name="20% - Accent5 2 2 10 4 3" xfId="41931"/>
    <cellStyle name="20% - Accent5 2 2 10 5" xfId="16410"/>
    <cellStyle name="20% - Accent5 2 2 10 5 2" xfId="45271"/>
    <cellStyle name="20% - Accent5 2 2 10 6" xfId="30635"/>
    <cellStyle name="20% - Accent5 2 2 11" xfId="1979"/>
    <cellStyle name="20% - Accent5 2 2 11 2" xfId="4866"/>
    <cellStyle name="20% - Accent5 2 2 11 2 2" xfId="10907"/>
    <cellStyle name="20% - Accent5 2 2 11 2 2 2" xfId="27954"/>
    <cellStyle name="20% - Accent5 2 2 11 2 2 2 2" xfId="56815"/>
    <cellStyle name="20% - Accent5 2 2 11 2 2 3" xfId="39768"/>
    <cellStyle name="20% - Accent5 2 2 11 2 3" xfId="21976"/>
    <cellStyle name="20% - Accent5 2 2 11 2 3 2" xfId="50837"/>
    <cellStyle name="20% - Accent5 2 2 11 2 4" xfId="33727"/>
    <cellStyle name="20% - Accent5 2 2 11 3" xfId="8021"/>
    <cellStyle name="20% - Accent5 2 2 11 3 2" xfId="25068"/>
    <cellStyle name="20% - Accent5 2 2 11 3 2 2" xfId="53929"/>
    <cellStyle name="20% - Accent5 2 2 11 3 3" xfId="36882"/>
    <cellStyle name="20% - Accent5 2 2 11 4" xfId="14438"/>
    <cellStyle name="20% - Accent5 2 2 11 4 2" xfId="19296"/>
    <cellStyle name="20% - Accent5 2 2 11 4 2 2" xfId="48157"/>
    <cellStyle name="20% - Accent5 2 2 11 4 3" xfId="43299"/>
    <cellStyle name="20% - Accent5 2 2 11 5" xfId="16616"/>
    <cellStyle name="20% - Accent5 2 2 11 5 2" xfId="45477"/>
    <cellStyle name="20% - Accent5 2 2 11 6" xfId="30841"/>
    <cellStyle name="20% - Accent5 2 2 12" xfId="2391"/>
    <cellStyle name="20% - Accent5 2 2 12 2" xfId="5278"/>
    <cellStyle name="20% - Accent5 2 2 12 2 2" xfId="11319"/>
    <cellStyle name="20% - Accent5 2 2 12 2 2 2" xfId="28366"/>
    <cellStyle name="20% - Accent5 2 2 12 2 2 2 2" xfId="57227"/>
    <cellStyle name="20% - Accent5 2 2 12 2 2 3" xfId="40180"/>
    <cellStyle name="20% - Accent5 2 2 12 2 3" xfId="22388"/>
    <cellStyle name="20% - Accent5 2 2 12 2 3 2" xfId="51249"/>
    <cellStyle name="20% - Accent5 2 2 12 2 4" xfId="34139"/>
    <cellStyle name="20% - Accent5 2 2 12 3" xfId="8433"/>
    <cellStyle name="20% - Accent5 2 2 12 3 2" xfId="25480"/>
    <cellStyle name="20% - Accent5 2 2 12 3 2 2" xfId="54341"/>
    <cellStyle name="20% - Accent5 2 2 12 3 3" xfId="37294"/>
    <cellStyle name="20% - Accent5 2 2 12 4" xfId="12248"/>
    <cellStyle name="20% - Accent5 2 2 12 4 2" xfId="19708"/>
    <cellStyle name="20% - Accent5 2 2 12 4 2 2" xfId="48569"/>
    <cellStyle name="20% - Accent5 2 2 12 4 3" xfId="41109"/>
    <cellStyle name="20% - Accent5 2 2 12 5" xfId="17028"/>
    <cellStyle name="20% - Accent5 2 2 12 5 2" xfId="45889"/>
    <cellStyle name="20% - Accent5 2 2 12 6" xfId="31253"/>
    <cellStyle name="20% - Accent5 2 2 13" xfId="2600"/>
    <cellStyle name="20% - Accent5 2 2 13 2" xfId="5486"/>
    <cellStyle name="20% - Accent5 2 2 13 2 2" xfId="11527"/>
    <cellStyle name="20% - Accent5 2 2 13 2 2 2" xfId="28574"/>
    <cellStyle name="20% - Accent5 2 2 13 2 2 2 2" xfId="57435"/>
    <cellStyle name="20% - Accent5 2 2 13 2 2 3" xfId="40388"/>
    <cellStyle name="20% - Accent5 2 2 13 2 3" xfId="22596"/>
    <cellStyle name="20% - Accent5 2 2 13 2 3 2" xfId="51457"/>
    <cellStyle name="20% - Accent5 2 2 13 2 4" xfId="34347"/>
    <cellStyle name="20% - Accent5 2 2 13 3" xfId="8641"/>
    <cellStyle name="20% - Accent5 2 2 13 3 2" xfId="25688"/>
    <cellStyle name="20% - Accent5 2 2 13 3 2 2" xfId="54549"/>
    <cellStyle name="20% - Accent5 2 2 13 3 3" xfId="37502"/>
    <cellStyle name="20% - Accent5 2 2 13 4" xfId="13674"/>
    <cellStyle name="20% - Accent5 2 2 13 4 2" xfId="19916"/>
    <cellStyle name="20% - Accent5 2 2 13 4 2 2" xfId="48777"/>
    <cellStyle name="20% - Accent5 2 2 13 4 3" xfId="42535"/>
    <cellStyle name="20% - Accent5 2 2 13 5" xfId="17236"/>
    <cellStyle name="20% - Accent5 2 2 13 5 2" xfId="46097"/>
    <cellStyle name="20% - Accent5 2 2 13 6" xfId="31461"/>
    <cellStyle name="20% - Accent5 2 2 14" xfId="3012"/>
    <cellStyle name="20% - Accent5 2 2 14 2" xfId="9053"/>
    <cellStyle name="20% - Accent5 2 2 14 2 2" xfId="26100"/>
    <cellStyle name="20% - Accent5 2 2 14 2 2 2" xfId="54961"/>
    <cellStyle name="20% - Accent5 2 2 14 2 3" xfId="37914"/>
    <cellStyle name="20% - Accent5 2 2 14 3" xfId="13563"/>
    <cellStyle name="20% - Accent5 2 2 14 3 2" xfId="20122"/>
    <cellStyle name="20% - Accent5 2 2 14 3 2 2" xfId="48983"/>
    <cellStyle name="20% - Accent5 2 2 14 3 3" xfId="42424"/>
    <cellStyle name="20% - Accent5 2 2 14 4" xfId="14762"/>
    <cellStyle name="20% - Accent5 2 2 14 4 2" xfId="43623"/>
    <cellStyle name="20% - Accent5 2 2 14 5" xfId="31873"/>
    <cellStyle name="20% - Accent5 2 2 15" xfId="2806"/>
    <cellStyle name="20% - Accent5 2 2 15 2" xfId="8847"/>
    <cellStyle name="20% - Accent5 2 2 15 2 2" xfId="25894"/>
    <cellStyle name="20% - Accent5 2 2 15 2 2 2" xfId="54755"/>
    <cellStyle name="20% - Accent5 2 2 15 2 3" xfId="37708"/>
    <cellStyle name="20% - Accent5 2 2 15 3" xfId="17442"/>
    <cellStyle name="20% - Accent5 2 2 15 3 2" xfId="46303"/>
    <cellStyle name="20% - Accent5 2 2 15 4" xfId="31667"/>
    <cellStyle name="20% - Accent5 2 2 16" xfId="5692"/>
    <cellStyle name="20% - Accent5 2 2 16 2" xfId="11733"/>
    <cellStyle name="20% - Accent5 2 2 16 2 2" xfId="28780"/>
    <cellStyle name="20% - Accent5 2 2 16 2 2 2" xfId="57641"/>
    <cellStyle name="20% - Accent5 2 2 16 2 3" xfId="40594"/>
    <cellStyle name="20% - Accent5 2 2 16 3" xfId="22802"/>
    <cellStyle name="20% - Accent5 2 2 16 3 2" xfId="51663"/>
    <cellStyle name="20% - Accent5 2 2 16 4" xfId="34553"/>
    <cellStyle name="20% - Accent5 2 2 17" xfId="5909"/>
    <cellStyle name="20% - Accent5 2 2 17 2" xfId="23008"/>
    <cellStyle name="20% - Accent5 2 2 17 2 2" xfId="51869"/>
    <cellStyle name="20% - Accent5 2 2 17 3" xfId="34770"/>
    <cellStyle name="20% - Accent5 2 2 18" xfId="6167"/>
    <cellStyle name="20% - Accent5 2 2 18 2" xfId="23214"/>
    <cellStyle name="20% - Accent5 2 2 18 2 2" xfId="52075"/>
    <cellStyle name="20% - Accent5 2 2 18 3" xfId="35028"/>
    <cellStyle name="20% - Accent5 2 2 19" xfId="14556"/>
    <cellStyle name="20% - Accent5 2 2 19 2" xfId="43417"/>
    <cellStyle name="20% - Accent5 2 2 2" xfId="331"/>
    <cellStyle name="20% - Accent5 2 2 2 10" xfId="2494"/>
    <cellStyle name="20% - Accent5 2 2 2 10 2" xfId="5381"/>
    <cellStyle name="20% - Accent5 2 2 2 10 2 2" xfId="11422"/>
    <cellStyle name="20% - Accent5 2 2 2 10 2 2 2" xfId="28469"/>
    <cellStyle name="20% - Accent5 2 2 2 10 2 2 2 2" xfId="57330"/>
    <cellStyle name="20% - Accent5 2 2 2 10 2 2 3" xfId="40283"/>
    <cellStyle name="20% - Accent5 2 2 2 10 2 3" xfId="22491"/>
    <cellStyle name="20% - Accent5 2 2 2 10 2 3 2" xfId="51352"/>
    <cellStyle name="20% - Accent5 2 2 2 10 2 4" xfId="34242"/>
    <cellStyle name="20% - Accent5 2 2 2 10 3" xfId="8536"/>
    <cellStyle name="20% - Accent5 2 2 2 10 3 2" xfId="25583"/>
    <cellStyle name="20% - Accent5 2 2 2 10 3 2 2" xfId="54444"/>
    <cellStyle name="20% - Accent5 2 2 2 10 3 3" xfId="37397"/>
    <cellStyle name="20% - Accent5 2 2 2 10 4" xfId="13637"/>
    <cellStyle name="20% - Accent5 2 2 2 10 4 2" xfId="19811"/>
    <cellStyle name="20% - Accent5 2 2 2 10 4 2 2" xfId="48672"/>
    <cellStyle name="20% - Accent5 2 2 2 10 4 3" xfId="42498"/>
    <cellStyle name="20% - Accent5 2 2 2 10 5" xfId="17131"/>
    <cellStyle name="20% - Accent5 2 2 2 10 5 2" xfId="45992"/>
    <cellStyle name="20% - Accent5 2 2 2 10 6" xfId="31356"/>
    <cellStyle name="20% - Accent5 2 2 2 11" xfId="2703"/>
    <cellStyle name="20% - Accent5 2 2 2 11 2" xfId="5589"/>
    <cellStyle name="20% - Accent5 2 2 2 11 2 2" xfId="11630"/>
    <cellStyle name="20% - Accent5 2 2 2 11 2 2 2" xfId="28677"/>
    <cellStyle name="20% - Accent5 2 2 2 11 2 2 2 2" xfId="57538"/>
    <cellStyle name="20% - Accent5 2 2 2 11 2 2 3" xfId="40491"/>
    <cellStyle name="20% - Accent5 2 2 2 11 2 3" xfId="22699"/>
    <cellStyle name="20% - Accent5 2 2 2 11 2 3 2" xfId="51560"/>
    <cellStyle name="20% - Accent5 2 2 2 11 2 4" xfId="34450"/>
    <cellStyle name="20% - Accent5 2 2 2 11 3" xfId="8744"/>
    <cellStyle name="20% - Accent5 2 2 2 11 3 2" xfId="25791"/>
    <cellStyle name="20% - Accent5 2 2 2 11 3 2 2" xfId="54652"/>
    <cellStyle name="20% - Accent5 2 2 2 11 3 3" xfId="37605"/>
    <cellStyle name="20% - Accent5 2 2 2 11 4" xfId="12815"/>
    <cellStyle name="20% - Accent5 2 2 2 11 4 2" xfId="20019"/>
    <cellStyle name="20% - Accent5 2 2 2 11 4 2 2" xfId="48880"/>
    <cellStyle name="20% - Accent5 2 2 2 11 4 3" xfId="41676"/>
    <cellStyle name="20% - Accent5 2 2 2 11 5" xfId="17339"/>
    <cellStyle name="20% - Accent5 2 2 2 11 5 2" xfId="46200"/>
    <cellStyle name="20% - Accent5 2 2 2 11 6" xfId="31564"/>
    <cellStyle name="20% - Accent5 2 2 2 12" xfId="3218"/>
    <cellStyle name="20% - Accent5 2 2 2 12 2" xfId="9259"/>
    <cellStyle name="20% - Accent5 2 2 2 12 2 2" xfId="26306"/>
    <cellStyle name="20% - Accent5 2 2 2 12 2 2 2" xfId="55167"/>
    <cellStyle name="20% - Accent5 2 2 2 12 2 3" xfId="38120"/>
    <cellStyle name="20% - Accent5 2 2 2 12 3" xfId="13513"/>
    <cellStyle name="20% - Accent5 2 2 2 12 3 2" xfId="20328"/>
    <cellStyle name="20% - Accent5 2 2 2 12 3 2 2" xfId="49189"/>
    <cellStyle name="20% - Accent5 2 2 2 12 3 3" xfId="42374"/>
    <cellStyle name="20% - Accent5 2 2 2 12 4" xfId="14968"/>
    <cellStyle name="20% - Accent5 2 2 2 12 4 2" xfId="43829"/>
    <cellStyle name="20% - Accent5 2 2 2 12 5" xfId="32079"/>
    <cellStyle name="20% - Accent5 2 2 2 13" xfId="2909"/>
    <cellStyle name="20% - Accent5 2 2 2 13 2" xfId="8950"/>
    <cellStyle name="20% - Accent5 2 2 2 13 2 2" xfId="25997"/>
    <cellStyle name="20% - Accent5 2 2 2 13 2 2 2" xfId="54858"/>
    <cellStyle name="20% - Accent5 2 2 2 13 2 3" xfId="37811"/>
    <cellStyle name="20% - Accent5 2 2 2 13 3" xfId="17545"/>
    <cellStyle name="20% - Accent5 2 2 2 13 3 2" xfId="46406"/>
    <cellStyle name="20% - Accent5 2 2 2 13 4" xfId="31770"/>
    <cellStyle name="20% - Accent5 2 2 2 14" xfId="5795"/>
    <cellStyle name="20% - Accent5 2 2 2 14 2" xfId="11836"/>
    <cellStyle name="20% - Accent5 2 2 2 14 2 2" xfId="28883"/>
    <cellStyle name="20% - Accent5 2 2 2 14 2 2 2" xfId="57744"/>
    <cellStyle name="20% - Accent5 2 2 2 14 2 3" xfId="40697"/>
    <cellStyle name="20% - Accent5 2 2 2 14 3" xfId="22905"/>
    <cellStyle name="20% - Accent5 2 2 2 14 3 2" xfId="51766"/>
    <cellStyle name="20% - Accent5 2 2 2 14 4" xfId="34656"/>
    <cellStyle name="20% - Accent5 2 2 2 15" xfId="6012"/>
    <cellStyle name="20% - Accent5 2 2 2 15 2" xfId="23111"/>
    <cellStyle name="20% - Accent5 2 2 2 15 2 2" xfId="51972"/>
    <cellStyle name="20% - Accent5 2 2 2 15 3" xfId="34873"/>
    <cellStyle name="20% - Accent5 2 2 2 16" xfId="6373"/>
    <cellStyle name="20% - Accent5 2 2 2 16 2" xfId="23420"/>
    <cellStyle name="20% - Accent5 2 2 2 16 2 2" xfId="52281"/>
    <cellStyle name="20% - Accent5 2 2 2 16 3" xfId="35234"/>
    <cellStyle name="20% - Accent5 2 2 2 17" xfId="14659"/>
    <cellStyle name="20% - Accent5 2 2 2 17 2" xfId="43520"/>
    <cellStyle name="20% - Accent5 2 2 2 18" xfId="29193"/>
    <cellStyle name="20% - Accent5 2 2 2 2" xfId="537"/>
    <cellStyle name="20% - Accent5 2 2 2 2 2" xfId="2288"/>
    <cellStyle name="20% - Accent5 2 2 2 2 2 2" xfId="5175"/>
    <cellStyle name="20% - Accent5 2 2 2 2 2 2 2" xfId="11216"/>
    <cellStyle name="20% - Accent5 2 2 2 2 2 2 2 2" xfId="28263"/>
    <cellStyle name="20% - Accent5 2 2 2 2 2 2 2 2 2" xfId="57124"/>
    <cellStyle name="20% - Accent5 2 2 2 2 2 2 2 3" xfId="40077"/>
    <cellStyle name="20% - Accent5 2 2 2 2 2 2 3" xfId="22285"/>
    <cellStyle name="20% - Accent5 2 2 2 2 2 2 3 2" xfId="51146"/>
    <cellStyle name="20% - Accent5 2 2 2 2 2 2 4" xfId="34036"/>
    <cellStyle name="20% - Accent5 2 2 2 2 2 3" xfId="8330"/>
    <cellStyle name="20% - Accent5 2 2 2 2 2 3 2" xfId="25377"/>
    <cellStyle name="20% - Accent5 2 2 2 2 2 3 2 2" xfId="54238"/>
    <cellStyle name="20% - Accent5 2 2 2 2 2 3 3" xfId="37191"/>
    <cellStyle name="20% - Accent5 2 2 2 2 2 4" xfId="14095"/>
    <cellStyle name="20% - Accent5 2 2 2 2 2 4 2" xfId="19605"/>
    <cellStyle name="20% - Accent5 2 2 2 2 2 4 2 2" xfId="48466"/>
    <cellStyle name="20% - Accent5 2 2 2 2 2 4 3" xfId="42956"/>
    <cellStyle name="20% - Accent5 2 2 2 2 2 5" xfId="16925"/>
    <cellStyle name="20% - Accent5 2 2 2 2 2 5 2" xfId="45786"/>
    <cellStyle name="20% - Accent5 2 2 2 2 2 6" xfId="31150"/>
    <cellStyle name="20% - Accent5 2 2 2 2 3" xfId="3424"/>
    <cellStyle name="20% - Accent5 2 2 2 2 3 2" xfId="9465"/>
    <cellStyle name="20% - Accent5 2 2 2 2 3 2 2" xfId="26512"/>
    <cellStyle name="20% - Accent5 2 2 2 2 3 2 2 2" xfId="55373"/>
    <cellStyle name="20% - Accent5 2 2 2 2 3 2 3" xfId="38326"/>
    <cellStyle name="20% - Accent5 2 2 2 2 3 3" xfId="20534"/>
    <cellStyle name="20% - Accent5 2 2 2 2 3 3 2" xfId="49395"/>
    <cellStyle name="20% - Accent5 2 2 2 2 3 4" xfId="32285"/>
    <cellStyle name="20% - Accent5 2 2 2 2 4" xfId="6579"/>
    <cellStyle name="20% - Accent5 2 2 2 2 4 2" xfId="23626"/>
    <cellStyle name="20% - Accent5 2 2 2 2 4 2 2" xfId="52487"/>
    <cellStyle name="20% - Accent5 2 2 2 2 4 3" xfId="35440"/>
    <cellStyle name="20% - Accent5 2 2 2 2 5" xfId="5841"/>
    <cellStyle name="20% - Accent5 2 2 2 2 5 2" xfId="17854"/>
    <cellStyle name="20% - Accent5 2 2 2 2 5 2 2" xfId="46715"/>
    <cellStyle name="20% - Accent5 2 2 2 2 5 3" xfId="34702"/>
    <cellStyle name="20% - Accent5 2 2 2 2 6" xfId="15174"/>
    <cellStyle name="20% - Accent5 2 2 2 2 6 2" xfId="44035"/>
    <cellStyle name="20% - Accent5 2 2 2 2 7" xfId="29399"/>
    <cellStyle name="20% - Accent5 2 2 2 3" xfId="846"/>
    <cellStyle name="20% - Accent5 2 2 2 3 2" xfId="3733"/>
    <cellStyle name="20% - Accent5 2 2 2 3 2 2" xfId="9774"/>
    <cellStyle name="20% - Accent5 2 2 2 3 2 2 2" xfId="26821"/>
    <cellStyle name="20% - Accent5 2 2 2 3 2 2 2 2" xfId="55682"/>
    <cellStyle name="20% - Accent5 2 2 2 3 2 2 3" xfId="38635"/>
    <cellStyle name="20% - Accent5 2 2 2 3 2 3" xfId="20843"/>
    <cellStyle name="20% - Accent5 2 2 2 3 2 3 2" xfId="49704"/>
    <cellStyle name="20% - Accent5 2 2 2 3 2 4" xfId="32594"/>
    <cellStyle name="20% - Accent5 2 2 2 3 3" xfId="6888"/>
    <cellStyle name="20% - Accent5 2 2 2 3 3 2" xfId="23935"/>
    <cellStyle name="20% - Accent5 2 2 2 3 3 2 2" xfId="52796"/>
    <cellStyle name="20% - Accent5 2 2 2 3 3 3" xfId="35749"/>
    <cellStyle name="20% - Accent5 2 2 2 3 4" xfId="13146"/>
    <cellStyle name="20% - Accent5 2 2 2 3 4 2" xfId="18163"/>
    <cellStyle name="20% - Accent5 2 2 2 3 4 2 2" xfId="47024"/>
    <cellStyle name="20% - Accent5 2 2 2 3 4 3" xfId="42007"/>
    <cellStyle name="20% - Accent5 2 2 2 3 5" xfId="15483"/>
    <cellStyle name="20% - Accent5 2 2 2 3 5 2" xfId="44344"/>
    <cellStyle name="20% - Accent5 2 2 2 3 6" xfId="29708"/>
    <cellStyle name="20% - Accent5 2 2 2 4" xfId="1052"/>
    <cellStyle name="20% - Accent5 2 2 2 4 2" xfId="3939"/>
    <cellStyle name="20% - Accent5 2 2 2 4 2 2" xfId="9980"/>
    <cellStyle name="20% - Accent5 2 2 2 4 2 2 2" xfId="27027"/>
    <cellStyle name="20% - Accent5 2 2 2 4 2 2 2 2" xfId="55888"/>
    <cellStyle name="20% - Accent5 2 2 2 4 2 2 3" xfId="38841"/>
    <cellStyle name="20% - Accent5 2 2 2 4 2 3" xfId="21049"/>
    <cellStyle name="20% - Accent5 2 2 2 4 2 3 2" xfId="49910"/>
    <cellStyle name="20% - Accent5 2 2 2 4 2 4" xfId="32800"/>
    <cellStyle name="20% - Accent5 2 2 2 4 3" xfId="7094"/>
    <cellStyle name="20% - Accent5 2 2 2 4 3 2" xfId="24141"/>
    <cellStyle name="20% - Accent5 2 2 2 4 3 2 2" xfId="53002"/>
    <cellStyle name="20% - Accent5 2 2 2 4 3 3" xfId="35955"/>
    <cellStyle name="20% - Accent5 2 2 2 4 4" xfId="12750"/>
    <cellStyle name="20% - Accent5 2 2 2 4 4 2" xfId="18369"/>
    <cellStyle name="20% - Accent5 2 2 2 4 4 2 2" xfId="47230"/>
    <cellStyle name="20% - Accent5 2 2 2 4 4 3" xfId="41611"/>
    <cellStyle name="20% - Accent5 2 2 2 4 5" xfId="15689"/>
    <cellStyle name="20% - Accent5 2 2 2 4 5 2" xfId="44550"/>
    <cellStyle name="20% - Accent5 2 2 2 4 6" xfId="29914"/>
    <cellStyle name="20% - Accent5 2 2 2 5" xfId="1258"/>
    <cellStyle name="20% - Accent5 2 2 2 5 2" xfId="4145"/>
    <cellStyle name="20% - Accent5 2 2 2 5 2 2" xfId="10186"/>
    <cellStyle name="20% - Accent5 2 2 2 5 2 2 2" xfId="27233"/>
    <cellStyle name="20% - Accent5 2 2 2 5 2 2 2 2" xfId="56094"/>
    <cellStyle name="20% - Accent5 2 2 2 5 2 2 3" xfId="39047"/>
    <cellStyle name="20% - Accent5 2 2 2 5 2 3" xfId="21255"/>
    <cellStyle name="20% - Accent5 2 2 2 5 2 3 2" xfId="50116"/>
    <cellStyle name="20% - Accent5 2 2 2 5 2 4" xfId="33006"/>
    <cellStyle name="20% - Accent5 2 2 2 5 3" xfId="7300"/>
    <cellStyle name="20% - Accent5 2 2 2 5 3 2" xfId="24347"/>
    <cellStyle name="20% - Accent5 2 2 2 5 3 2 2" xfId="53208"/>
    <cellStyle name="20% - Accent5 2 2 2 5 3 3" xfId="36161"/>
    <cellStyle name="20% - Accent5 2 2 2 5 4" xfId="12988"/>
    <cellStyle name="20% - Accent5 2 2 2 5 4 2" xfId="18575"/>
    <cellStyle name="20% - Accent5 2 2 2 5 4 2 2" xfId="47436"/>
    <cellStyle name="20% - Accent5 2 2 2 5 4 3" xfId="41849"/>
    <cellStyle name="20% - Accent5 2 2 2 5 5" xfId="15895"/>
    <cellStyle name="20% - Accent5 2 2 2 5 5 2" xfId="44756"/>
    <cellStyle name="20% - Accent5 2 2 2 5 6" xfId="30120"/>
    <cellStyle name="20% - Accent5 2 2 2 6" xfId="1464"/>
    <cellStyle name="20% - Accent5 2 2 2 6 2" xfId="4351"/>
    <cellStyle name="20% - Accent5 2 2 2 6 2 2" xfId="10392"/>
    <cellStyle name="20% - Accent5 2 2 2 6 2 2 2" xfId="27439"/>
    <cellStyle name="20% - Accent5 2 2 2 6 2 2 2 2" xfId="56300"/>
    <cellStyle name="20% - Accent5 2 2 2 6 2 2 3" xfId="39253"/>
    <cellStyle name="20% - Accent5 2 2 2 6 2 3" xfId="21461"/>
    <cellStyle name="20% - Accent5 2 2 2 6 2 3 2" xfId="50322"/>
    <cellStyle name="20% - Accent5 2 2 2 6 2 4" xfId="33212"/>
    <cellStyle name="20% - Accent5 2 2 2 6 3" xfId="7506"/>
    <cellStyle name="20% - Accent5 2 2 2 6 3 2" xfId="24553"/>
    <cellStyle name="20% - Accent5 2 2 2 6 3 2 2" xfId="53414"/>
    <cellStyle name="20% - Accent5 2 2 2 6 3 3" xfId="36367"/>
    <cellStyle name="20% - Accent5 2 2 2 6 4" xfId="13641"/>
    <cellStyle name="20% - Accent5 2 2 2 6 4 2" xfId="18781"/>
    <cellStyle name="20% - Accent5 2 2 2 6 4 2 2" xfId="47642"/>
    <cellStyle name="20% - Accent5 2 2 2 6 4 3" xfId="42502"/>
    <cellStyle name="20% - Accent5 2 2 2 6 5" xfId="16101"/>
    <cellStyle name="20% - Accent5 2 2 2 6 5 2" xfId="44962"/>
    <cellStyle name="20% - Accent5 2 2 2 6 6" xfId="30326"/>
    <cellStyle name="20% - Accent5 2 2 2 7" xfId="1670"/>
    <cellStyle name="20% - Accent5 2 2 2 7 2" xfId="4557"/>
    <cellStyle name="20% - Accent5 2 2 2 7 2 2" xfId="10598"/>
    <cellStyle name="20% - Accent5 2 2 2 7 2 2 2" xfId="27645"/>
    <cellStyle name="20% - Accent5 2 2 2 7 2 2 2 2" xfId="56506"/>
    <cellStyle name="20% - Accent5 2 2 2 7 2 2 3" xfId="39459"/>
    <cellStyle name="20% - Accent5 2 2 2 7 2 3" xfId="21667"/>
    <cellStyle name="20% - Accent5 2 2 2 7 2 3 2" xfId="50528"/>
    <cellStyle name="20% - Accent5 2 2 2 7 2 4" xfId="33418"/>
    <cellStyle name="20% - Accent5 2 2 2 7 3" xfId="7712"/>
    <cellStyle name="20% - Accent5 2 2 2 7 3 2" xfId="24759"/>
    <cellStyle name="20% - Accent5 2 2 2 7 3 2 2" xfId="53620"/>
    <cellStyle name="20% - Accent5 2 2 2 7 3 3" xfId="36573"/>
    <cellStyle name="20% - Accent5 2 2 2 7 4" xfId="13398"/>
    <cellStyle name="20% - Accent5 2 2 2 7 4 2" xfId="18987"/>
    <cellStyle name="20% - Accent5 2 2 2 7 4 2 2" xfId="47848"/>
    <cellStyle name="20% - Accent5 2 2 2 7 4 3" xfId="42259"/>
    <cellStyle name="20% - Accent5 2 2 2 7 5" xfId="16307"/>
    <cellStyle name="20% - Accent5 2 2 2 7 5 2" xfId="45168"/>
    <cellStyle name="20% - Accent5 2 2 2 7 6" xfId="30532"/>
    <cellStyle name="20% - Accent5 2 2 2 8" xfId="1876"/>
    <cellStyle name="20% - Accent5 2 2 2 8 2" xfId="4763"/>
    <cellStyle name="20% - Accent5 2 2 2 8 2 2" xfId="10804"/>
    <cellStyle name="20% - Accent5 2 2 2 8 2 2 2" xfId="27851"/>
    <cellStyle name="20% - Accent5 2 2 2 8 2 2 2 2" xfId="56712"/>
    <cellStyle name="20% - Accent5 2 2 2 8 2 2 3" xfId="39665"/>
    <cellStyle name="20% - Accent5 2 2 2 8 2 3" xfId="21873"/>
    <cellStyle name="20% - Accent5 2 2 2 8 2 3 2" xfId="50734"/>
    <cellStyle name="20% - Accent5 2 2 2 8 2 4" xfId="33624"/>
    <cellStyle name="20% - Accent5 2 2 2 8 3" xfId="7918"/>
    <cellStyle name="20% - Accent5 2 2 2 8 3 2" xfId="24965"/>
    <cellStyle name="20% - Accent5 2 2 2 8 3 2 2" xfId="53826"/>
    <cellStyle name="20% - Accent5 2 2 2 8 3 3" xfId="36779"/>
    <cellStyle name="20% - Accent5 2 2 2 8 4" xfId="14232"/>
    <cellStyle name="20% - Accent5 2 2 2 8 4 2" xfId="19193"/>
    <cellStyle name="20% - Accent5 2 2 2 8 4 2 2" xfId="48054"/>
    <cellStyle name="20% - Accent5 2 2 2 8 4 3" xfId="43093"/>
    <cellStyle name="20% - Accent5 2 2 2 8 5" xfId="16513"/>
    <cellStyle name="20% - Accent5 2 2 2 8 5 2" xfId="45374"/>
    <cellStyle name="20% - Accent5 2 2 2 8 6" xfId="30738"/>
    <cellStyle name="20% - Accent5 2 2 2 9" xfId="2082"/>
    <cellStyle name="20% - Accent5 2 2 2 9 2" xfId="4969"/>
    <cellStyle name="20% - Accent5 2 2 2 9 2 2" xfId="11010"/>
    <cellStyle name="20% - Accent5 2 2 2 9 2 2 2" xfId="28057"/>
    <cellStyle name="20% - Accent5 2 2 2 9 2 2 2 2" xfId="56918"/>
    <cellStyle name="20% - Accent5 2 2 2 9 2 2 3" xfId="39871"/>
    <cellStyle name="20% - Accent5 2 2 2 9 2 3" xfId="22079"/>
    <cellStyle name="20% - Accent5 2 2 2 9 2 3 2" xfId="50940"/>
    <cellStyle name="20% - Accent5 2 2 2 9 2 4" xfId="33830"/>
    <cellStyle name="20% - Accent5 2 2 2 9 3" xfId="8124"/>
    <cellStyle name="20% - Accent5 2 2 2 9 3 2" xfId="25171"/>
    <cellStyle name="20% - Accent5 2 2 2 9 3 2 2" xfId="54032"/>
    <cellStyle name="20% - Accent5 2 2 2 9 3 3" xfId="36985"/>
    <cellStyle name="20% - Accent5 2 2 2 9 4" xfId="12561"/>
    <cellStyle name="20% - Accent5 2 2 2 9 4 2" xfId="19399"/>
    <cellStyle name="20% - Accent5 2 2 2 9 4 2 2" xfId="48260"/>
    <cellStyle name="20% - Accent5 2 2 2 9 4 3" xfId="41422"/>
    <cellStyle name="20% - Accent5 2 2 2 9 5" xfId="16719"/>
    <cellStyle name="20% - Accent5 2 2 2 9 5 2" xfId="45580"/>
    <cellStyle name="20% - Accent5 2 2 2 9 6" xfId="30944"/>
    <cellStyle name="20% - Accent5 2 2 20" xfId="28987"/>
    <cellStyle name="20% - Accent5 2 2 3" xfId="228"/>
    <cellStyle name="20% - Accent5 2 2 3 2" xfId="640"/>
    <cellStyle name="20% - Accent5 2 2 3 2 2" xfId="3527"/>
    <cellStyle name="20% - Accent5 2 2 3 2 2 2" xfId="9568"/>
    <cellStyle name="20% - Accent5 2 2 3 2 2 2 2" xfId="26615"/>
    <cellStyle name="20% - Accent5 2 2 3 2 2 2 2 2" xfId="55476"/>
    <cellStyle name="20% - Accent5 2 2 3 2 2 2 3" xfId="38429"/>
    <cellStyle name="20% - Accent5 2 2 3 2 2 3" xfId="20637"/>
    <cellStyle name="20% - Accent5 2 2 3 2 2 3 2" xfId="49498"/>
    <cellStyle name="20% - Accent5 2 2 3 2 2 4" xfId="32388"/>
    <cellStyle name="20% - Accent5 2 2 3 2 3" xfId="6682"/>
    <cellStyle name="20% - Accent5 2 2 3 2 3 2" xfId="23729"/>
    <cellStyle name="20% - Accent5 2 2 3 2 3 2 2" xfId="52590"/>
    <cellStyle name="20% - Accent5 2 2 3 2 3 3" xfId="35543"/>
    <cellStyle name="20% - Accent5 2 2 3 2 4" xfId="14190"/>
    <cellStyle name="20% - Accent5 2 2 3 2 4 2" xfId="17957"/>
    <cellStyle name="20% - Accent5 2 2 3 2 4 2 2" xfId="46818"/>
    <cellStyle name="20% - Accent5 2 2 3 2 4 3" xfId="43051"/>
    <cellStyle name="20% - Accent5 2 2 3 2 5" xfId="15277"/>
    <cellStyle name="20% - Accent5 2 2 3 2 5 2" xfId="44138"/>
    <cellStyle name="20% - Accent5 2 2 3 2 6" xfId="29502"/>
    <cellStyle name="20% - Accent5 2 2 3 3" xfId="2185"/>
    <cellStyle name="20% - Accent5 2 2 3 3 2" xfId="5072"/>
    <cellStyle name="20% - Accent5 2 2 3 3 2 2" xfId="11113"/>
    <cellStyle name="20% - Accent5 2 2 3 3 2 2 2" xfId="28160"/>
    <cellStyle name="20% - Accent5 2 2 3 3 2 2 2 2" xfId="57021"/>
    <cellStyle name="20% - Accent5 2 2 3 3 2 2 3" xfId="39974"/>
    <cellStyle name="20% - Accent5 2 2 3 3 2 3" xfId="22182"/>
    <cellStyle name="20% - Accent5 2 2 3 3 2 3 2" xfId="51043"/>
    <cellStyle name="20% - Accent5 2 2 3 3 2 4" xfId="33933"/>
    <cellStyle name="20% - Accent5 2 2 3 3 3" xfId="8227"/>
    <cellStyle name="20% - Accent5 2 2 3 3 3 2" xfId="25274"/>
    <cellStyle name="20% - Accent5 2 2 3 3 3 2 2" xfId="54135"/>
    <cellStyle name="20% - Accent5 2 2 3 3 3 3" xfId="37088"/>
    <cellStyle name="20% - Accent5 2 2 3 3 4" xfId="12751"/>
    <cellStyle name="20% - Accent5 2 2 3 3 4 2" xfId="19502"/>
    <cellStyle name="20% - Accent5 2 2 3 3 4 2 2" xfId="48363"/>
    <cellStyle name="20% - Accent5 2 2 3 3 4 3" xfId="41612"/>
    <cellStyle name="20% - Accent5 2 2 3 3 5" xfId="16822"/>
    <cellStyle name="20% - Accent5 2 2 3 3 5 2" xfId="45683"/>
    <cellStyle name="20% - Accent5 2 2 3 3 6" xfId="31047"/>
    <cellStyle name="20% - Accent5 2 2 3 4" xfId="3115"/>
    <cellStyle name="20% - Accent5 2 2 3 4 2" xfId="9156"/>
    <cellStyle name="20% - Accent5 2 2 3 4 2 2" xfId="26203"/>
    <cellStyle name="20% - Accent5 2 2 3 4 2 2 2" xfId="55064"/>
    <cellStyle name="20% - Accent5 2 2 3 4 2 3" xfId="38017"/>
    <cellStyle name="20% - Accent5 2 2 3 4 3" xfId="20225"/>
    <cellStyle name="20% - Accent5 2 2 3 4 3 2" xfId="49086"/>
    <cellStyle name="20% - Accent5 2 2 3 4 4" xfId="31976"/>
    <cellStyle name="20% - Accent5 2 2 3 5" xfId="6270"/>
    <cellStyle name="20% - Accent5 2 2 3 5 2" xfId="23317"/>
    <cellStyle name="20% - Accent5 2 2 3 5 2 2" xfId="52178"/>
    <cellStyle name="20% - Accent5 2 2 3 5 3" xfId="35131"/>
    <cellStyle name="20% - Accent5 2 2 3 6" xfId="13588"/>
    <cellStyle name="20% - Accent5 2 2 3 6 2" xfId="17648"/>
    <cellStyle name="20% - Accent5 2 2 3 6 2 2" xfId="46509"/>
    <cellStyle name="20% - Accent5 2 2 3 6 3" xfId="42449"/>
    <cellStyle name="20% - Accent5 2 2 3 7" xfId="14865"/>
    <cellStyle name="20% - Accent5 2 2 3 7 2" xfId="43726"/>
    <cellStyle name="20% - Accent5 2 2 3 8" xfId="29090"/>
    <cellStyle name="20% - Accent5 2 2 4" xfId="434"/>
    <cellStyle name="20% - Accent5 2 2 4 2" xfId="3321"/>
    <cellStyle name="20% - Accent5 2 2 4 2 2" xfId="9362"/>
    <cellStyle name="20% - Accent5 2 2 4 2 2 2" xfId="26409"/>
    <cellStyle name="20% - Accent5 2 2 4 2 2 2 2" xfId="55270"/>
    <cellStyle name="20% - Accent5 2 2 4 2 2 3" xfId="38223"/>
    <cellStyle name="20% - Accent5 2 2 4 2 3" xfId="20431"/>
    <cellStyle name="20% - Accent5 2 2 4 2 3 2" xfId="49292"/>
    <cellStyle name="20% - Accent5 2 2 4 2 4" xfId="32182"/>
    <cellStyle name="20% - Accent5 2 2 4 3" xfId="6476"/>
    <cellStyle name="20% - Accent5 2 2 4 3 2" xfId="23523"/>
    <cellStyle name="20% - Accent5 2 2 4 3 2 2" xfId="52384"/>
    <cellStyle name="20% - Accent5 2 2 4 3 3" xfId="35337"/>
    <cellStyle name="20% - Accent5 2 2 4 4" xfId="13590"/>
    <cellStyle name="20% - Accent5 2 2 4 4 2" xfId="17751"/>
    <cellStyle name="20% - Accent5 2 2 4 4 2 2" xfId="46612"/>
    <cellStyle name="20% - Accent5 2 2 4 4 3" xfId="42451"/>
    <cellStyle name="20% - Accent5 2 2 4 5" xfId="15071"/>
    <cellStyle name="20% - Accent5 2 2 4 5 2" xfId="43932"/>
    <cellStyle name="20% - Accent5 2 2 4 6" xfId="29296"/>
    <cellStyle name="20% - Accent5 2 2 5" xfId="743"/>
    <cellStyle name="20% - Accent5 2 2 5 2" xfId="3630"/>
    <cellStyle name="20% - Accent5 2 2 5 2 2" xfId="9671"/>
    <cellStyle name="20% - Accent5 2 2 5 2 2 2" xfId="26718"/>
    <cellStyle name="20% - Accent5 2 2 5 2 2 2 2" xfId="55579"/>
    <cellStyle name="20% - Accent5 2 2 5 2 2 3" xfId="38532"/>
    <cellStyle name="20% - Accent5 2 2 5 2 3" xfId="20740"/>
    <cellStyle name="20% - Accent5 2 2 5 2 3 2" xfId="49601"/>
    <cellStyle name="20% - Accent5 2 2 5 2 4" xfId="32491"/>
    <cellStyle name="20% - Accent5 2 2 5 3" xfId="6785"/>
    <cellStyle name="20% - Accent5 2 2 5 3 2" xfId="23832"/>
    <cellStyle name="20% - Accent5 2 2 5 3 2 2" xfId="52693"/>
    <cellStyle name="20% - Accent5 2 2 5 3 3" xfId="35646"/>
    <cellStyle name="20% - Accent5 2 2 5 4" xfId="14404"/>
    <cellStyle name="20% - Accent5 2 2 5 4 2" xfId="18060"/>
    <cellStyle name="20% - Accent5 2 2 5 4 2 2" xfId="46921"/>
    <cellStyle name="20% - Accent5 2 2 5 4 3" xfId="43265"/>
    <cellStyle name="20% - Accent5 2 2 5 5" xfId="15380"/>
    <cellStyle name="20% - Accent5 2 2 5 5 2" xfId="44241"/>
    <cellStyle name="20% - Accent5 2 2 5 6" xfId="29605"/>
    <cellStyle name="20% - Accent5 2 2 6" xfId="949"/>
    <cellStyle name="20% - Accent5 2 2 6 2" xfId="3836"/>
    <cellStyle name="20% - Accent5 2 2 6 2 2" xfId="9877"/>
    <cellStyle name="20% - Accent5 2 2 6 2 2 2" xfId="26924"/>
    <cellStyle name="20% - Accent5 2 2 6 2 2 2 2" xfId="55785"/>
    <cellStyle name="20% - Accent5 2 2 6 2 2 3" xfId="38738"/>
    <cellStyle name="20% - Accent5 2 2 6 2 3" xfId="20946"/>
    <cellStyle name="20% - Accent5 2 2 6 2 3 2" xfId="49807"/>
    <cellStyle name="20% - Accent5 2 2 6 2 4" xfId="32697"/>
    <cellStyle name="20% - Accent5 2 2 6 3" xfId="6991"/>
    <cellStyle name="20% - Accent5 2 2 6 3 2" xfId="24038"/>
    <cellStyle name="20% - Accent5 2 2 6 3 2 2" xfId="52899"/>
    <cellStyle name="20% - Accent5 2 2 6 3 3" xfId="35852"/>
    <cellStyle name="20% - Accent5 2 2 6 4" xfId="13411"/>
    <cellStyle name="20% - Accent5 2 2 6 4 2" xfId="18266"/>
    <cellStyle name="20% - Accent5 2 2 6 4 2 2" xfId="47127"/>
    <cellStyle name="20% - Accent5 2 2 6 4 3" xfId="42272"/>
    <cellStyle name="20% - Accent5 2 2 6 5" xfId="15586"/>
    <cellStyle name="20% - Accent5 2 2 6 5 2" xfId="44447"/>
    <cellStyle name="20% - Accent5 2 2 6 6" xfId="29811"/>
    <cellStyle name="20% - Accent5 2 2 7" xfId="1155"/>
    <cellStyle name="20% - Accent5 2 2 7 2" xfId="4042"/>
    <cellStyle name="20% - Accent5 2 2 7 2 2" xfId="10083"/>
    <cellStyle name="20% - Accent5 2 2 7 2 2 2" xfId="27130"/>
    <cellStyle name="20% - Accent5 2 2 7 2 2 2 2" xfId="55991"/>
    <cellStyle name="20% - Accent5 2 2 7 2 2 3" xfId="38944"/>
    <cellStyle name="20% - Accent5 2 2 7 2 3" xfId="21152"/>
    <cellStyle name="20% - Accent5 2 2 7 2 3 2" xfId="50013"/>
    <cellStyle name="20% - Accent5 2 2 7 2 4" xfId="32903"/>
    <cellStyle name="20% - Accent5 2 2 7 3" xfId="7197"/>
    <cellStyle name="20% - Accent5 2 2 7 3 2" xfId="24244"/>
    <cellStyle name="20% - Accent5 2 2 7 3 2 2" xfId="53105"/>
    <cellStyle name="20% - Accent5 2 2 7 3 3" xfId="36058"/>
    <cellStyle name="20% - Accent5 2 2 7 4" xfId="11921"/>
    <cellStyle name="20% - Accent5 2 2 7 4 2" xfId="18472"/>
    <cellStyle name="20% - Accent5 2 2 7 4 2 2" xfId="47333"/>
    <cellStyle name="20% - Accent5 2 2 7 4 3" xfId="40782"/>
    <cellStyle name="20% - Accent5 2 2 7 5" xfId="15792"/>
    <cellStyle name="20% - Accent5 2 2 7 5 2" xfId="44653"/>
    <cellStyle name="20% - Accent5 2 2 7 6" xfId="30017"/>
    <cellStyle name="20% - Accent5 2 2 8" xfId="1361"/>
    <cellStyle name="20% - Accent5 2 2 8 2" xfId="4248"/>
    <cellStyle name="20% - Accent5 2 2 8 2 2" xfId="10289"/>
    <cellStyle name="20% - Accent5 2 2 8 2 2 2" xfId="27336"/>
    <cellStyle name="20% - Accent5 2 2 8 2 2 2 2" xfId="56197"/>
    <cellStyle name="20% - Accent5 2 2 8 2 2 3" xfId="39150"/>
    <cellStyle name="20% - Accent5 2 2 8 2 3" xfId="21358"/>
    <cellStyle name="20% - Accent5 2 2 8 2 3 2" xfId="50219"/>
    <cellStyle name="20% - Accent5 2 2 8 2 4" xfId="33109"/>
    <cellStyle name="20% - Accent5 2 2 8 3" xfId="7403"/>
    <cellStyle name="20% - Accent5 2 2 8 3 2" xfId="24450"/>
    <cellStyle name="20% - Accent5 2 2 8 3 2 2" xfId="53311"/>
    <cellStyle name="20% - Accent5 2 2 8 3 3" xfId="36264"/>
    <cellStyle name="20% - Accent5 2 2 8 4" xfId="12006"/>
    <cellStyle name="20% - Accent5 2 2 8 4 2" xfId="18678"/>
    <cellStyle name="20% - Accent5 2 2 8 4 2 2" xfId="47539"/>
    <cellStyle name="20% - Accent5 2 2 8 4 3" xfId="40867"/>
    <cellStyle name="20% - Accent5 2 2 8 5" xfId="15998"/>
    <cellStyle name="20% - Accent5 2 2 8 5 2" xfId="44859"/>
    <cellStyle name="20% - Accent5 2 2 8 6" xfId="30223"/>
    <cellStyle name="20% - Accent5 2 2 9" xfId="1567"/>
    <cellStyle name="20% - Accent5 2 2 9 2" xfId="4454"/>
    <cellStyle name="20% - Accent5 2 2 9 2 2" xfId="10495"/>
    <cellStyle name="20% - Accent5 2 2 9 2 2 2" xfId="27542"/>
    <cellStyle name="20% - Accent5 2 2 9 2 2 2 2" xfId="56403"/>
    <cellStyle name="20% - Accent5 2 2 9 2 2 3" xfId="39356"/>
    <cellStyle name="20% - Accent5 2 2 9 2 3" xfId="21564"/>
    <cellStyle name="20% - Accent5 2 2 9 2 3 2" xfId="50425"/>
    <cellStyle name="20% - Accent5 2 2 9 2 4" xfId="33315"/>
    <cellStyle name="20% - Accent5 2 2 9 3" xfId="7609"/>
    <cellStyle name="20% - Accent5 2 2 9 3 2" xfId="24656"/>
    <cellStyle name="20% - Accent5 2 2 9 3 2 2" xfId="53517"/>
    <cellStyle name="20% - Accent5 2 2 9 3 3" xfId="36470"/>
    <cellStyle name="20% - Accent5 2 2 9 4" xfId="13861"/>
    <cellStyle name="20% - Accent5 2 2 9 4 2" xfId="18884"/>
    <cellStyle name="20% - Accent5 2 2 9 4 2 2" xfId="47745"/>
    <cellStyle name="20% - Accent5 2 2 9 4 3" xfId="42722"/>
    <cellStyle name="20% - Accent5 2 2 9 5" xfId="16204"/>
    <cellStyle name="20% - Accent5 2 2 9 5 2" xfId="45065"/>
    <cellStyle name="20% - Accent5 2 2 9 6" xfId="30429"/>
    <cellStyle name="20% - Accent5 2 20" xfId="6141"/>
    <cellStyle name="20% - Accent5 2 20 2" xfId="23188"/>
    <cellStyle name="20% - Accent5 2 20 2 2" xfId="52049"/>
    <cellStyle name="20% - Accent5 2 20 3" xfId="35002"/>
    <cellStyle name="20% - Accent5 2 21" xfId="14530"/>
    <cellStyle name="20% - Accent5 2 21 2" xfId="43391"/>
    <cellStyle name="20% - Accent5 2 22" xfId="28961"/>
    <cellStyle name="20% - Accent5 2 3" xfId="151"/>
    <cellStyle name="20% - Accent5 2 3 10" xfId="1799"/>
    <cellStyle name="20% - Accent5 2 3 10 2" xfId="4686"/>
    <cellStyle name="20% - Accent5 2 3 10 2 2" xfId="10727"/>
    <cellStyle name="20% - Accent5 2 3 10 2 2 2" xfId="27774"/>
    <cellStyle name="20% - Accent5 2 3 10 2 2 2 2" xfId="56635"/>
    <cellStyle name="20% - Accent5 2 3 10 2 2 3" xfId="39588"/>
    <cellStyle name="20% - Accent5 2 3 10 2 3" xfId="21796"/>
    <cellStyle name="20% - Accent5 2 3 10 2 3 2" xfId="50657"/>
    <cellStyle name="20% - Accent5 2 3 10 2 4" xfId="33547"/>
    <cellStyle name="20% - Accent5 2 3 10 3" xfId="7841"/>
    <cellStyle name="20% - Accent5 2 3 10 3 2" xfId="24888"/>
    <cellStyle name="20% - Accent5 2 3 10 3 2 2" xfId="53749"/>
    <cellStyle name="20% - Accent5 2 3 10 3 3" xfId="36702"/>
    <cellStyle name="20% - Accent5 2 3 10 4" xfId="13225"/>
    <cellStyle name="20% - Accent5 2 3 10 4 2" xfId="19116"/>
    <cellStyle name="20% - Accent5 2 3 10 4 2 2" xfId="47977"/>
    <cellStyle name="20% - Accent5 2 3 10 4 3" xfId="42086"/>
    <cellStyle name="20% - Accent5 2 3 10 5" xfId="16436"/>
    <cellStyle name="20% - Accent5 2 3 10 5 2" xfId="45297"/>
    <cellStyle name="20% - Accent5 2 3 10 6" xfId="30661"/>
    <cellStyle name="20% - Accent5 2 3 11" xfId="2005"/>
    <cellStyle name="20% - Accent5 2 3 11 2" xfId="4892"/>
    <cellStyle name="20% - Accent5 2 3 11 2 2" xfId="10933"/>
    <cellStyle name="20% - Accent5 2 3 11 2 2 2" xfId="27980"/>
    <cellStyle name="20% - Accent5 2 3 11 2 2 2 2" xfId="56841"/>
    <cellStyle name="20% - Accent5 2 3 11 2 2 3" xfId="39794"/>
    <cellStyle name="20% - Accent5 2 3 11 2 3" xfId="22002"/>
    <cellStyle name="20% - Accent5 2 3 11 2 3 2" xfId="50863"/>
    <cellStyle name="20% - Accent5 2 3 11 2 4" xfId="33753"/>
    <cellStyle name="20% - Accent5 2 3 11 3" xfId="8047"/>
    <cellStyle name="20% - Accent5 2 3 11 3 2" xfId="25094"/>
    <cellStyle name="20% - Accent5 2 3 11 3 2 2" xfId="53955"/>
    <cellStyle name="20% - Accent5 2 3 11 3 3" xfId="36908"/>
    <cellStyle name="20% - Accent5 2 3 11 4" xfId="12174"/>
    <cellStyle name="20% - Accent5 2 3 11 4 2" xfId="19322"/>
    <cellStyle name="20% - Accent5 2 3 11 4 2 2" xfId="48183"/>
    <cellStyle name="20% - Accent5 2 3 11 4 3" xfId="41035"/>
    <cellStyle name="20% - Accent5 2 3 11 5" xfId="16642"/>
    <cellStyle name="20% - Accent5 2 3 11 5 2" xfId="45503"/>
    <cellStyle name="20% - Accent5 2 3 11 6" xfId="30867"/>
    <cellStyle name="20% - Accent5 2 3 12" xfId="2417"/>
    <cellStyle name="20% - Accent5 2 3 12 2" xfId="5304"/>
    <cellStyle name="20% - Accent5 2 3 12 2 2" xfId="11345"/>
    <cellStyle name="20% - Accent5 2 3 12 2 2 2" xfId="28392"/>
    <cellStyle name="20% - Accent5 2 3 12 2 2 2 2" xfId="57253"/>
    <cellStyle name="20% - Accent5 2 3 12 2 2 3" xfId="40206"/>
    <cellStyle name="20% - Accent5 2 3 12 2 3" xfId="22414"/>
    <cellStyle name="20% - Accent5 2 3 12 2 3 2" xfId="51275"/>
    <cellStyle name="20% - Accent5 2 3 12 2 4" xfId="34165"/>
    <cellStyle name="20% - Accent5 2 3 12 3" xfId="8459"/>
    <cellStyle name="20% - Accent5 2 3 12 3 2" xfId="25506"/>
    <cellStyle name="20% - Accent5 2 3 12 3 2 2" xfId="54367"/>
    <cellStyle name="20% - Accent5 2 3 12 3 3" xfId="37320"/>
    <cellStyle name="20% - Accent5 2 3 12 4" xfId="13327"/>
    <cellStyle name="20% - Accent5 2 3 12 4 2" xfId="19734"/>
    <cellStyle name="20% - Accent5 2 3 12 4 2 2" xfId="48595"/>
    <cellStyle name="20% - Accent5 2 3 12 4 3" xfId="42188"/>
    <cellStyle name="20% - Accent5 2 3 12 5" xfId="17054"/>
    <cellStyle name="20% - Accent5 2 3 12 5 2" xfId="45915"/>
    <cellStyle name="20% - Accent5 2 3 12 6" xfId="31279"/>
    <cellStyle name="20% - Accent5 2 3 13" xfId="2626"/>
    <cellStyle name="20% - Accent5 2 3 13 2" xfId="5512"/>
    <cellStyle name="20% - Accent5 2 3 13 2 2" xfId="11553"/>
    <cellStyle name="20% - Accent5 2 3 13 2 2 2" xfId="28600"/>
    <cellStyle name="20% - Accent5 2 3 13 2 2 2 2" xfId="57461"/>
    <cellStyle name="20% - Accent5 2 3 13 2 2 3" xfId="40414"/>
    <cellStyle name="20% - Accent5 2 3 13 2 3" xfId="22622"/>
    <cellStyle name="20% - Accent5 2 3 13 2 3 2" xfId="51483"/>
    <cellStyle name="20% - Accent5 2 3 13 2 4" xfId="34373"/>
    <cellStyle name="20% - Accent5 2 3 13 3" xfId="8667"/>
    <cellStyle name="20% - Accent5 2 3 13 3 2" xfId="25714"/>
    <cellStyle name="20% - Accent5 2 3 13 3 2 2" xfId="54575"/>
    <cellStyle name="20% - Accent5 2 3 13 3 3" xfId="37528"/>
    <cellStyle name="20% - Accent5 2 3 13 4" xfId="13515"/>
    <cellStyle name="20% - Accent5 2 3 13 4 2" xfId="19942"/>
    <cellStyle name="20% - Accent5 2 3 13 4 2 2" xfId="48803"/>
    <cellStyle name="20% - Accent5 2 3 13 4 3" xfId="42376"/>
    <cellStyle name="20% - Accent5 2 3 13 5" xfId="17262"/>
    <cellStyle name="20% - Accent5 2 3 13 5 2" xfId="46123"/>
    <cellStyle name="20% - Accent5 2 3 13 6" xfId="31487"/>
    <cellStyle name="20% - Accent5 2 3 14" xfId="3038"/>
    <cellStyle name="20% - Accent5 2 3 14 2" xfId="9079"/>
    <cellStyle name="20% - Accent5 2 3 14 2 2" xfId="26126"/>
    <cellStyle name="20% - Accent5 2 3 14 2 2 2" xfId="54987"/>
    <cellStyle name="20% - Accent5 2 3 14 2 3" xfId="37940"/>
    <cellStyle name="20% - Accent5 2 3 14 3" xfId="13523"/>
    <cellStyle name="20% - Accent5 2 3 14 3 2" xfId="20148"/>
    <cellStyle name="20% - Accent5 2 3 14 3 2 2" xfId="49009"/>
    <cellStyle name="20% - Accent5 2 3 14 3 3" xfId="42384"/>
    <cellStyle name="20% - Accent5 2 3 14 4" xfId="14788"/>
    <cellStyle name="20% - Accent5 2 3 14 4 2" xfId="43649"/>
    <cellStyle name="20% - Accent5 2 3 14 5" xfId="31899"/>
    <cellStyle name="20% - Accent5 2 3 15" xfId="2832"/>
    <cellStyle name="20% - Accent5 2 3 15 2" xfId="8873"/>
    <cellStyle name="20% - Accent5 2 3 15 2 2" xfId="25920"/>
    <cellStyle name="20% - Accent5 2 3 15 2 2 2" xfId="54781"/>
    <cellStyle name="20% - Accent5 2 3 15 2 3" xfId="37734"/>
    <cellStyle name="20% - Accent5 2 3 15 3" xfId="17468"/>
    <cellStyle name="20% - Accent5 2 3 15 3 2" xfId="46329"/>
    <cellStyle name="20% - Accent5 2 3 15 4" xfId="31693"/>
    <cellStyle name="20% - Accent5 2 3 16" xfId="5718"/>
    <cellStyle name="20% - Accent5 2 3 16 2" xfId="11759"/>
    <cellStyle name="20% - Accent5 2 3 16 2 2" xfId="28806"/>
    <cellStyle name="20% - Accent5 2 3 16 2 2 2" xfId="57667"/>
    <cellStyle name="20% - Accent5 2 3 16 2 3" xfId="40620"/>
    <cellStyle name="20% - Accent5 2 3 16 3" xfId="22828"/>
    <cellStyle name="20% - Accent5 2 3 16 3 2" xfId="51689"/>
    <cellStyle name="20% - Accent5 2 3 16 4" xfId="34579"/>
    <cellStyle name="20% - Accent5 2 3 17" xfId="5935"/>
    <cellStyle name="20% - Accent5 2 3 17 2" xfId="23034"/>
    <cellStyle name="20% - Accent5 2 3 17 2 2" xfId="51895"/>
    <cellStyle name="20% - Accent5 2 3 17 3" xfId="34796"/>
    <cellStyle name="20% - Accent5 2 3 18" xfId="6193"/>
    <cellStyle name="20% - Accent5 2 3 18 2" xfId="23240"/>
    <cellStyle name="20% - Accent5 2 3 18 2 2" xfId="52101"/>
    <cellStyle name="20% - Accent5 2 3 18 3" xfId="35054"/>
    <cellStyle name="20% - Accent5 2 3 19" xfId="14582"/>
    <cellStyle name="20% - Accent5 2 3 19 2" xfId="43443"/>
    <cellStyle name="20% - Accent5 2 3 2" xfId="357"/>
    <cellStyle name="20% - Accent5 2 3 2 10" xfId="2520"/>
    <cellStyle name="20% - Accent5 2 3 2 10 2" xfId="5407"/>
    <cellStyle name="20% - Accent5 2 3 2 10 2 2" xfId="11448"/>
    <cellStyle name="20% - Accent5 2 3 2 10 2 2 2" xfId="28495"/>
    <cellStyle name="20% - Accent5 2 3 2 10 2 2 2 2" xfId="57356"/>
    <cellStyle name="20% - Accent5 2 3 2 10 2 2 3" xfId="40309"/>
    <cellStyle name="20% - Accent5 2 3 2 10 2 3" xfId="22517"/>
    <cellStyle name="20% - Accent5 2 3 2 10 2 3 2" xfId="51378"/>
    <cellStyle name="20% - Accent5 2 3 2 10 2 4" xfId="34268"/>
    <cellStyle name="20% - Accent5 2 3 2 10 3" xfId="8562"/>
    <cellStyle name="20% - Accent5 2 3 2 10 3 2" xfId="25609"/>
    <cellStyle name="20% - Accent5 2 3 2 10 3 2 2" xfId="54470"/>
    <cellStyle name="20% - Accent5 2 3 2 10 3 3" xfId="37423"/>
    <cellStyle name="20% - Accent5 2 3 2 10 4" xfId="14242"/>
    <cellStyle name="20% - Accent5 2 3 2 10 4 2" xfId="19837"/>
    <cellStyle name="20% - Accent5 2 3 2 10 4 2 2" xfId="48698"/>
    <cellStyle name="20% - Accent5 2 3 2 10 4 3" xfId="43103"/>
    <cellStyle name="20% - Accent5 2 3 2 10 5" xfId="17157"/>
    <cellStyle name="20% - Accent5 2 3 2 10 5 2" xfId="46018"/>
    <cellStyle name="20% - Accent5 2 3 2 10 6" xfId="31382"/>
    <cellStyle name="20% - Accent5 2 3 2 11" xfId="2729"/>
    <cellStyle name="20% - Accent5 2 3 2 11 2" xfId="5615"/>
    <cellStyle name="20% - Accent5 2 3 2 11 2 2" xfId="11656"/>
    <cellStyle name="20% - Accent5 2 3 2 11 2 2 2" xfId="28703"/>
    <cellStyle name="20% - Accent5 2 3 2 11 2 2 2 2" xfId="57564"/>
    <cellStyle name="20% - Accent5 2 3 2 11 2 2 3" xfId="40517"/>
    <cellStyle name="20% - Accent5 2 3 2 11 2 3" xfId="22725"/>
    <cellStyle name="20% - Accent5 2 3 2 11 2 3 2" xfId="51586"/>
    <cellStyle name="20% - Accent5 2 3 2 11 2 4" xfId="34476"/>
    <cellStyle name="20% - Accent5 2 3 2 11 3" xfId="8770"/>
    <cellStyle name="20% - Accent5 2 3 2 11 3 2" xfId="25817"/>
    <cellStyle name="20% - Accent5 2 3 2 11 3 2 2" xfId="54678"/>
    <cellStyle name="20% - Accent5 2 3 2 11 3 3" xfId="37631"/>
    <cellStyle name="20% - Accent5 2 3 2 11 4" xfId="12537"/>
    <cellStyle name="20% - Accent5 2 3 2 11 4 2" xfId="20045"/>
    <cellStyle name="20% - Accent5 2 3 2 11 4 2 2" xfId="48906"/>
    <cellStyle name="20% - Accent5 2 3 2 11 4 3" xfId="41398"/>
    <cellStyle name="20% - Accent5 2 3 2 11 5" xfId="17365"/>
    <cellStyle name="20% - Accent5 2 3 2 11 5 2" xfId="46226"/>
    <cellStyle name="20% - Accent5 2 3 2 11 6" xfId="31590"/>
    <cellStyle name="20% - Accent5 2 3 2 12" xfId="3244"/>
    <cellStyle name="20% - Accent5 2 3 2 12 2" xfId="9285"/>
    <cellStyle name="20% - Accent5 2 3 2 12 2 2" xfId="26332"/>
    <cellStyle name="20% - Accent5 2 3 2 12 2 2 2" xfId="55193"/>
    <cellStyle name="20% - Accent5 2 3 2 12 2 3" xfId="38146"/>
    <cellStyle name="20% - Accent5 2 3 2 12 3" xfId="12823"/>
    <cellStyle name="20% - Accent5 2 3 2 12 3 2" xfId="20354"/>
    <cellStyle name="20% - Accent5 2 3 2 12 3 2 2" xfId="49215"/>
    <cellStyle name="20% - Accent5 2 3 2 12 3 3" xfId="41684"/>
    <cellStyle name="20% - Accent5 2 3 2 12 4" xfId="14994"/>
    <cellStyle name="20% - Accent5 2 3 2 12 4 2" xfId="43855"/>
    <cellStyle name="20% - Accent5 2 3 2 12 5" xfId="32105"/>
    <cellStyle name="20% - Accent5 2 3 2 13" xfId="2935"/>
    <cellStyle name="20% - Accent5 2 3 2 13 2" xfId="8976"/>
    <cellStyle name="20% - Accent5 2 3 2 13 2 2" xfId="26023"/>
    <cellStyle name="20% - Accent5 2 3 2 13 2 2 2" xfId="54884"/>
    <cellStyle name="20% - Accent5 2 3 2 13 2 3" xfId="37837"/>
    <cellStyle name="20% - Accent5 2 3 2 13 3" xfId="17571"/>
    <cellStyle name="20% - Accent5 2 3 2 13 3 2" xfId="46432"/>
    <cellStyle name="20% - Accent5 2 3 2 13 4" xfId="31796"/>
    <cellStyle name="20% - Accent5 2 3 2 14" xfId="5821"/>
    <cellStyle name="20% - Accent5 2 3 2 14 2" xfId="11862"/>
    <cellStyle name="20% - Accent5 2 3 2 14 2 2" xfId="28909"/>
    <cellStyle name="20% - Accent5 2 3 2 14 2 2 2" xfId="57770"/>
    <cellStyle name="20% - Accent5 2 3 2 14 2 3" xfId="40723"/>
    <cellStyle name="20% - Accent5 2 3 2 14 3" xfId="22931"/>
    <cellStyle name="20% - Accent5 2 3 2 14 3 2" xfId="51792"/>
    <cellStyle name="20% - Accent5 2 3 2 14 4" xfId="34682"/>
    <cellStyle name="20% - Accent5 2 3 2 15" xfId="6038"/>
    <cellStyle name="20% - Accent5 2 3 2 15 2" xfId="23137"/>
    <cellStyle name="20% - Accent5 2 3 2 15 2 2" xfId="51998"/>
    <cellStyle name="20% - Accent5 2 3 2 15 3" xfId="34899"/>
    <cellStyle name="20% - Accent5 2 3 2 16" xfId="6399"/>
    <cellStyle name="20% - Accent5 2 3 2 16 2" xfId="23446"/>
    <cellStyle name="20% - Accent5 2 3 2 16 2 2" xfId="52307"/>
    <cellStyle name="20% - Accent5 2 3 2 16 3" xfId="35260"/>
    <cellStyle name="20% - Accent5 2 3 2 17" xfId="14685"/>
    <cellStyle name="20% - Accent5 2 3 2 17 2" xfId="43546"/>
    <cellStyle name="20% - Accent5 2 3 2 18" xfId="29219"/>
    <cellStyle name="20% - Accent5 2 3 2 2" xfId="563"/>
    <cellStyle name="20% - Accent5 2 3 2 2 2" xfId="2314"/>
    <cellStyle name="20% - Accent5 2 3 2 2 2 2" xfId="5201"/>
    <cellStyle name="20% - Accent5 2 3 2 2 2 2 2" xfId="11242"/>
    <cellStyle name="20% - Accent5 2 3 2 2 2 2 2 2" xfId="28289"/>
    <cellStyle name="20% - Accent5 2 3 2 2 2 2 2 2 2" xfId="57150"/>
    <cellStyle name="20% - Accent5 2 3 2 2 2 2 2 3" xfId="40103"/>
    <cellStyle name="20% - Accent5 2 3 2 2 2 2 3" xfId="22311"/>
    <cellStyle name="20% - Accent5 2 3 2 2 2 2 3 2" xfId="51172"/>
    <cellStyle name="20% - Accent5 2 3 2 2 2 2 4" xfId="34062"/>
    <cellStyle name="20% - Accent5 2 3 2 2 2 3" xfId="8356"/>
    <cellStyle name="20% - Accent5 2 3 2 2 2 3 2" xfId="25403"/>
    <cellStyle name="20% - Accent5 2 3 2 2 2 3 2 2" xfId="54264"/>
    <cellStyle name="20% - Accent5 2 3 2 2 2 3 3" xfId="37217"/>
    <cellStyle name="20% - Accent5 2 3 2 2 2 4" xfId="11899"/>
    <cellStyle name="20% - Accent5 2 3 2 2 2 4 2" xfId="19631"/>
    <cellStyle name="20% - Accent5 2 3 2 2 2 4 2 2" xfId="48492"/>
    <cellStyle name="20% - Accent5 2 3 2 2 2 4 3" xfId="40760"/>
    <cellStyle name="20% - Accent5 2 3 2 2 2 5" xfId="16951"/>
    <cellStyle name="20% - Accent5 2 3 2 2 2 5 2" xfId="45812"/>
    <cellStyle name="20% - Accent5 2 3 2 2 2 6" xfId="31176"/>
    <cellStyle name="20% - Accent5 2 3 2 2 3" xfId="3450"/>
    <cellStyle name="20% - Accent5 2 3 2 2 3 2" xfId="9491"/>
    <cellStyle name="20% - Accent5 2 3 2 2 3 2 2" xfId="26538"/>
    <cellStyle name="20% - Accent5 2 3 2 2 3 2 2 2" xfId="55399"/>
    <cellStyle name="20% - Accent5 2 3 2 2 3 2 3" xfId="38352"/>
    <cellStyle name="20% - Accent5 2 3 2 2 3 3" xfId="20560"/>
    <cellStyle name="20% - Accent5 2 3 2 2 3 3 2" xfId="49421"/>
    <cellStyle name="20% - Accent5 2 3 2 2 3 4" xfId="32311"/>
    <cellStyle name="20% - Accent5 2 3 2 2 4" xfId="6605"/>
    <cellStyle name="20% - Accent5 2 3 2 2 4 2" xfId="23652"/>
    <cellStyle name="20% - Accent5 2 3 2 2 4 2 2" xfId="52513"/>
    <cellStyle name="20% - Accent5 2 3 2 2 4 3" xfId="35466"/>
    <cellStyle name="20% - Accent5 2 3 2 2 5" xfId="13652"/>
    <cellStyle name="20% - Accent5 2 3 2 2 5 2" xfId="17880"/>
    <cellStyle name="20% - Accent5 2 3 2 2 5 2 2" xfId="46741"/>
    <cellStyle name="20% - Accent5 2 3 2 2 5 3" xfId="42513"/>
    <cellStyle name="20% - Accent5 2 3 2 2 6" xfId="15200"/>
    <cellStyle name="20% - Accent5 2 3 2 2 6 2" xfId="44061"/>
    <cellStyle name="20% - Accent5 2 3 2 2 7" xfId="29425"/>
    <cellStyle name="20% - Accent5 2 3 2 3" xfId="872"/>
    <cellStyle name="20% - Accent5 2 3 2 3 2" xfId="3759"/>
    <cellStyle name="20% - Accent5 2 3 2 3 2 2" xfId="9800"/>
    <cellStyle name="20% - Accent5 2 3 2 3 2 2 2" xfId="26847"/>
    <cellStyle name="20% - Accent5 2 3 2 3 2 2 2 2" xfId="55708"/>
    <cellStyle name="20% - Accent5 2 3 2 3 2 2 3" xfId="38661"/>
    <cellStyle name="20% - Accent5 2 3 2 3 2 3" xfId="20869"/>
    <cellStyle name="20% - Accent5 2 3 2 3 2 3 2" xfId="49730"/>
    <cellStyle name="20% - Accent5 2 3 2 3 2 4" xfId="32620"/>
    <cellStyle name="20% - Accent5 2 3 2 3 3" xfId="6914"/>
    <cellStyle name="20% - Accent5 2 3 2 3 3 2" xfId="23961"/>
    <cellStyle name="20% - Accent5 2 3 2 3 3 2 2" xfId="52822"/>
    <cellStyle name="20% - Accent5 2 3 2 3 3 3" xfId="35775"/>
    <cellStyle name="20% - Accent5 2 3 2 3 4" xfId="14407"/>
    <cellStyle name="20% - Accent5 2 3 2 3 4 2" xfId="18189"/>
    <cellStyle name="20% - Accent5 2 3 2 3 4 2 2" xfId="47050"/>
    <cellStyle name="20% - Accent5 2 3 2 3 4 3" xfId="43268"/>
    <cellStyle name="20% - Accent5 2 3 2 3 5" xfId="15509"/>
    <cellStyle name="20% - Accent5 2 3 2 3 5 2" xfId="44370"/>
    <cellStyle name="20% - Accent5 2 3 2 3 6" xfId="29734"/>
    <cellStyle name="20% - Accent5 2 3 2 4" xfId="1078"/>
    <cellStyle name="20% - Accent5 2 3 2 4 2" xfId="3965"/>
    <cellStyle name="20% - Accent5 2 3 2 4 2 2" xfId="10006"/>
    <cellStyle name="20% - Accent5 2 3 2 4 2 2 2" xfId="27053"/>
    <cellStyle name="20% - Accent5 2 3 2 4 2 2 2 2" xfId="55914"/>
    <cellStyle name="20% - Accent5 2 3 2 4 2 2 3" xfId="38867"/>
    <cellStyle name="20% - Accent5 2 3 2 4 2 3" xfId="21075"/>
    <cellStyle name="20% - Accent5 2 3 2 4 2 3 2" xfId="49936"/>
    <cellStyle name="20% - Accent5 2 3 2 4 2 4" xfId="32826"/>
    <cellStyle name="20% - Accent5 2 3 2 4 3" xfId="7120"/>
    <cellStyle name="20% - Accent5 2 3 2 4 3 2" xfId="24167"/>
    <cellStyle name="20% - Accent5 2 3 2 4 3 2 2" xfId="53028"/>
    <cellStyle name="20% - Accent5 2 3 2 4 3 3" xfId="35981"/>
    <cellStyle name="20% - Accent5 2 3 2 4 4" xfId="13485"/>
    <cellStyle name="20% - Accent5 2 3 2 4 4 2" xfId="18395"/>
    <cellStyle name="20% - Accent5 2 3 2 4 4 2 2" xfId="47256"/>
    <cellStyle name="20% - Accent5 2 3 2 4 4 3" xfId="42346"/>
    <cellStyle name="20% - Accent5 2 3 2 4 5" xfId="15715"/>
    <cellStyle name="20% - Accent5 2 3 2 4 5 2" xfId="44576"/>
    <cellStyle name="20% - Accent5 2 3 2 4 6" xfId="29940"/>
    <cellStyle name="20% - Accent5 2 3 2 5" xfId="1284"/>
    <cellStyle name="20% - Accent5 2 3 2 5 2" xfId="4171"/>
    <cellStyle name="20% - Accent5 2 3 2 5 2 2" xfId="10212"/>
    <cellStyle name="20% - Accent5 2 3 2 5 2 2 2" xfId="27259"/>
    <cellStyle name="20% - Accent5 2 3 2 5 2 2 2 2" xfId="56120"/>
    <cellStyle name="20% - Accent5 2 3 2 5 2 2 3" xfId="39073"/>
    <cellStyle name="20% - Accent5 2 3 2 5 2 3" xfId="21281"/>
    <cellStyle name="20% - Accent5 2 3 2 5 2 3 2" xfId="50142"/>
    <cellStyle name="20% - Accent5 2 3 2 5 2 4" xfId="33032"/>
    <cellStyle name="20% - Accent5 2 3 2 5 3" xfId="7326"/>
    <cellStyle name="20% - Accent5 2 3 2 5 3 2" xfId="24373"/>
    <cellStyle name="20% - Accent5 2 3 2 5 3 2 2" xfId="53234"/>
    <cellStyle name="20% - Accent5 2 3 2 5 3 3" xfId="36187"/>
    <cellStyle name="20% - Accent5 2 3 2 5 4" xfId="12959"/>
    <cellStyle name="20% - Accent5 2 3 2 5 4 2" xfId="18601"/>
    <cellStyle name="20% - Accent5 2 3 2 5 4 2 2" xfId="47462"/>
    <cellStyle name="20% - Accent5 2 3 2 5 4 3" xfId="41820"/>
    <cellStyle name="20% - Accent5 2 3 2 5 5" xfId="15921"/>
    <cellStyle name="20% - Accent5 2 3 2 5 5 2" xfId="44782"/>
    <cellStyle name="20% - Accent5 2 3 2 5 6" xfId="30146"/>
    <cellStyle name="20% - Accent5 2 3 2 6" xfId="1490"/>
    <cellStyle name="20% - Accent5 2 3 2 6 2" xfId="4377"/>
    <cellStyle name="20% - Accent5 2 3 2 6 2 2" xfId="10418"/>
    <cellStyle name="20% - Accent5 2 3 2 6 2 2 2" xfId="27465"/>
    <cellStyle name="20% - Accent5 2 3 2 6 2 2 2 2" xfId="56326"/>
    <cellStyle name="20% - Accent5 2 3 2 6 2 2 3" xfId="39279"/>
    <cellStyle name="20% - Accent5 2 3 2 6 2 3" xfId="21487"/>
    <cellStyle name="20% - Accent5 2 3 2 6 2 3 2" xfId="50348"/>
    <cellStyle name="20% - Accent5 2 3 2 6 2 4" xfId="33238"/>
    <cellStyle name="20% - Accent5 2 3 2 6 3" xfId="7532"/>
    <cellStyle name="20% - Accent5 2 3 2 6 3 2" xfId="24579"/>
    <cellStyle name="20% - Accent5 2 3 2 6 3 2 2" xfId="53440"/>
    <cellStyle name="20% - Accent5 2 3 2 6 3 3" xfId="36393"/>
    <cellStyle name="20% - Accent5 2 3 2 6 4" xfId="13210"/>
    <cellStyle name="20% - Accent5 2 3 2 6 4 2" xfId="18807"/>
    <cellStyle name="20% - Accent5 2 3 2 6 4 2 2" xfId="47668"/>
    <cellStyle name="20% - Accent5 2 3 2 6 4 3" xfId="42071"/>
    <cellStyle name="20% - Accent5 2 3 2 6 5" xfId="16127"/>
    <cellStyle name="20% - Accent5 2 3 2 6 5 2" xfId="44988"/>
    <cellStyle name="20% - Accent5 2 3 2 6 6" xfId="30352"/>
    <cellStyle name="20% - Accent5 2 3 2 7" xfId="1696"/>
    <cellStyle name="20% - Accent5 2 3 2 7 2" xfId="4583"/>
    <cellStyle name="20% - Accent5 2 3 2 7 2 2" xfId="10624"/>
    <cellStyle name="20% - Accent5 2 3 2 7 2 2 2" xfId="27671"/>
    <cellStyle name="20% - Accent5 2 3 2 7 2 2 2 2" xfId="56532"/>
    <cellStyle name="20% - Accent5 2 3 2 7 2 2 3" xfId="39485"/>
    <cellStyle name="20% - Accent5 2 3 2 7 2 3" xfId="21693"/>
    <cellStyle name="20% - Accent5 2 3 2 7 2 3 2" xfId="50554"/>
    <cellStyle name="20% - Accent5 2 3 2 7 2 4" xfId="33444"/>
    <cellStyle name="20% - Accent5 2 3 2 7 3" xfId="7738"/>
    <cellStyle name="20% - Accent5 2 3 2 7 3 2" xfId="24785"/>
    <cellStyle name="20% - Accent5 2 3 2 7 3 2 2" xfId="53646"/>
    <cellStyle name="20% - Accent5 2 3 2 7 3 3" xfId="36599"/>
    <cellStyle name="20% - Accent5 2 3 2 7 4" xfId="13117"/>
    <cellStyle name="20% - Accent5 2 3 2 7 4 2" xfId="19013"/>
    <cellStyle name="20% - Accent5 2 3 2 7 4 2 2" xfId="47874"/>
    <cellStyle name="20% - Accent5 2 3 2 7 4 3" xfId="41978"/>
    <cellStyle name="20% - Accent5 2 3 2 7 5" xfId="16333"/>
    <cellStyle name="20% - Accent5 2 3 2 7 5 2" xfId="45194"/>
    <cellStyle name="20% - Accent5 2 3 2 7 6" xfId="30558"/>
    <cellStyle name="20% - Accent5 2 3 2 8" xfId="1902"/>
    <cellStyle name="20% - Accent5 2 3 2 8 2" xfId="4789"/>
    <cellStyle name="20% - Accent5 2 3 2 8 2 2" xfId="10830"/>
    <cellStyle name="20% - Accent5 2 3 2 8 2 2 2" xfId="27877"/>
    <cellStyle name="20% - Accent5 2 3 2 8 2 2 2 2" xfId="56738"/>
    <cellStyle name="20% - Accent5 2 3 2 8 2 2 3" xfId="39691"/>
    <cellStyle name="20% - Accent5 2 3 2 8 2 3" xfId="21899"/>
    <cellStyle name="20% - Accent5 2 3 2 8 2 3 2" xfId="50760"/>
    <cellStyle name="20% - Accent5 2 3 2 8 2 4" xfId="33650"/>
    <cellStyle name="20% - Accent5 2 3 2 8 3" xfId="7944"/>
    <cellStyle name="20% - Accent5 2 3 2 8 3 2" xfId="24991"/>
    <cellStyle name="20% - Accent5 2 3 2 8 3 2 2" xfId="53852"/>
    <cellStyle name="20% - Accent5 2 3 2 8 3 3" xfId="36805"/>
    <cellStyle name="20% - Accent5 2 3 2 8 4" xfId="12606"/>
    <cellStyle name="20% - Accent5 2 3 2 8 4 2" xfId="19219"/>
    <cellStyle name="20% - Accent5 2 3 2 8 4 2 2" xfId="48080"/>
    <cellStyle name="20% - Accent5 2 3 2 8 4 3" xfId="41467"/>
    <cellStyle name="20% - Accent5 2 3 2 8 5" xfId="16539"/>
    <cellStyle name="20% - Accent5 2 3 2 8 5 2" xfId="45400"/>
    <cellStyle name="20% - Accent5 2 3 2 8 6" xfId="30764"/>
    <cellStyle name="20% - Accent5 2 3 2 9" xfId="2108"/>
    <cellStyle name="20% - Accent5 2 3 2 9 2" xfId="4995"/>
    <cellStyle name="20% - Accent5 2 3 2 9 2 2" xfId="11036"/>
    <cellStyle name="20% - Accent5 2 3 2 9 2 2 2" xfId="28083"/>
    <cellStyle name="20% - Accent5 2 3 2 9 2 2 2 2" xfId="56944"/>
    <cellStyle name="20% - Accent5 2 3 2 9 2 2 3" xfId="39897"/>
    <cellStyle name="20% - Accent5 2 3 2 9 2 3" xfId="22105"/>
    <cellStyle name="20% - Accent5 2 3 2 9 2 3 2" xfId="50966"/>
    <cellStyle name="20% - Accent5 2 3 2 9 2 4" xfId="33856"/>
    <cellStyle name="20% - Accent5 2 3 2 9 3" xfId="8150"/>
    <cellStyle name="20% - Accent5 2 3 2 9 3 2" xfId="25197"/>
    <cellStyle name="20% - Accent5 2 3 2 9 3 2 2" xfId="54058"/>
    <cellStyle name="20% - Accent5 2 3 2 9 3 3" xfId="37011"/>
    <cellStyle name="20% - Accent5 2 3 2 9 4" xfId="12734"/>
    <cellStyle name="20% - Accent5 2 3 2 9 4 2" xfId="19425"/>
    <cellStyle name="20% - Accent5 2 3 2 9 4 2 2" xfId="48286"/>
    <cellStyle name="20% - Accent5 2 3 2 9 4 3" xfId="41595"/>
    <cellStyle name="20% - Accent5 2 3 2 9 5" xfId="16745"/>
    <cellStyle name="20% - Accent5 2 3 2 9 5 2" xfId="45606"/>
    <cellStyle name="20% - Accent5 2 3 2 9 6" xfId="30970"/>
    <cellStyle name="20% - Accent5 2 3 20" xfId="29013"/>
    <cellStyle name="20% - Accent5 2 3 3" xfId="254"/>
    <cellStyle name="20% - Accent5 2 3 3 2" xfId="666"/>
    <cellStyle name="20% - Accent5 2 3 3 2 2" xfId="3553"/>
    <cellStyle name="20% - Accent5 2 3 3 2 2 2" xfId="9594"/>
    <cellStyle name="20% - Accent5 2 3 3 2 2 2 2" xfId="26641"/>
    <cellStyle name="20% - Accent5 2 3 3 2 2 2 2 2" xfId="55502"/>
    <cellStyle name="20% - Accent5 2 3 3 2 2 2 3" xfId="38455"/>
    <cellStyle name="20% - Accent5 2 3 3 2 2 3" xfId="20663"/>
    <cellStyle name="20% - Accent5 2 3 3 2 2 3 2" xfId="49524"/>
    <cellStyle name="20% - Accent5 2 3 3 2 2 4" xfId="32414"/>
    <cellStyle name="20% - Accent5 2 3 3 2 3" xfId="6708"/>
    <cellStyle name="20% - Accent5 2 3 3 2 3 2" xfId="23755"/>
    <cellStyle name="20% - Accent5 2 3 3 2 3 2 2" xfId="52616"/>
    <cellStyle name="20% - Accent5 2 3 3 2 3 3" xfId="35569"/>
    <cellStyle name="20% - Accent5 2 3 3 2 4" xfId="13349"/>
    <cellStyle name="20% - Accent5 2 3 3 2 4 2" xfId="17983"/>
    <cellStyle name="20% - Accent5 2 3 3 2 4 2 2" xfId="46844"/>
    <cellStyle name="20% - Accent5 2 3 3 2 4 3" xfId="42210"/>
    <cellStyle name="20% - Accent5 2 3 3 2 5" xfId="15303"/>
    <cellStyle name="20% - Accent5 2 3 3 2 5 2" xfId="44164"/>
    <cellStyle name="20% - Accent5 2 3 3 2 6" xfId="29528"/>
    <cellStyle name="20% - Accent5 2 3 3 3" xfId="2211"/>
    <cellStyle name="20% - Accent5 2 3 3 3 2" xfId="5098"/>
    <cellStyle name="20% - Accent5 2 3 3 3 2 2" xfId="11139"/>
    <cellStyle name="20% - Accent5 2 3 3 3 2 2 2" xfId="28186"/>
    <cellStyle name="20% - Accent5 2 3 3 3 2 2 2 2" xfId="57047"/>
    <cellStyle name="20% - Accent5 2 3 3 3 2 2 3" xfId="40000"/>
    <cellStyle name="20% - Accent5 2 3 3 3 2 3" xfId="22208"/>
    <cellStyle name="20% - Accent5 2 3 3 3 2 3 2" xfId="51069"/>
    <cellStyle name="20% - Accent5 2 3 3 3 2 4" xfId="33959"/>
    <cellStyle name="20% - Accent5 2 3 3 3 3" xfId="8253"/>
    <cellStyle name="20% - Accent5 2 3 3 3 3 2" xfId="25300"/>
    <cellStyle name="20% - Accent5 2 3 3 3 3 2 2" xfId="54161"/>
    <cellStyle name="20% - Accent5 2 3 3 3 3 3" xfId="37114"/>
    <cellStyle name="20% - Accent5 2 3 3 3 4" xfId="12130"/>
    <cellStyle name="20% - Accent5 2 3 3 3 4 2" xfId="19528"/>
    <cellStyle name="20% - Accent5 2 3 3 3 4 2 2" xfId="48389"/>
    <cellStyle name="20% - Accent5 2 3 3 3 4 3" xfId="40991"/>
    <cellStyle name="20% - Accent5 2 3 3 3 5" xfId="16848"/>
    <cellStyle name="20% - Accent5 2 3 3 3 5 2" xfId="45709"/>
    <cellStyle name="20% - Accent5 2 3 3 3 6" xfId="31073"/>
    <cellStyle name="20% - Accent5 2 3 3 4" xfId="3141"/>
    <cellStyle name="20% - Accent5 2 3 3 4 2" xfId="9182"/>
    <cellStyle name="20% - Accent5 2 3 3 4 2 2" xfId="26229"/>
    <cellStyle name="20% - Accent5 2 3 3 4 2 2 2" xfId="55090"/>
    <cellStyle name="20% - Accent5 2 3 3 4 2 3" xfId="38043"/>
    <cellStyle name="20% - Accent5 2 3 3 4 3" xfId="20251"/>
    <cellStyle name="20% - Accent5 2 3 3 4 3 2" xfId="49112"/>
    <cellStyle name="20% - Accent5 2 3 3 4 4" xfId="32002"/>
    <cellStyle name="20% - Accent5 2 3 3 5" xfId="6296"/>
    <cellStyle name="20% - Accent5 2 3 3 5 2" xfId="23343"/>
    <cellStyle name="20% - Accent5 2 3 3 5 2 2" xfId="52204"/>
    <cellStyle name="20% - Accent5 2 3 3 5 3" xfId="35157"/>
    <cellStyle name="20% - Accent5 2 3 3 6" xfId="11876"/>
    <cellStyle name="20% - Accent5 2 3 3 6 2" xfId="17674"/>
    <cellStyle name="20% - Accent5 2 3 3 6 2 2" xfId="46535"/>
    <cellStyle name="20% - Accent5 2 3 3 6 3" xfId="40737"/>
    <cellStyle name="20% - Accent5 2 3 3 7" xfId="14891"/>
    <cellStyle name="20% - Accent5 2 3 3 7 2" xfId="43752"/>
    <cellStyle name="20% - Accent5 2 3 3 8" xfId="29116"/>
    <cellStyle name="20% - Accent5 2 3 4" xfId="460"/>
    <cellStyle name="20% - Accent5 2 3 4 2" xfId="3347"/>
    <cellStyle name="20% - Accent5 2 3 4 2 2" xfId="9388"/>
    <cellStyle name="20% - Accent5 2 3 4 2 2 2" xfId="26435"/>
    <cellStyle name="20% - Accent5 2 3 4 2 2 2 2" xfId="55296"/>
    <cellStyle name="20% - Accent5 2 3 4 2 2 3" xfId="38249"/>
    <cellStyle name="20% - Accent5 2 3 4 2 3" xfId="20457"/>
    <cellStyle name="20% - Accent5 2 3 4 2 3 2" xfId="49318"/>
    <cellStyle name="20% - Accent5 2 3 4 2 4" xfId="32208"/>
    <cellStyle name="20% - Accent5 2 3 4 3" xfId="6502"/>
    <cellStyle name="20% - Accent5 2 3 4 3 2" xfId="23549"/>
    <cellStyle name="20% - Accent5 2 3 4 3 2 2" xfId="52410"/>
    <cellStyle name="20% - Accent5 2 3 4 3 3" xfId="35363"/>
    <cellStyle name="20% - Accent5 2 3 4 4" xfId="13783"/>
    <cellStyle name="20% - Accent5 2 3 4 4 2" xfId="17777"/>
    <cellStyle name="20% - Accent5 2 3 4 4 2 2" xfId="46638"/>
    <cellStyle name="20% - Accent5 2 3 4 4 3" xfId="42644"/>
    <cellStyle name="20% - Accent5 2 3 4 5" xfId="15097"/>
    <cellStyle name="20% - Accent5 2 3 4 5 2" xfId="43958"/>
    <cellStyle name="20% - Accent5 2 3 4 6" xfId="29322"/>
    <cellStyle name="20% - Accent5 2 3 5" xfId="769"/>
    <cellStyle name="20% - Accent5 2 3 5 2" xfId="3656"/>
    <cellStyle name="20% - Accent5 2 3 5 2 2" xfId="9697"/>
    <cellStyle name="20% - Accent5 2 3 5 2 2 2" xfId="26744"/>
    <cellStyle name="20% - Accent5 2 3 5 2 2 2 2" xfId="55605"/>
    <cellStyle name="20% - Accent5 2 3 5 2 2 3" xfId="38558"/>
    <cellStyle name="20% - Accent5 2 3 5 2 3" xfId="20766"/>
    <cellStyle name="20% - Accent5 2 3 5 2 3 2" xfId="49627"/>
    <cellStyle name="20% - Accent5 2 3 5 2 4" xfId="32517"/>
    <cellStyle name="20% - Accent5 2 3 5 3" xfId="6811"/>
    <cellStyle name="20% - Accent5 2 3 5 3 2" xfId="23858"/>
    <cellStyle name="20% - Accent5 2 3 5 3 2 2" xfId="52719"/>
    <cellStyle name="20% - Accent5 2 3 5 3 3" xfId="35672"/>
    <cellStyle name="20% - Accent5 2 3 5 4" xfId="13775"/>
    <cellStyle name="20% - Accent5 2 3 5 4 2" xfId="18086"/>
    <cellStyle name="20% - Accent5 2 3 5 4 2 2" xfId="46947"/>
    <cellStyle name="20% - Accent5 2 3 5 4 3" xfId="42636"/>
    <cellStyle name="20% - Accent5 2 3 5 5" xfId="15406"/>
    <cellStyle name="20% - Accent5 2 3 5 5 2" xfId="44267"/>
    <cellStyle name="20% - Accent5 2 3 5 6" xfId="29631"/>
    <cellStyle name="20% - Accent5 2 3 6" xfId="975"/>
    <cellStyle name="20% - Accent5 2 3 6 2" xfId="3862"/>
    <cellStyle name="20% - Accent5 2 3 6 2 2" xfId="9903"/>
    <cellStyle name="20% - Accent5 2 3 6 2 2 2" xfId="26950"/>
    <cellStyle name="20% - Accent5 2 3 6 2 2 2 2" xfId="55811"/>
    <cellStyle name="20% - Accent5 2 3 6 2 2 3" xfId="38764"/>
    <cellStyle name="20% - Accent5 2 3 6 2 3" xfId="20972"/>
    <cellStyle name="20% - Accent5 2 3 6 2 3 2" xfId="49833"/>
    <cellStyle name="20% - Accent5 2 3 6 2 4" xfId="32723"/>
    <cellStyle name="20% - Accent5 2 3 6 3" xfId="7017"/>
    <cellStyle name="20% - Accent5 2 3 6 3 2" xfId="24064"/>
    <cellStyle name="20% - Accent5 2 3 6 3 2 2" xfId="52925"/>
    <cellStyle name="20% - Accent5 2 3 6 3 3" xfId="35878"/>
    <cellStyle name="20% - Accent5 2 3 6 4" xfId="14302"/>
    <cellStyle name="20% - Accent5 2 3 6 4 2" xfId="18292"/>
    <cellStyle name="20% - Accent5 2 3 6 4 2 2" xfId="47153"/>
    <cellStyle name="20% - Accent5 2 3 6 4 3" xfId="43163"/>
    <cellStyle name="20% - Accent5 2 3 6 5" xfId="15612"/>
    <cellStyle name="20% - Accent5 2 3 6 5 2" xfId="44473"/>
    <cellStyle name="20% - Accent5 2 3 6 6" xfId="29837"/>
    <cellStyle name="20% - Accent5 2 3 7" xfId="1181"/>
    <cellStyle name="20% - Accent5 2 3 7 2" xfId="4068"/>
    <cellStyle name="20% - Accent5 2 3 7 2 2" xfId="10109"/>
    <cellStyle name="20% - Accent5 2 3 7 2 2 2" xfId="27156"/>
    <cellStyle name="20% - Accent5 2 3 7 2 2 2 2" xfId="56017"/>
    <cellStyle name="20% - Accent5 2 3 7 2 2 3" xfId="38970"/>
    <cellStyle name="20% - Accent5 2 3 7 2 3" xfId="21178"/>
    <cellStyle name="20% - Accent5 2 3 7 2 3 2" xfId="50039"/>
    <cellStyle name="20% - Accent5 2 3 7 2 4" xfId="32929"/>
    <cellStyle name="20% - Accent5 2 3 7 3" xfId="7223"/>
    <cellStyle name="20% - Accent5 2 3 7 3 2" xfId="24270"/>
    <cellStyle name="20% - Accent5 2 3 7 3 2 2" xfId="53131"/>
    <cellStyle name="20% - Accent5 2 3 7 3 3" xfId="36084"/>
    <cellStyle name="20% - Accent5 2 3 7 4" xfId="13184"/>
    <cellStyle name="20% - Accent5 2 3 7 4 2" xfId="18498"/>
    <cellStyle name="20% - Accent5 2 3 7 4 2 2" xfId="47359"/>
    <cellStyle name="20% - Accent5 2 3 7 4 3" xfId="42045"/>
    <cellStyle name="20% - Accent5 2 3 7 5" xfId="15818"/>
    <cellStyle name="20% - Accent5 2 3 7 5 2" xfId="44679"/>
    <cellStyle name="20% - Accent5 2 3 7 6" xfId="30043"/>
    <cellStyle name="20% - Accent5 2 3 8" xfId="1387"/>
    <cellStyle name="20% - Accent5 2 3 8 2" xfId="4274"/>
    <cellStyle name="20% - Accent5 2 3 8 2 2" xfId="10315"/>
    <cellStyle name="20% - Accent5 2 3 8 2 2 2" xfId="27362"/>
    <cellStyle name="20% - Accent5 2 3 8 2 2 2 2" xfId="56223"/>
    <cellStyle name="20% - Accent5 2 3 8 2 2 3" xfId="39176"/>
    <cellStyle name="20% - Accent5 2 3 8 2 3" xfId="21384"/>
    <cellStyle name="20% - Accent5 2 3 8 2 3 2" xfId="50245"/>
    <cellStyle name="20% - Accent5 2 3 8 2 4" xfId="33135"/>
    <cellStyle name="20% - Accent5 2 3 8 3" xfId="7429"/>
    <cellStyle name="20% - Accent5 2 3 8 3 2" xfId="24476"/>
    <cellStyle name="20% - Accent5 2 3 8 3 2 2" xfId="53337"/>
    <cellStyle name="20% - Accent5 2 3 8 3 3" xfId="36290"/>
    <cellStyle name="20% - Accent5 2 3 8 4" xfId="12457"/>
    <cellStyle name="20% - Accent5 2 3 8 4 2" xfId="18704"/>
    <cellStyle name="20% - Accent5 2 3 8 4 2 2" xfId="47565"/>
    <cellStyle name="20% - Accent5 2 3 8 4 3" xfId="41318"/>
    <cellStyle name="20% - Accent5 2 3 8 5" xfId="16024"/>
    <cellStyle name="20% - Accent5 2 3 8 5 2" xfId="44885"/>
    <cellStyle name="20% - Accent5 2 3 8 6" xfId="30249"/>
    <cellStyle name="20% - Accent5 2 3 9" xfId="1593"/>
    <cellStyle name="20% - Accent5 2 3 9 2" xfId="4480"/>
    <cellStyle name="20% - Accent5 2 3 9 2 2" xfId="10521"/>
    <cellStyle name="20% - Accent5 2 3 9 2 2 2" xfId="27568"/>
    <cellStyle name="20% - Accent5 2 3 9 2 2 2 2" xfId="56429"/>
    <cellStyle name="20% - Accent5 2 3 9 2 2 3" xfId="39382"/>
    <cellStyle name="20% - Accent5 2 3 9 2 3" xfId="21590"/>
    <cellStyle name="20% - Accent5 2 3 9 2 3 2" xfId="50451"/>
    <cellStyle name="20% - Accent5 2 3 9 2 4" xfId="33341"/>
    <cellStyle name="20% - Accent5 2 3 9 3" xfId="7635"/>
    <cellStyle name="20% - Accent5 2 3 9 3 2" xfId="24682"/>
    <cellStyle name="20% - Accent5 2 3 9 3 2 2" xfId="53543"/>
    <cellStyle name="20% - Accent5 2 3 9 3 3" xfId="36496"/>
    <cellStyle name="20% - Accent5 2 3 9 4" xfId="12084"/>
    <cellStyle name="20% - Accent5 2 3 9 4 2" xfId="18910"/>
    <cellStyle name="20% - Accent5 2 3 9 4 2 2" xfId="47771"/>
    <cellStyle name="20% - Accent5 2 3 9 4 3" xfId="40945"/>
    <cellStyle name="20% - Accent5 2 3 9 5" xfId="16230"/>
    <cellStyle name="20% - Accent5 2 3 9 5 2" xfId="45091"/>
    <cellStyle name="20% - Accent5 2 3 9 6" xfId="30455"/>
    <cellStyle name="20% - Accent5 2 4" xfId="305"/>
    <cellStyle name="20% - Accent5 2 4 10" xfId="2468"/>
    <cellStyle name="20% - Accent5 2 4 10 2" xfId="5355"/>
    <cellStyle name="20% - Accent5 2 4 10 2 2" xfId="11396"/>
    <cellStyle name="20% - Accent5 2 4 10 2 2 2" xfId="28443"/>
    <cellStyle name="20% - Accent5 2 4 10 2 2 2 2" xfId="57304"/>
    <cellStyle name="20% - Accent5 2 4 10 2 2 3" xfId="40257"/>
    <cellStyle name="20% - Accent5 2 4 10 2 3" xfId="22465"/>
    <cellStyle name="20% - Accent5 2 4 10 2 3 2" xfId="51326"/>
    <cellStyle name="20% - Accent5 2 4 10 2 4" xfId="34216"/>
    <cellStyle name="20% - Accent5 2 4 10 3" xfId="8510"/>
    <cellStyle name="20% - Accent5 2 4 10 3 2" xfId="25557"/>
    <cellStyle name="20% - Accent5 2 4 10 3 2 2" xfId="54418"/>
    <cellStyle name="20% - Accent5 2 4 10 3 3" xfId="37371"/>
    <cellStyle name="20% - Accent5 2 4 10 4" xfId="13726"/>
    <cellStyle name="20% - Accent5 2 4 10 4 2" xfId="19785"/>
    <cellStyle name="20% - Accent5 2 4 10 4 2 2" xfId="48646"/>
    <cellStyle name="20% - Accent5 2 4 10 4 3" xfId="42587"/>
    <cellStyle name="20% - Accent5 2 4 10 5" xfId="17105"/>
    <cellStyle name="20% - Accent5 2 4 10 5 2" xfId="45966"/>
    <cellStyle name="20% - Accent5 2 4 10 6" xfId="31330"/>
    <cellStyle name="20% - Accent5 2 4 11" xfId="2677"/>
    <cellStyle name="20% - Accent5 2 4 11 2" xfId="5563"/>
    <cellStyle name="20% - Accent5 2 4 11 2 2" xfId="11604"/>
    <cellStyle name="20% - Accent5 2 4 11 2 2 2" xfId="28651"/>
    <cellStyle name="20% - Accent5 2 4 11 2 2 2 2" xfId="57512"/>
    <cellStyle name="20% - Accent5 2 4 11 2 2 3" xfId="40465"/>
    <cellStyle name="20% - Accent5 2 4 11 2 3" xfId="22673"/>
    <cellStyle name="20% - Accent5 2 4 11 2 3 2" xfId="51534"/>
    <cellStyle name="20% - Accent5 2 4 11 2 4" xfId="34424"/>
    <cellStyle name="20% - Accent5 2 4 11 3" xfId="8718"/>
    <cellStyle name="20% - Accent5 2 4 11 3 2" xfId="25765"/>
    <cellStyle name="20% - Accent5 2 4 11 3 2 2" xfId="54626"/>
    <cellStyle name="20% - Accent5 2 4 11 3 3" xfId="37579"/>
    <cellStyle name="20% - Accent5 2 4 11 4" xfId="11991"/>
    <cellStyle name="20% - Accent5 2 4 11 4 2" xfId="19993"/>
    <cellStyle name="20% - Accent5 2 4 11 4 2 2" xfId="48854"/>
    <cellStyle name="20% - Accent5 2 4 11 4 3" xfId="40852"/>
    <cellStyle name="20% - Accent5 2 4 11 5" xfId="17313"/>
    <cellStyle name="20% - Accent5 2 4 11 5 2" xfId="46174"/>
    <cellStyle name="20% - Accent5 2 4 11 6" xfId="31538"/>
    <cellStyle name="20% - Accent5 2 4 12" xfId="3192"/>
    <cellStyle name="20% - Accent5 2 4 12 2" xfId="9233"/>
    <cellStyle name="20% - Accent5 2 4 12 2 2" xfId="26280"/>
    <cellStyle name="20% - Accent5 2 4 12 2 2 2" xfId="55141"/>
    <cellStyle name="20% - Accent5 2 4 12 2 3" xfId="38094"/>
    <cellStyle name="20% - Accent5 2 4 12 3" xfId="13827"/>
    <cellStyle name="20% - Accent5 2 4 12 3 2" xfId="20302"/>
    <cellStyle name="20% - Accent5 2 4 12 3 2 2" xfId="49163"/>
    <cellStyle name="20% - Accent5 2 4 12 3 3" xfId="42688"/>
    <cellStyle name="20% - Accent5 2 4 12 4" xfId="14942"/>
    <cellStyle name="20% - Accent5 2 4 12 4 2" xfId="43803"/>
    <cellStyle name="20% - Accent5 2 4 12 5" xfId="32053"/>
    <cellStyle name="20% - Accent5 2 4 13" xfId="2883"/>
    <cellStyle name="20% - Accent5 2 4 13 2" xfId="8924"/>
    <cellStyle name="20% - Accent5 2 4 13 2 2" xfId="25971"/>
    <cellStyle name="20% - Accent5 2 4 13 2 2 2" xfId="54832"/>
    <cellStyle name="20% - Accent5 2 4 13 2 3" xfId="37785"/>
    <cellStyle name="20% - Accent5 2 4 13 3" xfId="17519"/>
    <cellStyle name="20% - Accent5 2 4 13 3 2" xfId="46380"/>
    <cellStyle name="20% - Accent5 2 4 13 4" xfId="31744"/>
    <cellStyle name="20% - Accent5 2 4 14" xfId="5769"/>
    <cellStyle name="20% - Accent5 2 4 14 2" xfId="11810"/>
    <cellStyle name="20% - Accent5 2 4 14 2 2" xfId="28857"/>
    <cellStyle name="20% - Accent5 2 4 14 2 2 2" xfId="57718"/>
    <cellStyle name="20% - Accent5 2 4 14 2 3" xfId="40671"/>
    <cellStyle name="20% - Accent5 2 4 14 3" xfId="22879"/>
    <cellStyle name="20% - Accent5 2 4 14 3 2" xfId="51740"/>
    <cellStyle name="20% - Accent5 2 4 14 4" xfId="34630"/>
    <cellStyle name="20% - Accent5 2 4 15" xfId="5986"/>
    <cellStyle name="20% - Accent5 2 4 15 2" xfId="23085"/>
    <cellStyle name="20% - Accent5 2 4 15 2 2" xfId="51946"/>
    <cellStyle name="20% - Accent5 2 4 15 3" xfId="34847"/>
    <cellStyle name="20% - Accent5 2 4 16" xfId="6347"/>
    <cellStyle name="20% - Accent5 2 4 16 2" xfId="23394"/>
    <cellStyle name="20% - Accent5 2 4 16 2 2" xfId="52255"/>
    <cellStyle name="20% - Accent5 2 4 16 3" xfId="35208"/>
    <cellStyle name="20% - Accent5 2 4 17" xfId="14633"/>
    <cellStyle name="20% - Accent5 2 4 17 2" xfId="43494"/>
    <cellStyle name="20% - Accent5 2 4 18" xfId="29167"/>
    <cellStyle name="20% - Accent5 2 4 2" xfId="511"/>
    <cellStyle name="20% - Accent5 2 4 2 2" xfId="2262"/>
    <cellStyle name="20% - Accent5 2 4 2 2 2" xfId="5149"/>
    <cellStyle name="20% - Accent5 2 4 2 2 2 2" xfId="11190"/>
    <cellStyle name="20% - Accent5 2 4 2 2 2 2 2" xfId="28237"/>
    <cellStyle name="20% - Accent5 2 4 2 2 2 2 2 2" xfId="57098"/>
    <cellStyle name="20% - Accent5 2 4 2 2 2 2 3" xfId="40051"/>
    <cellStyle name="20% - Accent5 2 4 2 2 2 3" xfId="22259"/>
    <cellStyle name="20% - Accent5 2 4 2 2 2 3 2" xfId="51120"/>
    <cellStyle name="20% - Accent5 2 4 2 2 2 4" xfId="34010"/>
    <cellStyle name="20% - Accent5 2 4 2 2 3" xfId="8304"/>
    <cellStyle name="20% - Accent5 2 4 2 2 3 2" xfId="25351"/>
    <cellStyle name="20% - Accent5 2 4 2 2 3 2 2" xfId="54212"/>
    <cellStyle name="20% - Accent5 2 4 2 2 3 3" xfId="37165"/>
    <cellStyle name="20% - Accent5 2 4 2 2 4" xfId="12670"/>
    <cellStyle name="20% - Accent5 2 4 2 2 4 2" xfId="19579"/>
    <cellStyle name="20% - Accent5 2 4 2 2 4 2 2" xfId="48440"/>
    <cellStyle name="20% - Accent5 2 4 2 2 4 3" xfId="41531"/>
    <cellStyle name="20% - Accent5 2 4 2 2 5" xfId="16899"/>
    <cellStyle name="20% - Accent5 2 4 2 2 5 2" xfId="45760"/>
    <cellStyle name="20% - Accent5 2 4 2 2 6" xfId="31124"/>
    <cellStyle name="20% - Accent5 2 4 2 3" xfId="3398"/>
    <cellStyle name="20% - Accent5 2 4 2 3 2" xfId="9439"/>
    <cellStyle name="20% - Accent5 2 4 2 3 2 2" xfId="26486"/>
    <cellStyle name="20% - Accent5 2 4 2 3 2 2 2" xfId="55347"/>
    <cellStyle name="20% - Accent5 2 4 2 3 2 3" xfId="38300"/>
    <cellStyle name="20% - Accent5 2 4 2 3 3" xfId="20508"/>
    <cellStyle name="20% - Accent5 2 4 2 3 3 2" xfId="49369"/>
    <cellStyle name="20% - Accent5 2 4 2 3 4" xfId="32259"/>
    <cellStyle name="20% - Accent5 2 4 2 4" xfId="6553"/>
    <cellStyle name="20% - Accent5 2 4 2 4 2" xfId="23600"/>
    <cellStyle name="20% - Accent5 2 4 2 4 2 2" xfId="52461"/>
    <cellStyle name="20% - Accent5 2 4 2 4 3" xfId="35414"/>
    <cellStyle name="20% - Accent5 2 4 2 5" xfId="13252"/>
    <cellStyle name="20% - Accent5 2 4 2 5 2" xfId="17828"/>
    <cellStyle name="20% - Accent5 2 4 2 5 2 2" xfId="46689"/>
    <cellStyle name="20% - Accent5 2 4 2 5 3" xfId="42113"/>
    <cellStyle name="20% - Accent5 2 4 2 6" xfId="15148"/>
    <cellStyle name="20% - Accent5 2 4 2 6 2" xfId="44009"/>
    <cellStyle name="20% - Accent5 2 4 2 7" xfId="29373"/>
    <cellStyle name="20% - Accent5 2 4 3" xfId="820"/>
    <cellStyle name="20% - Accent5 2 4 3 2" xfId="3707"/>
    <cellStyle name="20% - Accent5 2 4 3 2 2" xfId="9748"/>
    <cellStyle name="20% - Accent5 2 4 3 2 2 2" xfId="26795"/>
    <cellStyle name="20% - Accent5 2 4 3 2 2 2 2" xfId="55656"/>
    <cellStyle name="20% - Accent5 2 4 3 2 2 3" xfId="38609"/>
    <cellStyle name="20% - Accent5 2 4 3 2 3" xfId="20817"/>
    <cellStyle name="20% - Accent5 2 4 3 2 3 2" xfId="49678"/>
    <cellStyle name="20% - Accent5 2 4 3 2 4" xfId="32568"/>
    <cellStyle name="20% - Accent5 2 4 3 3" xfId="6862"/>
    <cellStyle name="20% - Accent5 2 4 3 3 2" xfId="23909"/>
    <cellStyle name="20% - Accent5 2 4 3 3 2 2" xfId="52770"/>
    <cellStyle name="20% - Accent5 2 4 3 3 3" xfId="35723"/>
    <cellStyle name="20% - Accent5 2 4 3 4" xfId="14286"/>
    <cellStyle name="20% - Accent5 2 4 3 4 2" xfId="18137"/>
    <cellStyle name="20% - Accent5 2 4 3 4 2 2" xfId="46998"/>
    <cellStyle name="20% - Accent5 2 4 3 4 3" xfId="43147"/>
    <cellStyle name="20% - Accent5 2 4 3 5" xfId="15457"/>
    <cellStyle name="20% - Accent5 2 4 3 5 2" xfId="44318"/>
    <cellStyle name="20% - Accent5 2 4 3 6" xfId="29682"/>
    <cellStyle name="20% - Accent5 2 4 4" xfId="1026"/>
    <cellStyle name="20% - Accent5 2 4 4 2" xfId="3913"/>
    <cellStyle name="20% - Accent5 2 4 4 2 2" xfId="9954"/>
    <cellStyle name="20% - Accent5 2 4 4 2 2 2" xfId="27001"/>
    <cellStyle name="20% - Accent5 2 4 4 2 2 2 2" xfId="55862"/>
    <cellStyle name="20% - Accent5 2 4 4 2 2 3" xfId="38815"/>
    <cellStyle name="20% - Accent5 2 4 4 2 3" xfId="21023"/>
    <cellStyle name="20% - Accent5 2 4 4 2 3 2" xfId="49884"/>
    <cellStyle name="20% - Accent5 2 4 4 2 4" xfId="32774"/>
    <cellStyle name="20% - Accent5 2 4 4 3" xfId="7068"/>
    <cellStyle name="20% - Accent5 2 4 4 3 2" xfId="24115"/>
    <cellStyle name="20% - Accent5 2 4 4 3 2 2" xfId="52976"/>
    <cellStyle name="20% - Accent5 2 4 4 3 3" xfId="35929"/>
    <cellStyle name="20% - Accent5 2 4 4 4" xfId="13884"/>
    <cellStyle name="20% - Accent5 2 4 4 4 2" xfId="18343"/>
    <cellStyle name="20% - Accent5 2 4 4 4 2 2" xfId="47204"/>
    <cellStyle name="20% - Accent5 2 4 4 4 3" xfId="42745"/>
    <cellStyle name="20% - Accent5 2 4 4 5" xfId="15663"/>
    <cellStyle name="20% - Accent5 2 4 4 5 2" xfId="44524"/>
    <cellStyle name="20% - Accent5 2 4 4 6" xfId="29888"/>
    <cellStyle name="20% - Accent5 2 4 5" xfId="1232"/>
    <cellStyle name="20% - Accent5 2 4 5 2" xfId="4119"/>
    <cellStyle name="20% - Accent5 2 4 5 2 2" xfId="10160"/>
    <cellStyle name="20% - Accent5 2 4 5 2 2 2" xfId="27207"/>
    <cellStyle name="20% - Accent5 2 4 5 2 2 2 2" xfId="56068"/>
    <cellStyle name="20% - Accent5 2 4 5 2 2 3" xfId="39021"/>
    <cellStyle name="20% - Accent5 2 4 5 2 3" xfId="21229"/>
    <cellStyle name="20% - Accent5 2 4 5 2 3 2" xfId="50090"/>
    <cellStyle name="20% - Accent5 2 4 5 2 4" xfId="32980"/>
    <cellStyle name="20% - Accent5 2 4 5 3" xfId="7274"/>
    <cellStyle name="20% - Accent5 2 4 5 3 2" xfId="24321"/>
    <cellStyle name="20% - Accent5 2 4 5 3 2 2" xfId="53182"/>
    <cellStyle name="20% - Accent5 2 4 5 3 3" xfId="36135"/>
    <cellStyle name="20% - Accent5 2 4 5 4" xfId="12799"/>
    <cellStyle name="20% - Accent5 2 4 5 4 2" xfId="18549"/>
    <cellStyle name="20% - Accent5 2 4 5 4 2 2" xfId="47410"/>
    <cellStyle name="20% - Accent5 2 4 5 4 3" xfId="41660"/>
    <cellStyle name="20% - Accent5 2 4 5 5" xfId="15869"/>
    <cellStyle name="20% - Accent5 2 4 5 5 2" xfId="44730"/>
    <cellStyle name="20% - Accent5 2 4 5 6" xfId="30094"/>
    <cellStyle name="20% - Accent5 2 4 6" xfId="1438"/>
    <cellStyle name="20% - Accent5 2 4 6 2" xfId="4325"/>
    <cellStyle name="20% - Accent5 2 4 6 2 2" xfId="10366"/>
    <cellStyle name="20% - Accent5 2 4 6 2 2 2" xfId="27413"/>
    <cellStyle name="20% - Accent5 2 4 6 2 2 2 2" xfId="56274"/>
    <cellStyle name="20% - Accent5 2 4 6 2 2 3" xfId="39227"/>
    <cellStyle name="20% - Accent5 2 4 6 2 3" xfId="21435"/>
    <cellStyle name="20% - Accent5 2 4 6 2 3 2" xfId="50296"/>
    <cellStyle name="20% - Accent5 2 4 6 2 4" xfId="33186"/>
    <cellStyle name="20% - Accent5 2 4 6 3" xfId="7480"/>
    <cellStyle name="20% - Accent5 2 4 6 3 2" xfId="24527"/>
    <cellStyle name="20% - Accent5 2 4 6 3 2 2" xfId="53388"/>
    <cellStyle name="20% - Accent5 2 4 6 3 3" xfId="36341"/>
    <cellStyle name="20% - Accent5 2 4 6 4" xfId="12300"/>
    <cellStyle name="20% - Accent5 2 4 6 4 2" xfId="18755"/>
    <cellStyle name="20% - Accent5 2 4 6 4 2 2" xfId="47616"/>
    <cellStyle name="20% - Accent5 2 4 6 4 3" xfId="41161"/>
    <cellStyle name="20% - Accent5 2 4 6 5" xfId="16075"/>
    <cellStyle name="20% - Accent5 2 4 6 5 2" xfId="44936"/>
    <cellStyle name="20% - Accent5 2 4 6 6" xfId="30300"/>
    <cellStyle name="20% - Accent5 2 4 7" xfId="1644"/>
    <cellStyle name="20% - Accent5 2 4 7 2" xfId="4531"/>
    <cellStyle name="20% - Accent5 2 4 7 2 2" xfId="10572"/>
    <cellStyle name="20% - Accent5 2 4 7 2 2 2" xfId="27619"/>
    <cellStyle name="20% - Accent5 2 4 7 2 2 2 2" xfId="56480"/>
    <cellStyle name="20% - Accent5 2 4 7 2 2 3" xfId="39433"/>
    <cellStyle name="20% - Accent5 2 4 7 2 3" xfId="21641"/>
    <cellStyle name="20% - Accent5 2 4 7 2 3 2" xfId="50502"/>
    <cellStyle name="20% - Accent5 2 4 7 2 4" xfId="33392"/>
    <cellStyle name="20% - Accent5 2 4 7 3" xfId="7686"/>
    <cellStyle name="20% - Accent5 2 4 7 3 2" xfId="24733"/>
    <cellStyle name="20% - Accent5 2 4 7 3 2 2" xfId="53594"/>
    <cellStyle name="20% - Accent5 2 4 7 3 3" xfId="36547"/>
    <cellStyle name="20% - Accent5 2 4 7 4" xfId="12167"/>
    <cellStyle name="20% - Accent5 2 4 7 4 2" xfId="18961"/>
    <cellStyle name="20% - Accent5 2 4 7 4 2 2" xfId="47822"/>
    <cellStyle name="20% - Accent5 2 4 7 4 3" xfId="41028"/>
    <cellStyle name="20% - Accent5 2 4 7 5" xfId="16281"/>
    <cellStyle name="20% - Accent5 2 4 7 5 2" xfId="45142"/>
    <cellStyle name="20% - Accent5 2 4 7 6" xfId="30506"/>
    <cellStyle name="20% - Accent5 2 4 8" xfId="1850"/>
    <cellStyle name="20% - Accent5 2 4 8 2" xfId="4737"/>
    <cellStyle name="20% - Accent5 2 4 8 2 2" xfId="10778"/>
    <cellStyle name="20% - Accent5 2 4 8 2 2 2" xfId="27825"/>
    <cellStyle name="20% - Accent5 2 4 8 2 2 2 2" xfId="56686"/>
    <cellStyle name="20% - Accent5 2 4 8 2 2 3" xfId="39639"/>
    <cellStyle name="20% - Accent5 2 4 8 2 3" xfId="21847"/>
    <cellStyle name="20% - Accent5 2 4 8 2 3 2" xfId="50708"/>
    <cellStyle name="20% - Accent5 2 4 8 2 4" xfId="33598"/>
    <cellStyle name="20% - Accent5 2 4 8 3" xfId="7892"/>
    <cellStyle name="20% - Accent5 2 4 8 3 2" xfId="24939"/>
    <cellStyle name="20% - Accent5 2 4 8 3 2 2" xfId="53800"/>
    <cellStyle name="20% - Accent5 2 4 8 3 3" xfId="36753"/>
    <cellStyle name="20% - Accent5 2 4 8 4" xfId="14124"/>
    <cellStyle name="20% - Accent5 2 4 8 4 2" xfId="19167"/>
    <cellStyle name="20% - Accent5 2 4 8 4 2 2" xfId="48028"/>
    <cellStyle name="20% - Accent5 2 4 8 4 3" xfId="42985"/>
    <cellStyle name="20% - Accent5 2 4 8 5" xfId="16487"/>
    <cellStyle name="20% - Accent5 2 4 8 5 2" xfId="45348"/>
    <cellStyle name="20% - Accent5 2 4 8 6" xfId="30712"/>
    <cellStyle name="20% - Accent5 2 4 9" xfId="2056"/>
    <cellStyle name="20% - Accent5 2 4 9 2" xfId="4943"/>
    <cellStyle name="20% - Accent5 2 4 9 2 2" xfId="10984"/>
    <cellStyle name="20% - Accent5 2 4 9 2 2 2" xfId="28031"/>
    <cellStyle name="20% - Accent5 2 4 9 2 2 2 2" xfId="56892"/>
    <cellStyle name="20% - Accent5 2 4 9 2 2 3" xfId="39845"/>
    <cellStyle name="20% - Accent5 2 4 9 2 3" xfId="22053"/>
    <cellStyle name="20% - Accent5 2 4 9 2 3 2" xfId="50914"/>
    <cellStyle name="20% - Accent5 2 4 9 2 4" xfId="33804"/>
    <cellStyle name="20% - Accent5 2 4 9 3" xfId="8098"/>
    <cellStyle name="20% - Accent5 2 4 9 3 2" xfId="25145"/>
    <cellStyle name="20% - Accent5 2 4 9 3 2 2" xfId="54006"/>
    <cellStyle name="20% - Accent5 2 4 9 3 3" xfId="36959"/>
    <cellStyle name="20% - Accent5 2 4 9 4" xfId="12679"/>
    <cellStyle name="20% - Accent5 2 4 9 4 2" xfId="19373"/>
    <cellStyle name="20% - Accent5 2 4 9 4 2 2" xfId="48234"/>
    <cellStyle name="20% - Accent5 2 4 9 4 3" xfId="41540"/>
    <cellStyle name="20% - Accent5 2 4 9 5" xfId="16693"/>
    <cellStyle name="20% - Accent5 2 4 9 5 2" xfId="45554"/>
    <cellStyle name="20% - Accent5 2 4 9 6" xfId="30918"/>
    <cellStyle name="20% - Accent5 2 5" xfId="202"/>
    <cellStyle name="20% - Accent5 2 5 2" xfId="614"/>
    <cellStyle name="20% - Accent5 2 5 2 2" xfId="3501"/>
    <cellStyle name="20% - Accent5 2 5 2 2 2" xfId="9542"/>
    <cellStyle name="20% - Accent5 2 5 2 2 2 2" xfId="26589"/>
    <cellStyle name="20% - Accent5 2 5 2 2 2 2 2" xfId="55450"/>
    <cellStyle name="20% - Accent5 2 5 2 2 2 3" xfId="38403"/>
    <cellStyle name="20% - Accent5 2 5 2 2 3" xfId="20611"/>
    <cellStyle name="20% - Accent5 2 5 2 2 3 2" xfId="49472"/>
    <cellStyle name="20% - Accent5 2 5 2 2 4" xfId="32362"/>
    <cellStyle name="20% - Accent5 2 5 2 3" xfId="6656"/>
    <cellStyle name="20% - Accent5 2 5 2 3 2" xfId="23703"/>
    <cellStyle name="20% - Accent5 2 5 2 3 2 2" xfId="52564"/>
    <cellStyle name="20% - Accent5 2 5 2 3 3" xfId="35517"/>
    <cellStyle name="20% - Accent5 2 5 2 4" xfId="12930"/>
    <cellStyle name="20% - Accent5 2 5 2 4 2" xfId="17931"/>
    <cellStyle name="20% - Accent5 2 5 2 4 2 2" xfId="46792"/>
    <cellStyle name="20% - Accent5 2 5 2 4 3" xfId="41791"/>
    <cellStyle name="20% - Accent5 2 5 2 5" xfId="15251"/>
    <cellStyle name="20% - Accent5 2 5 2 5 2" xfId="44112"/>
    <cellStyle name="20% - Accent5 2 5 2 6" xfId="29476"/>
    <cellStyle name="20% - Accent5 2 5 3" xfId="2159"/>
    <cellStyle name="20% - Accent5 2 5 3 2" xfId="5046"/>
    <cellStyle name="20% - Accent5 2 5 3 2 2" xfId="11087"/>
    <cellStyle name="20% - Accent5 2 5 3 2 2 2" xfId="28134"/>
    <cellStyle name="20% - Accent5 2 5 3 2 2 2 2" xfId="56995"/>
    <cellStyle name="20% - Accent5 2 5 3 2 2 3" xfId="39948"/>
    <cellStyle name="20% - Accent5 2 5 3 2 3" xfId="22156"/>
    <cellStyle name="20% - Accent5 2 5 3 2 3 2" xfId="51017"/>
    <cellStyle name="20% - Accent5 2 5 3 2 4" xfId="33907"/>
    <cellStyle name="20% - Accent5 2 5 3 3" xfId="8201"/>
    <cellStyle name="20% - Accent5 2 5 3 3 2" xfId="25248"/>
    <cellStyle name="20% - Accent5 2 5 3 3 2 2" xfId="54109"/>
    <cellStyle name="20% - Accent5 2 5 3 3 3" xfId="37062"/>
    <cellStyle name="20% - Accent5 2 5 3 4" xfId="13153"/>
    <cellStyle name="20% - Accent5 2 5 3 4 2" xfId="19476"/>
    <cellStyle name="20% - Accent5 2 5 3 4 2 2" xfId="48337"/>
    <cellStyle name="20% - Accent5 2 5 3 4 3" xfId="42014"/>
    <cellStyle name="20% - Accent5 2 5 3 5" xfId="16796"/>
    <cellStyle name="20% - Accent5 2 5 3 5 2" xfId="45657"/>
    <cellStyle name="20% - Accent5 2 5 3 6" xfId="31021"/>
    <cellStyle name="20% - Accent5 2 5 4" xfId="3089"/>
    <cellStyle name="20% - Accent5 2 5 4 2" xfId="9130"/>
    <cellStyle name="20% - Accent5 2 5 4 2 2" xfId="26177"/>
    <cellStyle name="20% - Accent5 2 5 4 2 2 2" xfId="55038"/>
    <cellStyle name="20% - Accent5 2 5 4 2 3" xfId="37991"/>
    <cellStyle name="20% - Accent5 2 5 4 3" xfId="20199"/>
    <cellStyle name="20% - Accent5 2 5 4 3 2" xfId="49060"/>
    <cellStyle name="20% - Accent5 2 5 4 4" xfId="31950"/>
    <cellStyle name="20% - Accent5 2 5 5" xfId="6244"/>
    <cellStyle name="20% - Accent5 2 5 5 2" xfId="23291"/>
    <cellStyle name="20% - Accent5 2 5 5 2 2" xfId="52152"/>
    <cellStyle name="20% - Accent5 2 5 5 3" xfId="35105"/>
    <cellStyle name="20% - Accent5 2 5 6" xfId="12122"/>
    <cellStyle name="20% - Accent5 2 5 6 2" xfId="17622"/>
    <cellStyle name="20% - Accent5 2 5 6 2 2" xfId="46483"/>
    <cellStyle name="20% - Accent5 2 5 6 3" xfId="40983"/>
    <cellStyle name="20% - Accent5 2 5 7" xfId="14839"/>
    <cellStyle name="20% - Accent5 2 5 7 2" xfId="43700"/>
    <cellStyle name="20% - Accent5 2 5 8" xfId="29064"/>
    <cellStyle name="20% - Accent5 2 6" xfId="408"/>
    <cellStyle name="20% - Accent5 2 6 2" xfId="3295"/>
    <cellStyle name="20% - Accent5 2 6 2 2" xfId="9336"/>
    <cellStyle name="20% - Accent5 2 6 2 2 2" xfId="26383"/>
    <cellStyle name="20% - Accent5 2 6 2 2 2 2" xfId="55244"/>
    <cellStyle name="20% - Accent5 2 6 2 2 3" xfId="38197"/>
    <cellStyle name="20% - Accent5 2 6 2 3" xfId="20405"/>
    <cellStyle name="20% - Accent5 2 6 2 3 2" xfId="49266"/>
    <cellStyle name="20% - Accent5 2 6 2 4" xfId="32156"/>
    <cellStyle name="20% - Accent5 2 6 3" xfId="6450"/>
    <cellStyle name="20% - Accent5 2 6 3 2" xfId="23497"/>
    <cellStyle name="20% - Accent5 2 6 3 2 2" xfId="52358"/>
    <cellStyle name="20% - Accent5 2 6 3 3" xfId="35311"/>
    <cellStyle name="20% - Accent5 2 6 4" xfId="13713"/>
    <cellStyle name="20% - Accent5 2 6 4 2" xfId="17725"/>
    <cellStyle name="20% - Accent5 2 6 4 2 2" xfId="46586"/>
    <cellStyle name="20% - Accent5 2 6 4 3" xfId="42574"/>
    <cellStyle name="20% - Accent5 2 6 5" xfId="15045"/>
    <cellStyle name="20% - Accent5 2 6 5 2" xfId="43906"/>
    <cellStyle name="20% - Accent5 2 6 6" xfId="29270"/>
    <cellStyle name="20% - Accent5 2 7" xfId="717"/>
    <cellStyle name="20% - Accent5 2 7 2" xfId="3604"/>
    <cellStyle name="20% - Accent5 2 7 2 2" xfId="9645"/>
    <cellStyle name="20% - Accent5 2 7 2 2 2" xfId="26692"/>
    <cellStyle name="20% - Accent5 2 7 2 2 2 2" xfId="55553"/>
    <cellStyle name="20% - Accent5 2 7 2 2 3" xfId="38506"/>
    <cellStyle name="20% - Accent5 2 7 2 3" xfId="20714"/>
    <cellStyle name="20% - Accent5 2 7 2 3 2" xfId="49575"/>
    <cellStyle name="20% - Accent5 2 7 2 4" xfId="32465"/>
    <cellStyle name="20% - Accent5 2 7 3" xfId="6759"/>
    <cellStyle name="20% - Accent5 2 7 3 2" xfId="23806"/>
    <cellStyle name="20% - Accent5 2 7 3 2 2" xfId="52667"/>
    <cellStyle name="20% - Accent5 2 7 3 3" xfId="35620"/>
    <cellStyle name="20% - Accent5 2 7 4" xfId="13613"/>
    <cellStyle name="20% - Accent5 2 7 4 2" xfId="18034"/>
    <cellStyle name="20% - Accent5 2 7 4 2 2" xfId="46895"/>
    <cellStyle name="20% - Accent5 2 7 4 3" xfId="42474"/>
    <cellStyle name="20% - Accent5 2 7 5" xfId="15354"/>
    <cellStyle name="20% - Accent5 2 7 5 2" xfId="44215"/>
    <cellStyle name="20% - Accent5 2 7 6" xfId="29579"/>
    <cellStyle name="20% - Accent5 2 8" xfId="923"/>
    <cellStyle name="20% - Accent5 2 8 2" xfId="3810"/>
    <cellStyle name="20% - Accent5 2 8 2 2" xfId="9851"/>
    <cellStyle name="20% - Accent5 2 8 2 2 2" xfId="26898"/>
    <cellStyle name="20% - Accent5 2 8 2 2 2 2" xfId="55759"/>
    <cellStyle name="20% - Accent5 2 8 2 2 3" xfId="38712"/>
    <cellStyle name="20% - Accent5 2 8 2 3" xfId="20920"/>
    <cellStyle name="20% - Accent5 2 8 2 3 2" xfId="49781"/>
    <cellStyle name="20% - Accent5 2 8 2 4" xfId="32671"/>
    <cellStyle name="20% - Accent5 2 8 3" xfId="6965"/>
    <cellStyle name="20% - Accent5 2 8 3 2" xfId="24012"/>
    <cellStyle name="20% - Accent5 2 8 3 2 2" xfId="52873"/>
    <cellStyle name="20% - Accent5 2 8 3 3" xfId="35826"/>
    <cellStyle name="20% - Accent5 2 8 4" xfId="14454"/>
    <cellStyle name="20% - Accent5 2 8 4 2" xfId="18240"/>
    <cellStyle name="20% - Accent5 2 8 4 2 2" xfId="47101"/>
    <cellStyle name="20% - Accent5 2 8 4 3" xfId="43315"/>
    <cellStyle name="20% - Accent5 2 8 5" xfId="15560"/>
    <cellStyle name="20% - Accent5 2 8 5 2" xfId="44421"/>
    <cellStyle name="20% - Accent5 2 8 6" xfId="29785"/>
    <cellStyle name="20% - Accent5 2 9" xfId="1129"/>
    <cellStyle name="20% - Accent5 2 9 2" xfId="4016"/>
    <cellStyle name="20% - Accent5 2 9 2 2" xfId="10057"/>
    <cellStyle name="20% - Accent5 2 9 2 2 2" xfId="27104"/>
    <cellStyle name="20% - Accent5 2 9 2 2 2 2" xfId="55965"/>
    <cellStyle name="20% - Accent5 2 9 2 2 3" xfId="38918"/>
    <cellStyle name="20% - Accent5 2 9 2 3" xfId="21126"/>
    <cellStyle name="20% - Accent5 2 9 2 3 2" xfId="49987"/>
    <cellStyle name="20% - Accent5 2 9 2 4" xfId="32877"/>
    <cellStyle name="20% - Accent5 2 9 3" xfId="7171"/>
    <cellStyle name="20% - Accent5 2 9 3 2" xfId="24218"/>
    <cellStyle name="20% - Accent5 2 9 3 2 2" xfId="53079"/>
    <cellStyle name="20% - Accent5 2 9 3 3" xfId="36032"/>
    <cellStyle name="20% - Accent5 2 9 4" xfId="13361"/>
    <cellStyle name="20% - Accent5 2 9 4 2" xfId="18446"/>
    <cellStyle name="20% - Accent5 2 9 4 2 2" xfId="47307"/>
    <cellStyle name="20% - Accent5 2 9 4 3" xfId="42222"/>
    <cellStyle name="20% - Accent5 2 9 5" xfId="15766"/>
    <cellStyle name="20% - Accent5 2 9 5 2" xfId="44627"/>
    <cellStyle name="20% - Accent5 2 9 6" xfId="29991"/>
    <cellStyle name="20% - Accent5 20" xfId="5869"/>
    <cellStyle name="20% - Accent5 20 2" xfId="22968"/>
    <cellStyle name="20% - Accent5 20 2 2" xfId="51829"/>
    <cellStyle name="20% - Accent5 20 3" xfId="34730"/>
    <cellStyle name="20% - Accent5 21" xfId="6127"/>
    <cellStyle name="20% - Accent5 21 2" xfId="23174"/>
    <cellStyle name="20% - Accent5 21 2 2" xfId="52035"/>
    <cellStyle name="20% - Accent5 21 3" xfId="34988"/>
    <cellStyle name="20% - Accent5 22" xfId="14516"/>
    <cellStyle name="20% - Accent5 22 2" xfId="43377"/>
    <cellStyle name="20% - Accent5 23" xfId="28947"/>
    <cellStyle name="20% - Accent5 3" xfId="112"/>
    <cellStyle name="20% - Accent5 3 10" xfId="1760"/>
    <cellStyle name="20% - Accent5 3 10 2" xfId="4647"/>
    <cellStyle name="20% - Accent5 3 10 2 2" xfId="10688"/>
    <cellStyle name="20% - Accent5 3 10 2 2 2" xfId="27735"/>
    <cellStyle name="20% - Accent5 3 10 2 2 2 2" xfId="56596"/>
    <cellStyle name="20% - Accent5 3 10 2 2 3" xfId="39549"/>
    <cellStyle name="20% - Accent5 3 10 2 3" xfId="21757"/>
    <cellStyle name="20% - Accent5 3 10 2 3 2" xfId="50618"/>
    <cellStyle name="20% - Accent5 3 10 2 4" xfId="33508"/>
    <cellStyle name="20% - Accent5 3 10 3" xfId="7802"/>
    <cellStyle name="20% - Accent5 3 10 3 2" xfId="24849"/>
    <cellStyle name="20% - Accent5 3 10 3 2 2" xfId="53710"/>
    <cellStyle name="20% - Accent5 3 10 3 3" xfId="36663"/>
    <cellStyle name="20% - Accent5 3 10 4" xfId="13286"/>
    <cellStyle name="20% - Accent5 3 10 4 2" xfId="19077"/>
    <cellStyle name="20% - Accent5 3 10 4 2 2" xfId="47938"/>
    <cellStyle name="20% - Accent5 3 10 4 3" xfId="42147"/>
    <cellStyle name="20% - Accent5 3 10 5" xfId="16397"/>
    <cellStyle name="20% - Accent5 3 10 5 2" xfId="45258"/>
    <cellStyle name="20% - Accent5 3 10 6" xfId="30622"/>
    <cellStyle name="20% - Accent5 3 11" xfId="1966"/>
    <cellStyle name="20% - Accent5 3 11 2" xfId="4853"/>
    <cellStyle name="20% - Accent5 3 11 2 2" xfId="10894"/>
    <cellStyle name="20% - Accent5 3 11 2 2 2" xfId="27941"/>
    <cellStyle name="20% - Accent5 3 11 2 2 2 2" xfId="56802"/>
    <cellStyle name="20% - Accent5 3 11 2 2 3" xfId="39755"/>
    <cellStyle name="20% - Accent5 3 11 2 3" xfId="21963"/>
    <cellStyle name="20% - Accent5 3 11 2 3 2" xfId="50824"/>
    <cellStyle name="20% - Accent5 3 11 2 4" xfId="33714"/>
    <cellStyle name="20% - Accent5 3 11 3" xfId="8008"/>
    <cellStyle name="20% - Accent5 3 11 3 2" xfId="25055"/>
    <cellStyle name="20% - Accent5 3 11 3 2 2" xfId="53916"/>
    <cellStyle name="20% - Accent5 3 11 3 3" xfId="36869"/>
    <cellStyle name="20% - Accent5 3 11 4" xfId="12425"/>
    <cellStyle name="20% - Accent5 3 11 4 2" xfId="19283"/>
    <cellStyle name="20% - Accent5 3 11 4 2 2" xfId="48144"/>
    <cellStyle name="20% - Accent5 3 11 4 3" xfId="41286"/>
    <cellStyle name="20% - Accent5 3 11 5" xfId="16603"/>
    <cellStyle name="20% - Accent5 3 11 5 2" xfId="45464"/>
    <cellStyle name="20% - Accent5 3 11 6" xfId="30828"/>
    <cellStyle name="20% - Accent5 3 12" xfId="2378"/>
    <cellStyle name="20% - Accent5 3 12 2" xfId="5265"/>
    <cellStyle name="20% - Accent5 3 12 2 2" xfId="11306"/>
    <cellStyle name="20% - Accent5 3 12 2 2 2" xfId="28353"/>
    <cellStyle name="20% - Accent5 3 12 2 2 2 2" xfId="57214"/>
    <cellStyle name="20% - Accent5 3 12 2 2 3" xfId="40167"/>
    <cellStyle name="20% - Accent5 3 12 2 3" xfId="22375"/>
    <cellStyle name="20% - Accent5 3 12 2 3 2" xfId="51236"/>
    <cellStyle name="20% - Accent5 3 12 2 4" xfId="34126"/>
    <cellStyle name="20% - Accent5 3 12 3" xfId="8420"/>
    <cellStyle name="20% - Accent5 3 12 3 2" xfId="25467"/>
    <cellStyle name="20% - Accent5 3 12 3 2 2" xfId="54328"/>
    <cellStyle name="20% - Accent5 3 12 3 3" xfId="37281"/>
    <cellStyle name="20% - Accent5 3 12 4" xfId="13695"/>
    <cellStyle name="20% - Accent5 3 12 4 2" xfId="19695"/>
    <cellStyle name="20% - Accent5 3 12 4 2 2" xfId="48556"/>
    <cellStyle name="20% - Accent5 3 12 4 3" xfId="42556"/>
    <cellStyle name="20% - Accent5 3 12 5" xfId="17015"/>
    <cellStyle name="20% - Accent5 3 12 5 2" xfId="45876"/>
    <cellStyle name="20% - Accent5 3 12 6" xfId="31240"/>
    <cellStyle name="20% - Accent5 3 13" xfId="2587"/>
    <cellStyle name="20% - Accent5 3 13 2" xfId="5473"/>
    <cellStyle name="20% - Accent5 3 13 2 2" xfId="11514"/>
    <cellStyle name="20% - Accent5 3 13 2 2 2" xfId="28561"/>
    <cellStyle name="20% - Accent5 3 13 2 2 2 2" xfId="57422"/>
    <cellStyle name="20% - Accent5 3 13 2 2 3" xfId="40375"/>
    <cellStyle name="20% - Accent5 3 13 2 3" xfId="22583"/>
    <cellStyle name="20% - Accent5 3 13 2 3 2" xfId="51444"/>
    <cellStyle name="20% - Accent5 3 13 2 4" xfId="34334"/>
    <cellStyle name="20% - Accent5 3 13 3" xfId="8628"/>
    <cellStyle name="20% - Accent5 3 13 3 2" xfId="25675"/>
    <cellStyle name="20% - Accent5 3 13 3 2 2" xfId="54536"/>
    <cellStyle name="20% - Accent5 3 13 3 3" xfId="37489"/>
    <cellStyle name="20% - Accent5 3 13 4" xfId="12115"/>
    <cellStyle name="20% - Accent5 3 13 4 2" xfId="19903"/>
    <cellStyle name="20% - Accent5 3 13 4 2 2" xfId="48764"/>
    <cellStyle name="20% - Accent5 3 13 4 3" xfId="40976"/>
    <cellStyle name="20% - Accent5 3 13 5" xfId="17223"/>
    <cellStyle name="20% - Accent5 3 13 5 2" xfId="46084"/>
    <cellStyle name="20% - Accent5 3 13 6" xfId="31448"/>
    <cellStyle name="20% - Accent5 3 14" xfId="2999"/>
    <cellStyle name="20% - Accent5 3 14 2" xfId="9040"/>
    <cellStyle name="20% - Accent5 3 14 2 2" xfId="26087"/>
    <cellStyle name="20% - Accent5 3 14 2 2 2" xfId="54948"/>
    <cellStyle name="20% - Accent5 3 14 2 3" xfId="37901"/>
    <cellStyle name="20% - Accent5 3 14 3" xfId="6051"/>
    <cellStyle name="20% - Accent5 3 14 3 2" xfId="20109"/>
    <cellStyle name="20% - Accent5 3 14 3 2 2" xfId="48970"/>
    <cellStyle name="20% - Accent5 3 14 3 3" xfId="34912"/>
    <cellStyle name="20% - Accent5 3 14 4" xfId="14749"/>
    <cellStyle name="20% - Accent5 3 14 4 2" xfId="43610"/>
    <cellStyle name="20% - Accent5 3 14 5" xfId="31860"/>
    <cellStyle name="20% - Accent5 3 15" xfId="2793"/>
    <cellStyle name="20% - Accent5 3 15 2" xfId="8834"/>
    <cellStyle name="20% - Accent5 3 15 2 2" xfId="25881"/>
    <cellStyle name="20% - Accent5 3 15 2 2 2" xfId="54742"/>
    <cellStyle name="20% - Accent5 3 15 2 3" xfId="37695"/>
    <cellStyle name="20% - Accent5 3 15 3" xfId="17429"/>
    <cellStyle name="20% - Accent5 3 15 3 2" xfId="46290"/>
    <cellStyle name="20% - Accent5 3 15 4" xfId="31654"/>
    <cellStyle name="20% - Accent5 3 16" xfId="5679"/>
    <cellStyle name="20% - Accent5 3 16 2" xfId="11720"/>
    <cellStyle name="20% - Accent5 3 16 2 2" xfId="28767"/>
    <cellStyle name="20% - Accent5 3 16 2 2 2" xfId="57628"/>
    <cellStyle name="20% - Accent5 3 16 2 3" xfId="40581"/>
    <cellStyle name="20% - Accent5 3 16 3" xfId="22789"/>
    <cellStyle name="20% - Accent5 3 16 3 2" xfId="51650"/>
    <cellStyle name="20% - Accent5 3 16 4" xfId="34540"/>
    <cellStyle name="20% - Accent5 3 17" xfId="5896"/>
    <cellStyle name="20% - Accent5 3 17 2" xfId="22995"/>
    <cellStyle name="20% - Accent5 3 17 2 2" xfId="51856"/>
    <cellStyle name="20% - Accent5 3 17 3" xfId="34757"/>
    <cellStyle name="20% - Accent5 3 18" xfId="6154"/>
    <cellStyle name="20% - Accent5 3 18 2" xfId="23201"/>
    <cellStyle name="20% - Accent5 3 18 2 2" xfId="52062"/>
    <cellStyle name="20% - Accent5 3 18 3" xfId="35015"/>
    <cellStyle name="20% - Accent5 3 19" xfId="14543"/>
    <cellStyle name="20% - Accent5 3 19 2" xfId="43404"/>
    <cellStyle name="20% - Accent5 3 2" xfId="318"/>
    <cellStyle name="20% - Accent5 3 2 10" xfId="2481"/>
    <cellStyle name="20% - Accent5 3 2 10 2" xfId="5368"/>
    <cellStyle name="20% - Accent5 3 2 10 2 2" xfId="11409"/>
    <cellStyle name="20% - Accent5 3 2 10 2 2 2" xfId="28456"/>
    <cellStyle name="20% - Accent5 3 2 10 2 2 2 2" xfId="57317"/>
    <cellStyle name="20% - Accent5 3 2 10 2 2 3" xfId="40270"/>
    <cellStyle name="20% - Accent5 3 2 10 2 3" xfId="22478"/>
    <cellStyle name="20% - Accent5 3 2 10 2 3 2" xfId="51339"/>
    <cellStyle name="20% - Accent5 3 2 10 2 4" xfId="34229"/>
    <cellStyle name="20% - Accent5 3 2 10 3" xfId="8523"/>
    <cellStyle name="20% - Accent5 3 2 10 3 2" xfId="25570"/>
    <cellStyle name="20% - Accent5 3 2 10 3 2 2" xfId="54431"/>
    <cellStyle name="20% - Accent5 3 2 10 3 3" xfId="37384"/>
    <cellStyle name="20% - Accent5 3 2 10 4" xfId="14377"/>
    <cellStyle name="20% - Accent5 3 2 10 4 2" xfId="19798"/>
    <cellStyle name="20% - Accent5 3 2 10 4 2 2" xfId="48659"/>
    <cellStyle name="20% - Accent5 3 2 10 4 3" xfId="43238"/>
    <cellStyle name="20% - Accent5 3 2 10 5" xfId="17118"/>
    <cellStyle name="20% - Accent5 3 2 10 5 2" xfId="45979"/>
    <cellStyle name="20% - Accent5 3 2 10 6" xfId="31343"/>
    <cellStyle name="20% - Accent5 3 2 11" xfId="2690"/>
    <cellStyle name="20% - Accent5 3 2 11 2" xfId="5576"/>
    <cellStyle name="20% - Accent5 3 2 11 2 2" xfId="11617"/>
    <cellStyle name="20% - Accent5 3 2 11 2 2 2" xfId="28664"/>
    <cellStyle name="20% - Accent5 3 2 11 2 2 2 2" xfId="57525"/>
    <cellStyle name="20% - Accent5 3 2 11 2 2 3" xfId="40478"/>
    <cellStyle name="20% - Accent5 3 2 11 2 3" xfId="22686"/>
    <cellStyle name="20% - Accent5 3 2 11 2 3 2" xfId="51547"/>
    <cellStyle name="20% - Accent5 3 2 11 2 4" xfId="34437"/>
    <cellStyle name="20% - Accent5 3 2 11 3" xfId="8731"/>
    <cellStyle name="20% - Accent5 3 2 11 3 2" xfId="25778"/>
    <cellStyle name="20% - Accent5 3 2 11 3 2 2" xfId="54639"/>
    <cellStyle name="20% - Accent5 3 2 11 3 3" xfId="37592"/>
    <cellStyle name="20% - Accent5 3 2 11 4" xfId="12039"/>
    <cellStyle name="20% - Accent5 3 2 11 4 2" xfId="20006"/>
    <cellStyle name="20% - Accent5 3 2 11 4 2 2" xfId="48867"/>
    <cellStyle name="20% - Accent5 3 2 11 4 3" xfId="40900"/>
    <cellStyle name="20% - Accent5 3 2 11 5" xfId="17326"/>
    <cellStyle name="20% - Accent5 3 2 11 5 2" xfId="46187"/>
    <cellStyle name="20% - Accent5 3 2 11 6" xfId="31551"/>
    <cellStyle name="20% - Accent5 3 2 12" xfId="3205"/>
    <cellStyle name="20% - Accent5 3 2 12 2" xfId="9246"/>
    <cellStyle name="20% - Accent5 3 2 12 2 2" xfId="26293"/>
    <cellStyle name="20% - Accent5 3 2 12 2 2 2" xfId="55154"/>
    <cellStyle name="20% - Accent5 3 2 12 2 3" xfId="38107"/>
    <cellStyle name="20% - Accent5 3 2 12 3" xfId="13071"/>
    <cellStyle name="20% - Accent5 3 2 12 3 2" xfId="20315"/>
    <cellStyle name="20% - Accent5 3 2 12 3 2 2" xfId="49176"/>
    <cellStyle name="20% - Accent5 3 2 12 3 3" xfId="41932"/>
    <cellStyle name="20% - Accent5 3 2 12 4" xfId="14955"/>
    <cellStyle name="20% - Accent5 3 2 12 4 2" xfId="43816"/>
    <cellStyle name="20% - Accent5 3 2 12 5" xfId="32066"/>
    <cellStyle name="20% - Accent5 3 2 13" xfId="2896"/>
    <cellStyle name="20% - Accent5 3 2 13 2" xfId="8937"/>
    <cellStyle name="20% - Accent5 3 2 13 2 2" xfId="25984"/>
    <cellStyle name="20% - Accent5 3 2 13 2 2 2" xfId="54845"/>
    <cellStyle name="20% - Accent5 3 2 13 2 3" xfId="37798"/>
    <cellStyle name="20% - Accent5 3 2 13 3" xfId="17532"/>
    <cellStyle name="20% - Accent5 3 2 13 3 2" xfId="46393"/>
    <cellStyle name="20% - Accent5 3 2 13 4" xfId="31757"/>
    <cellStyle name="20% - Accent5 3 2 14" xfId="5782"/>
    <cellStyle name="20% - Accent5 3 2 14 2" xfId="11823"/>
    <cellStyle name="20% - Accent5 3 2 14 2 2" xfId="28870"/>
    <cellStyle name="20% - Accent5 3 2 14 2 2 2" xfId="57731"/>
    <cellStyle name="20% - Accent5 3 2 14 2 3" xfId="40684"/>
    <cellStyle name="20% - Accent5 3 2 14 3" xfId="22892"/>
    <cellStyle name="20% - Accent5 3 2 14 3 2" xfId="51753"/>
    <cellStyle name="20% - Accent5 3 2 14 4" xfId="34643"/>
    <cellStyle name="20% - Accent5 3 2 15" xfId="5999"/>
    <cellStyle name="20% - Accent5 3 2 15 2" xfId="23098"/>
    <cellStyle name="20% - Accent5 3 2 15 2 2" xfId="51959"/>
    <cellStyle name="20% - Accent5 3 2 15 3" xfId="34860"/>
    <cellStyle name="20% - Accent5 3 2 16" xfId="6360"/>
    <cellStyle name="20% - Accent5 3 2 16 2" xfId="23407"/>
    <cellStyle name="20% - Accent5 3 2 16 2 2" xfId="52268"/>
    <cellStyle name="20% - Accent5 3 2 16 3" xfId="35221"/>
    <cellStyle name="20% - Accent5 3 2 17" xfId="14646"/>
    <cellStyle name="20% - Accent5 3 2 17 2" xfId="43507"/>
    <cellStyle name="20% - Accent5 3 2 18" xfId="29180"/>
    <cellStyle name="20% - Accent5 3 2 2" xfId="524"/>
    <cellStyle name="20% - Accent5 3 2 2 2" xfId="2275"/>
    <cellStyle name="20% - Accent5 3 2 2 2 2" xfId="5162"/>
    <cellStyle name="20% - Accent5 3 2 2 2 2 2" xfId="11203"/>
    <cellStyle name="20% - Accent5 3 2 2 2 2 2 2" xfId="28250"/>
    <cellStyle name="20% - Accent5 3 2 2 2 2 2 2 2" xfId="57111"/>
    <cellStyle name="20% - Accent5 3 2 2 2 2 2 3" xfId="40064"/>
    <cellStyle name="20% - Accent5 3 2 2 2 2 3" xfId="22272"/>
    <cellStyle name="20% - Accent5 3 2 2 2 2 3 2" xfId="51133"/>
    <cellStyle name="20% - Accent5 3 2 2 2 2 4" xfId="34023"/>
    <cellStyle name="20% - Accent5 3 2 2 2 3" xfId="8317"/>
    <cellStyle name="20% - Accent5 3 2 2 2 3 2" xfId="25364"/>
    <cellStyle name="20% - Accent5 3 2 2 2 3 2 2" xfId="54225"/>
    <cellStyle name="20% - Accent5 3 2 2 2 3 3" xfId="37178"/>
    <cellStyle name="20% - Accent5 3 2 2 2 4" xfId="12715"/>
    <cellStyle name="20% - Accent5 3 2 2 2 4 2" xfId="19592"/>
    <cellStyle name="20% - Accent5 3 2 2 2 4 2 2" xfId="48453"/>
    <cellStyle name="20% - Accent5 3 2 2 2 4 3" xfId="41576"/>
    <cellStyle name="20% - Accent5 3 2 2 2 5" xfId="16912"/>
    <cellStyle name="20% - Accent5 3 2 2 2 5 2" xfId="45773"/>
    <cellStyle name="20% - Accent5 3 2 2 2 6" xfId="31137"/>
    <cellStyle name="20% - Accent5 3 2 2 3" xfId="3411"/>
    <cellStyle name="20% - Accent5 3 2 2 3 2" xfId="9452"/>
    <cellStyle name="20% - Accent5 3 2 2 3 2 2" xfId="26499"/>
    <cellStyle name="20% - Accent5 3 2 2 3 2 2 2" xfId="55360"/>
    <cellStyle name="20% - Accent5 3 2 2 3 2 3" xfId="38313"/>
    <cellStyle name="20% - Accent5 3 2 2 3 3" xfId="20521"/>
    <cellStyle name="20% - Accent5 3 2 2 3 3 2" xfId="49382"/>
    <cellStyle name="20% - Accent5 3 2 2 3 4" xfId="32272"/>
    <cellStyle name="20% - Accent5 3 2 2 4" xfId="6566"/>
    <cellStyle name="20% - Accent5 3 2 2 4 2" xfId="23613"/>
    <cellStyle name="20% - Accent5 3 2 2 4 2 2" xfId="52474"/>
    <cellStyle name="20% - Accent5 3 2 2 4 3" xfId="35427"/>
    <cellStyle name="20% - Accent5 3 2 2 5" xfId="12305"/>
    <cellStyle name="20% - Accent5 3 2 2 5 2" xfId="17841"/>
    <cellStyle name="20% - Accent5 3 2 2 5 2 2" xfId="46702"/>
    <cellStyle name="20% - Accent5 3 2 2 5 3" xfId="41166"/>
    <cellStyle name="20% - Accent5 3 2 2 6" xfId="15161"/>
    <cellStyle name="20% - Accent5 3 2 2 6 2" xfId="44022"/>
    <cellStyle name="20% - Accent5 3 2 2 7" xfId="29386"/>
    <cellStyle name="20% - Accent5 3 2 3" xfId="833"/>
    <cellStyle name="20% - Accent5 3 2 3 2" xfId="3720"/>
    <cellStyle name="20% - Accent5 3 2 3 2 2" xfId="9761"/>
    <cellStyle name="20% - Accent5 3 2 3 2 2 2" xfId="26808"/>
    <cellStyle name="20% - Accent5 3 2 3 2 2 2 2" xfId="55669"/>
    <cellStyle name="20% - Accent5 3 2 3 2 2 3" xfId="38622"/>
    <cellStyle name="20% - Accent5 3 2 3 2 3" xfId="20830"/>
    <cellStyle name="20% - Accent5 3 2 3 2 3 2" xfId="49691"/>
    <cellStyle name="20% - Accent5 3 2 3 2 4" xfId="32581"/>
    <cellStyle name="20% - Accent5 3 2 3 3" xfId="6875"/>
    <cellStyle name="20% - Accent5 3 2 3 3 2" xfId="23922"/>
    <cellStyle name="20% - Accent5 3 2 3 3 2 2" xfId="52783"/>
    <cellStyle name="20% - Accent5 3 2 3 3 3" xfId="35736"/>
    <cellStyle name="20% - Accent5 3 2 3 4" xfId="13659"/>
    <cellStyle name="20% - Accent5 3 2 3 4 2" xfId="18150"/>
    <cellStyle name="20% - Accent5 3 2 3 4 2 2" xfId="47011"/>
    <cellStyle name="20% - Accent5 3 2 3 4 3" xfId="42520"/>
    <cellStyle name="20% - Accent5 3 2 3 5" xfId="15470"/>
    <cellStyle name="20% - Accent5 3 2 3 5 2" xfId="44331"/>
    <cellStyle name="20% - Accent5 3 2 3 6" xfId="29695"/>
    <cellStyle name="20% - Accent5 3 2 4" xfId="1039"/>
    <cellStyle name="20% - Accent5 3 2 4 2" xfId="3926"/>
    <cellStyle name="20% - Accent5 3 2 4 2 2" xfId="9967"/>
    <cellStyle name="20% - Accent5 3 2 4 2 2 2" xfId="27014"/>
    <cellStyle name="20% - Accent5 3 2 4 2 2 2 2" xfId="55875"/>
    <cellStyle name="20% - Accent5 3 2 4 2 2 3" xfId="38828"/>
    <cellStyle name="20% - Accent5 3 2 4 2 3" xfId="21036"/>
    <cellStyle name="20% - Accent5 3 2 4 2 3 2" xfId="49897"/>
    <cellStyle name="20% - Accent5 3 2 4 2 4" xfId="32787"/>
    <cellStyle name="20% - Accent5 3 2 4 3" xfId="7081"/>
    <cellStyle name="20% - Accent5 3 2 4 3 2" xfId="24128"/>
    <cellStyle name="20% - Accent5 3 2 4 3 2 2" xfId="52989"/>
    <cellStyle name="20% - Accent5 3 2 4 3 3" xfId="35942"/>
    <cellStyle name="20% - Accent5 3 2 4 4" xfId="12003"/>
    <cellStyle name="20% - Accent5 3 2 4 4 2" xfId="18356"/>
    <cellStyle name="20% - Accent5 3 2 4 4 2 2" xfId="47217"/>
    <cellStyle name="20% - Accent5 3 2 4 4 3" xfId="40864"/>
    <cellStyle name="20% - Accent5 3 2 4 5" xfId="15676"/>
    <cellStyle name="20% - Accent5 3 2 4 5 2" xfId="44537"/>
    <cellStyle name="20% - Accent5 3 2 4 6" xfId="29901"/>
    <cellStyle name="20% - Accent5 3 2 5" xfId="1245"/>
    <cellStyle name="20% - Accent5 3 2 5 2" xfId="4132"/>
    <cellStyle name="20% - Accent5 3 2 5 2 2" xfId="10173"/>
    <cellStyle name="20% - Accent5 3 2 5 2 2 2" xfId="27220"/>
    <cellStyle name="20% - Accent5 3 2 5 2 2 2 2" xfId="56081"/>
    <cellStyle name="20% - Accent5 3 2 5 2 2 3" xfId="39034"/>
    <cellStyle name="20% - Accent5 3 2 5 2 3" xfId="21242"/>
    <cellStyle name="20% - Accent5 3 2 5 2 3 2" xfId="50103"/>
    <cellStyle name="20% - Accent5 3 2 5 2 4" xfId="32993"/>
    <cellStyle name="20% - Accent5 3 2 5 3" xfId="7287"/>
    <cellStyle name="20% - Accent5 3 2 5 3 2" xfId="24334"/>
    <cellStyle name="20% - Accent5 3 2 5 3 2 2" xfId="53195"/>
    <cellStyle name="20% - Accent5 3 2 5 3 3" xfId="36148"/>
    <cellStyle name="20% - Accent5 3 2 5 4" xfId="6050"/>
    <cellStyle name="20% - Accent5 3 2 5 4 2" xfId="18562"/>
    <cellStyle name="20% - Accent5 3 2 5 4 2 2" xfId="47423"/>
    <cellStyle name="20% - Accent5 3 2 5 4 3" xfId="34911"/>
    <cellStyle name="20% - Accent5 3 2 5 5" xfId="15882"/>
    <cellStyle name="20% - Accent5 3 2 5 5 2" xfId="44743"/>
    <cellStyle name="20% - Accent5 3 2 5 6" xfId="30107"/>
    <cellStyle name="20% - Accent5 3 2 6" xfId="1451"/>
    <cellStyle name="20% - Accent5 3 2 6 2" xfId="4338"/>
    <cellStyle name="20% - Accent5 3 2 6 2 2" xfId="10379"/>
    <cellStyle name="20% - Accent5 3 2 6 2 2 2" xfId="27426"/>
    <cellStyle name="20% - Accent5 3 2 6 2 2 2 2" xfId="56287"/>
    <cellStyle name="20% - Accent5 3 2 6 2 2 3" xfId="39240"/>
    <cellStyle name="20% - Accent5 3 2 6 2 3" xfId="21448"/>
    <cellStyle name="20% - Accent5 3 2 6 2 3 2" xfId="50309"/>
    <cellStyle name="20% - Accent5 3 2 6 2 4" xfId="33199"/>
    <cellStyle name="20% - Accent5 3 2 6 3" xfId="7493"/>
    <cellStyle name="20% - Accent5 3 2 6 3 2" xfId="24540"/>
    <cellStyle name="20% - Accent5 3 2 6 3 2 2" xfId="53401"/>
    <cellStyle name="20% - Accent5 3 2 6 3 3" xfId="36354"/>
    <cellStyle name="20% - Accent5 3 2 6 4" xfId="14396"/>
    <cellStyle name="20% - Accent5 3 2 6 4 2" xfId="18768"/>
    <cellStyle name="20% - Accent5 3 2 6 4 2 2" xfId="47629"/>
    <cellStyle name="20% - Accent5 3 2 6 4 3" xfId="43257"/>
    <cellStyle name="20% - Accent5 3 2 6 5" xfId="16088"/>
    <cellStyle name="20% - Accent5 3 2 6 5 2" xfId="44949"/>
    <cellStyle name="20% - Accent5 3 2 6 6" xfId="30313"/>
    <cellStyle name="20% - Accent5 3 2 7" xfId="1657"/>
    <cellStyle name="20% - Accent5 3 2 7 2" xfId="4544"/>
    <cellStyle name="20% - Accent5 3 2 7 2 2" xfId="10585"/>
    <cellStyle name="20% - Accent5 3 2 7 2 2 2" xfId="27632"/>
    <cellStyle name="20% - Accent5 3 2 7 2 2 2 2" xfId="56493"/>
    <cellStyle name="20% - Accent5 3 2 7 2 2 3" xfId="39446"/>
    <cellStyle name="20% - Accent5 3 2 7 2 3" xfId="21654"/>
    <cellStyle name="20% - Accent5 3 2 7 2 3 2" xfId="50515"/>
    <cellStyle name="20% - Accent5 3 2 7 2 4" xfId="33405"/>
    <cellStyle name="20% - Accent5 3 2 7 3" xfId="7699"/>
    <cellStyle name="20% - Accent5 3 2 7 3 2" xfId="24746"/>
    <cellStyle name="20% - Accent5 3 2 7 3 2 2" xfId="53607"/>
    <cellStyle name="20% - Accent5 3 2 7 3 3" xfId="36560"/>
    <cellStyle name="20% - Accent5 3 2 7 4" xfId="12919"/>
    <cellStyle name="20% - Accent5 3 2 7 4 2" xfId="18974"/>
    <cellStyle name="20% - Accent5 3 2 7 4 2 2" xfId="47835"/>
    <cellStyle name="20% - Accent5 3 2 7 4 3" xfId="41780"/>
    <cellStyle name="20% - Accent5 3 2 7 5" xfId="16294"/>
    <cellStyle name="20% - Accent5 3 2 7 5 2" xfId="45155"/>
    <cellStyle name="20% - Accent5 3 2 7 6" xfId="30519"/>
    <cellStyle name="20% - Accent5 3 2 8" xfId="1863"/>
    <cellStyle name="20% - Accent5 3 2 8 2" xfId="4750"/>
    <cellStyle name="20% - Accent5 3 2 8 2 2" xfId="10791"/>
    <cellStyle name="20% - Accent5 3 2 8 2 2 2" xfId="27838"/>
    <cellStyle name="20% - Accent5 3 2 8 2 2 2 2" xfId="56699"/>
    <cellStyle name="20% - Accent5 3 2 8 2 2 3" xfId="39652"/>
    <cellStyle name="20% - Accent5 3 2 8 2 3" xfId="21860"/>
    <cellStyle name="20% - Accent5 3 2 8 2 3 2" xfId="50721"/>
    <cellStyle name="20% - Accent5 3 2 8 2 4" xfId="33611"/>
    <cellStyle name="20% - Accent5 3 2 8 3" xfId="7905"/>
    <cellStyle name="20% - Accent5 3 2 8 3 2" xfId="24952"/>
    <cellStyle name="20% - Accent5 3 2 8 3 2 2" xfId="53813"/>
    <cellStyle name="20% - Accent5 3 2 8 3 3" xfId="36766"/>
    <cellStyle name="20% - Accent5 3 2 8 4" xfId="14053"/>
    <cellStyle name="20% - Accent5 3 2 8 4 2" xfId="19180"/>
    <cellStyle name="20% - Accent5 3 2 8 4 2 2" xfId="48041"/>
    <cellStyle name="20% - Accent5 3 2 8 4 3" xfId="42914"/>
    <cellStyle name="20% - Accent5 3 2 8 5" xfId="16500"/>
    <cellStyle name="20% - Accent5 3 2 8 5 2" xfId="45361"/>
    <cellStyle name="20% - Accent5 3 2 8 6" xfId="30725"/>
    <cellStyle name="20% - Accent5 3 2 9" xfId="2069"/>
    <cellStyle name="20% - Accent5 3 2 9 2" xfId="4956"/>
    <cellStyle name="20% - Accent5 3 2 9 2 2" xfId="10997"/>
    <cellStyle name="20% - Accent5 3 2 9 2 2 2" xfId="28044"/>
    <cellStyle name="20% - Accent5 3 2 9 2 2 2 2" xfId="56905"/>
    <cellStyle name="20% - Accent5 3 2 9 2 2 3" xfId="39858"/>
    <cellStyle name="20% - Accent5 3 2 9 2 3" xfId="22066"/>
    <cellStyle name="20% - Accent5 3 2 9 2 3 2" xfId="50927"/>
    <cellStyle name="20% - Accent5 3 2 9 2 4" xfId="33817"/>
    <cellStyle name="20% - Accent5 3 2 9 3" xfId="8111"/>
    <cellStyle name="20% - Accent5 3 2 9 3 2" xfId="25158"/>
    <cellStyle name="20% - Accent5 3 2 9 3 2 2" xfId="54019"/>
    <cellStyle name="20% - Accent5 3 2 9 3 3" xfId="36972"/>
    <cellStyle name="20% - Accent5 3 2 9 4" xfId="13591"/>
    <cellStyle name="20% - Accent5 3 2 9 4 2" xfId="19386"/>
    <cellStyle name="20% - Accent5 3 2 9 4 2 2" xfId="48247"/>
    <cellStyle name="20% - Accent5 3 2 9 4 3" xfId="42452"/>
    <cellStyle name="20% - Accent5 3 2 9 5" xfId="16706"/>
    <cellStyle name="20% - Accent5 3 2 9 5 2" xfId="45567"/>
    <cellStyle name="20% - Accent5 3 2 9 6" xfId="30931"/>
    <cellStyle name="20% - Accent5 3 20" xfId="28974"/>
    <cellStyle name="20% - Accent5 3 3" xfId="215"/>
    <cellStyle name="20% - Accent5 3 3 2" xfId="627"/>
    <cellStyle name="20% - Accent5 3 3 2 2" xfId="3514"/>
    <cellStyle name="20% - Accent5 3 3 2 2 2" xfId="9555"/>
    <cellStyle name="20% - Accent5 3 3 2 2 2 2" xfId="26602"/>
    <cellStyle name="20% - Accent5 3 3 2 2 2 2 2" xfId="55463"/>
    <cellStyle name="20% - Accent5 3 3 2 2 2 3" xfId="38416"/>
    <cellStyle name="20% - Accent5 3 3 2 2 3" xfId="20624"/>
    <cellStyle name="20% - Accent5 3 3 2 2 3 2" xfId="49485"/>
    <cellStyle name="20% - Accent5 3 3 2 2 4" xfId="32375"/>
    <cellStyle name="20% - Accent5 3 3 2 3" xfId="6669"/>
    <cellStyle name="20% - Accent5 3 3 2 3 2" xfId="23716"/>
    <cellStyle name="20% - Accent5 3 3 2 3 2 2" xfId="52577"/>
    <cellStyle name="20% - Accent5 3 3 2 3 3" xfId="35530"/>
    <cellStyle name="20% - Accent5 3 3 2 4" xfId="12249"/>
    <cellStyle name="20% - Accent5 3 3 2 4 2" xfId="17944"/>
    <cellStyle name="20% - Accent5 3 3 2 4 2 2" xfId="46805"/>
    <cellStyle name="20% - Accent5 3 3 2 4 3" xfId="41110"/>
    <cellStyle name="20% - Accent5 3 3 2 5" xfId="15264"/>
    <cellStyle name="20% - Accent5 3 3 2 5 2" xfId="44125"/>
    <cellStyle name="20% - Accent5 3 3 2 6" xfId="29489"/>
    <cellStyle name="20% - Accent5 3 3 3" xfId="2172"/>
    <cellStyle name="20% - Accent5 3 3 3 2" xfId="5059"/>
    <cellStyle name="20% - Accent5 3 3 3 2 2" xfId="11100"/>
    <cellStyle name="20% - Accent5 3 3 3 2 2 2" xfId="28147"/>
    <cellStyle name="20% - Accent5 3 3 3 2 2 2 2" xfId="57008"/>
    <cellStyle name="20% - Accent5 3 3 3 2 2 3" xfId="39961"/>
    <cellStyle name="20% - Accent5 3 3 3 2 3" xfId="22169"/>
    <cellStyle name="20% - Accent5 3 3 3 2 3 2" xfId="51030"/>
    <cellStyle name="20% - Accent5 3 3 3 2 4" xfId="33920"/>
    <cellStyle name="20% - Accent5 3 3 3 3" xfId="8214"/>
    <cellStyle name="20% - Accent5 3 3 3 3 2" xfId="25261"/>
    <cellStyle name="20% - Accent5 3 3 3 3 2 2" xfId="54122"/>
    <cellStyle name="20% - Accent5 3 3 3 3 3" xfId="37075"/>
    <cellStyle name="20% - Accent5 3 3 3 4" xfId="13374"/>
    <cellStyle name="20% - Accent5 3 3 3 4 2" xfId="19489"/>
    <cellStyle name="20% - Accent5 3 3 3 4 2 2" xfId="48350"/>
    <cellStyle name="20% - Accent5 3 3 3 4 3" xfId="42235"/>
    <cellStyle name="20% - Accent5 3 3 3 5" xfId="16809"/>
    <cellStyle name="20% - Accent5 3 3 3 5 2" xfId="45670"/>
    <cellStyle name="20% - Accent5 3 3 3 6" xfId="31034"/>
    <cellStyle name="20% - Accent5 3 3 4" xfId="3102"/>
    <cellStyle name="20% - Accent5 3 3 4 2" xfId="9143"/>
    <cellStyle name="20% - Accent5 3 3 4 2 2" xfId="26190"/>
    <cellStyle name="20% - Accent5 3 3 4 2 2 2" xfId="55051"/>
    <cellStyle name="20% - Accent5 3 3 4 2 3" xfId="38004"/>
    <cellStyle name="20% - Accent5 3 3 4 3" xfId="20212"/>
    <cellStyle name="20% - Accent5 3 3 4 3 2" xfId="49073"/>
    <cellStyle name="20% - Accent5 3 3 4 4" xfId="31963"/>
    <cellStyle name="20% - Accent5 3 3 5" xfId="6257"/>
    <cellStyle name="20% - Accent5 3 3 5 2" xfId="23304"/>
    <cellStyle name="20% - Accent5 3 3 5 2 2" xfId="52165"/>
    <cellStyle name="20% - Accent5 3 3 5 3" xfId="35118"/>
    <cellStyle name="20% - Accent5 3 3 6" xfId="14299"/>
    <cellStyle name="20% - Accent5 3 3 6 2" xfId="17635"/>
    <cellStyle name="20% - Accent5 3 3 6 2 2" xfId="46496"/>
    <cellStyle name="20% - Accent5 3 3 6 3" xfId="43160"/>
    <cellStyle name="20% - Accent5 3 3 7" xfId="14852"/>
    <cellStyle name="20% - Accent5 3 3 7 2" xfId="43713"/>
    <cellStyle name="20% - Accent5 3 3 8" xfId="29077"/>
    <cellStyle name="20% - Accent5 3 4" xfId="421"/>
    <cellStyle name="20% - Accent5 3 4 2" xfId="3308"/>
    <cellStyle name="20% - Accent5 3 4 2 2" xfId="9349"/>
    <cellStyle name="20% - Accent5 3 4 2 2 2" xfId="26396"/>
    <cellStyle name="20% - Accent5 3 4 2 2 2 2" xfId="55257"/>
    <cellStyle name="20% - Accent5 3 4 2 2 3" xfId="38210"/>
    <cellStyle name="20% - Accent5 3 4 2 3" xfId="20418"/>
    <cellStyle name="20% - Accent5 3 4 2 3 2" xfId="49279"/>
    <cellStyle name="20% - Accent5 3 4 2 4" xfId="32169"/>
    <cellStyle name="20% - Accent5 3 4 3" xfId="6463"/>
    <cellStyle name="20% - Accent5 3 4 3 2" xfId="23510"/>
    <cellStyle name="20% - Accent5 3 4 3 2 2" xfId="52371"/>
    <cellStyle name="20% - Accent5 3 4 3 3" xfId="35324"/>
    <cellStyle name="20% - Accent5 3 4 4" xfId="12532"/>
    <cellStyle name="20% - Accent5 3 4 4 2" xfId="17738"/>
    <cellStyle name="20% - Accent5 3 4 4 2 2" xfId="46599"/>
    <cellStyle name="20% - Accent5 3 4 4 3" xfId="41393"/>
    <cellStyle name="20% - Accent5 3 4 5" xfId="15058"/>
    <cellStyle name="20% - Accent5 3 4 5 2" xfId="43919"/>
    <cellStyle name="20% - Accent5 3 4 6" xfId="29283"/>
    <cellStyle name="20% - Accent5 3 5" xfId="730"/>
    <cellStyle name="20% - Accent5 3 5 2" xfId="3617"/>
    <cellStyle name="20% - Accent5 3 5 2 2" xfId="9658"/>
    <cellStyle name="20% - Accent5 3 5 2 2 2" xfId="26705"/>
    <cellStyle name="20% - Accent5 3 5 2 2 2 2" xfId="55566"/>
    <cellStyle name="20% - Accent5 3 5 2 2 3" xfId="38519"/>
    <cellStyle name="20% - Accent5 3 5 2 3" xfId="20727"/>
    <cellStyle name="20% - Accent5 3 5 2 3 2" xfId="49588"/>
    <cellStyle name="20% - Accent5 3 5 2 4" xfId="32478"/>
    <cellStyle name="20% - Accent5 3 5 3" xfId="6772"/>
    <cellStyle name="20% - Accent5 3 5 3 2" xfId="23819"/>
    <cellStyle name="20% - Accent5 3 5 3 2 2" xfId="52680"/>
    <cellStyle name="20% - Accent5 3 5 3 3" xfId="35633"/>
    <cellStyle name="20% - Accent5 3 5 4" xfId="13930"/>
    <cellStyle name="20% - Accent5 3 5 4 2" xfId="18047"/>
    <cellStyle name="20% - Accent5 3 5 4 2 2" xfId="46908"/>
    <cellStyle name="20% - Accent5 3 5 4 3" xfId="42791"/>
    <cellStyle name="20% - Accent5 3 5 5" xfId="15367"/>
    <cellStyle name="20% - Accent5 3 5 5 2" xfId="44228"/>
    <cellStyle name="20% - Accent5 3 5 6" xfId="29592"/>
    <cellStyle name="20% - Accent5 3 6" xfId="936"/>
    <cellStyle name="20% - Accent5 3 6 2" xfId="3823"/>
    <cellStyle name="20% - Accent5 3 6 2 2" xfId="9864"/>
    <cellStyle name="20% - Accent5 3 6 2 2 2" xfId="26911"/>
    <cellStyle name="20% - Accent5 3 6 2 2 2 2" xfId="55772"/>
    <cellStyle name="20% - Accent5 3 6 2 2 3" xfId="38725"/>
    <cellStyle name="20% - Accent5 3 6 2 3" xfId="20933"/>
    <cellStyle name="20% - Accent5 3 6 2 3 2" xfId="49794"/>
    <cellStyle name="20% - Accent5 3 6 2 4" xfId="32684"/>
    <cellStyle name="20% - Accent5 3 6 3" xfId="6978"/>
    <cellStyle name="20% - Accent5 3 6 3 2" xfId="24025"/>
    <cellStyle name="20% - Accent5 3 6 3 2 2" xfId="52886"/>
    <cellStyle name="20% - Accent5 3 6 3 3" xfId="35839"/>
    <cellStyle name="20% - Accent5 3 6 4" xfId="12328"/>
    <cellStyle name="20% - Accent5 3 6 4 2" xfId="18253"/>
    <cellStyle name="20% - Accent5 3 6 4 2 2" xfId="47114"/>
    <cellStyle name="20% - Accent5 3 6 4 3" xfId="41189"/>
    <cellStyle name="20% - Accent5 3 6 5" xfId="15573"/>
    <cellStyle name="20% - Accent5 3 6 5 2" xfId="44434"/>
    <cellStyle name="20% - Accent5 3 6 6" xfId="29798"/>
    <cellStyle name="20% - Accent5 3 7" xfId="1142"/>
    <cellStyle name="20% - Accent5 3 7 2" xfId="4029"/>
    <cellStyle name="20% - Accent5 3 7 2 2" xfId="10070"/>
    <cellStyle name="20% - Accent5 3 7 2 2 2" xfId="27117"/>
    <cellStyle name="20% - Accent5 3 7 2 2 2 2" xfId="55978"/>
    <cellStyle name="20% - Accent5 3 7 2 2 3" xfId="38931"/>
    <cellStyle name="20% - Accent5 3 7 2 3" xfId="21139"/>
    <cellStyle name="20% - Accent5 3 7 2 3 2" xfId="50000"/>
    <cellStyle name="20% - Accent5 3 7 2 4" xfId="32890"/>
    <cellStyle name="20% - Accent5 3 7 3" xfId="7184"/>
    <cellStyle name="20% - Accent5 3 7 3 2" xfId="24231"/>
    <cellStyle name="20% - Accent5 3 7 3 2 2" xfId="53092"/>
    <cellStyle name="20% - Accent5 3 7 3 3" xfId="36045"/>
    <cellStyle name="20% - Accent5 3 7 4" xfId="12066"/>
    <cellStyle name="20% - Accent5 3 7 4 2" xfId="18459"/>
    <cellStyle name="20% - Accent5 3 7 4 2 2" xfId="47320"/>
    <cellStyle name="20% - Accent5 3 7 4 3" xfId="40927"/>
    <cellStyle name="20% - Accent5 3 7 5" xfId="15779"/>
    <cellStyle name="20% - Accent5 3 7 5 2" xfId="44640"/>
    <cellStyle name="20% - Accent5 3 7 6" xfId="30004"/>
    <cellStyle name="20% - Accent5 3 8" xfId="1348"/>
    <cellStyle name="20% - Accent5 3 8 2" xfId="4235"/>
    <cellStyle name="20% - Accent5 3 8 2 2" xfId="10276"/>
    <cellStyle name="20% - Accent5 3 8 2 2 2" xfId="27323"/>
    <cellStyle name="20% - Accent5 3 8 2 2 2 2" xfId="56184"/>
    <cellStyle name="20% - Accent5 3 8 2 2 3" xfId="39137"/>
    <cellStyle name="20% - Accent5 3 8 2 3" xfId="21345"/>
    <cellStyle name="20% - Accent5 3 8 2 3 2" xfId="50206"/>
    <cellStyle name="20% - Accent5 3 8 2 4" xfId="33096"/>
    <cellStyle name="20% - Accent5 3 8 3" xfId="7390"/>
    <cellStyle name="20% - Accent5 3 8 3 2" xfId="24437"/>
    <cellStyle name="20% - Accent5 3 8 3 2 2" xfId="53298"/>
    <cellStyle name="20% - Accent5 3 8 3 3" xfId="36251"/>
    <cellStyle name="20% - Accent5 3 8 4" xfId="12218"/>
    <cellStyle name="20% - Accent5 3 8 4 2" xfId="18665"/>
    <cellStyle name="20% - Accent5 3 8 4 2 2" xfId="47526"/>
    <cellStyle name="20% - Accent5 3 8 4 3" xfId="41079"/>
    <cellStyle name="20% - Accent5 3 8 5" xfId="15985"/>
    <cellStyle name="20% - Accent5 3 8 5 2" xfId="44846"/>
    <cellStyle name="20% - Accent5 3 8 6" xfId="30210"/>
    <cellStyle name="20% - Accent5 3 9" xfId="1554"/>
    <cellStyle name="20% - Accent5 3 9 2" xfId="4441"/>
    <cellStyle name="20% - Accent5 3 9 2 2" xfId="10482"/>
    <cellStyle name="20% - Accent5 3 9 2 2 2" xfId="27529"/>
    <cellStyle name="20% - Accent5 3 9 2 2 2 2" xfId="56390"/>
    <cellStyle name="20% - Accent5 3 9 2 2 3" xfId="39343"/>
    <cellStyle name="20% - Accent5 3 9 2 3" xfId="21551"/>
    <cellStyle name="20% - Accent5 3 9 2 3 2" xfId="50412"/>
    <cellStyle name="20% - Accent5 3 9 2 4" xfId="33302"/>
    <cellStyle name="20% - Accent5 3 9 3" xfId="7596"/>
    <cellStyle name="20% - Accent5 3 9 3 2" xfId="24643"/>
    <cellStyle name="20% - Accent5 3 9 3 2 2" xfId="53504"/>
    <cellStyle name="20% - Accent5 3 9 3 3" xfId="36457"/>
    <cellStyle name="20% - Accent5 3 9 4" xfId="12716"/>
    <cellStyle name="20% - Accent5 3 9 4 2" xfId="18871"/>
    <cellStyle name="20% - Accent5 3 9 4 2 2" xfId="47732"/>
    <cellStyle name="20% - Accent5 3 9 4 3" xfId="41577"/>
    <cellStyle name="20% - Accent5 3 9 5" xfId="16191"/>
    <cellStyle name="20% - Accent5 3 9 5 2" xfId="45052"/>
    <cellStyle name="20% - Accent5 3 9 6" xfId="30416"/>
    <cellStyle name="20% - Accent5 4" xfId="138"/>
    <cellStyle name="20% - Accent5 4 10" xfId="1786"/>
    <cellStyle name="20% - Accent5 4 10 2" xfId="4673"/>
    <cellStyle name="20% - Accent5 4 10 2 2" xfId="10714"/>
    <cellStyle name="20% - Accent5 4 10 2 2 2" xfId="27761"/>
    <cellStyle name="20% - Accent5 4 10 2 2 2 2" xfId="56622"/>
    <cellStyle name="20% - Accent5 4 10 2 2 3" xfId="39575"/>
    <cellStyle name="20% - Accent5 4 10 2 3" xfId="21783"/>
    <cellStyle name="20% - Accent5 4 10 2 3 2" xfId="50644"/>
    <cellStyle name="20% - Accent5 4 10 2 4" xfId="33534"/>
    <cellStyle name="20% - Accent5 4 10 3" xfId="7828"/>
    <cellStyle name="20% - Accent5 4 10 3 2" xfId="24875"/>
    <cellStyle name="20% - Accent5 4 10 3 2 2" xfId="53736"/>
    <cellStyle name="20% - Accent5 4 10 3 3" xfId="36689"/>
    <cellStyle name="20% - Accent5 4 10 4" xfId="14090"/>
    <cellStyle name="20% - Accent5 4 10 4 2" xfId="19103"/>
    <cellStyle name="20% - Accent5 4 10 4 2 2" xfId="47964"/>
    <cellStyle name="20% - Accent5 4 10 4 3" xfId="42951"/>
    <cellStyle name="20% - Accent5 4 10 5" xfId="16423"/>
    <cellStyle name="20% - Accent5 4 10 5 2" xfId="45284"/>
    <cellStyle name="20% - Accent5 4 10 6" xfId="30648"/>
    <cellStyle name="20% - Accent5 4 11" xfId="1992"/>
    <cellStyle name="20% - Accent5 4 11 2" xfId="4879"/>
    <cellStyle name="20% - Accent5 4 11 2 2" xfId="10920"/>
    <cellStyle name="20% - Accent5 4 11 2 2 2" xfId="27967"/>
    <cellStyle name="20% - Accent5 4 11 2 2 2 2" xfId="56828"/>
    <cellStyle name="20% - Accent5 4 11 2 2 3" xfId="39781"/>
    <cellStyle name="20% - Accent5 4 11 2 3" xfId="21989"/>
    <cellStyle name="20% - Accent5 4 11 2 3 2" xfId="50850"/>
    <cellStyle name="20% - Accent5 4 11 2 4" xfId="33740"/>
    <cellStyle name="20% - Accent5 4 11 3" xfId="8034"/>
    <cellStyle name="20% - Accent5 4 11 3 2" xfId="25081"/>
    <cellStyle name="20% - Accent5 4 11 3 2 2" xfId="53942"/>
    <cellStyle name="20% - Accent5 4 11 3 3" xfId="36895"/>
    <cellStyle name="20% - Accent5 4 11 4" xfId="12233"/>
    <cellStyle name="20% - Accent5 4 11 4 2" xfId="19309"/>
    <cellStyle name="20% - Accent5 4 11 4 2 2" xfId="48170"/>
    <cellStyle name="20% - Accent5 4 11 4 3" xfId="41094"/>
    <cellStyle name="20% - Accent5 4 11 5" xfId="16629"/>
    <cellStyle name="20% - Accent5 4 11 5 2" xfId="45490"/>
    <cellStyle name="20% - Accent5 4 11 6" xfId="30854"/>
    <cellStyle name="20% - Accent5 4 12" xfId="2404"/>
    <cellStyle name="20% - Accent5 4 12 2" xfId="5291"/>
    <cellStyle name="20% - Accent5 4 12 2 2" xfId="11332"/>
    <cellStyle name="20% - Accent5 4 12 2 2 2" xfId="28379"/>
    <cellStyle name="20% - Accent5 4 12 2 2 2 2" xfId="57240"/>
    <cellStyle name="20% - Accent5 4 12 2 2 3" xfId="40193"/>
    <cellStyle name="20% - Accent5 4 12 2 3" xfId="22401"/>
    <cellStyle name="20% - Accent5 4 12 2 3 2" xfId="51262"/>
    <cellStyle name="20% - Accent5 4 12 2 4" xfId="34152"/>
    <cellStyle name="20% - Accent5 4 12 3" xfId="8446"/>
    <cellStyle name="20% - Accent5 4 12 3 2" xfId="25493"/>
    <cellStyle name="20% - Accent5 4 12 3 2 2" xfId="54354"/>
    <cellStyle name="20% - Accent5 4 12 3 3" xfId="37307"/>
    <cellStyle name="20% - Accent5 4 12 4" xfId="11884"/>
    <cellStyle name="20% - Accent5 4 12 4 2" xfId="19721"/>
    <cellStyle name="20% - Accent5 4 12 4 2 2" xfId="48582"/>
    <cellStyle name="20% - Accent5 4 12 4 3" xfId="40745"/>
    <cellStyle name="20% - Accent5 4 12 5" xfId="17041"/>
    <cellStyle name="20% - Accent5 4 12 5 2" xfId="45902"/>
    <cellStyle name="20% - Accent5 4 12 6" xfId="31266"/>
    <cellStyle name="20% - Accent5 4 13" xfId="2613"/>
    <cellStyle name="20% - Accent5 4 13 2" xfId="5499"/>
    <cellStyle name="20% - Accent5 4 13 2 2" xfId="11540"/>
    <cellStyle name="20% - Accent5 4 13 2 2 2" xfId="28587"/>
    <cellStyle name="20% - Accent5 4 13 2 2 2 2" xfId="57448"/>
    <cellStyle name="20% - Accent5 4 13 2 2 3" xfId="40401"/>
    <cellStyle name="20% - Accent5 4 13 2 3" xfId="22609"/>
    <cellStyle name="20% - Accent5 4 13 2 3 2" xfId="51470"/>
    <cellStyle name="20% - Accent5 4 13 2 4" xfId="34360"/>
    <cellStyle name="20% - Accent5 4 13 3" xfId="8654"/>
    <cellStyle name="20% - Accent5 4 13 3 2" xfId="25701"/>
    <cellStyle name="20% - Accent5 4 13 3 2 2" xfId="54562"/>
    <cellStyle name="20% - Accent5 4 13 3 3" xfId="37515"/>
    <cellStyle name="20% - Accent5 4 13 4" xfId="13352"/>
    <cellStyle name="20% - Accent5 4 13 4 2" xfId="19929"/>
    <cellStyle name="20% - Accent5 4 13 4 2 2" xfId="48790"/>
    <cellStyle name="20% - Accent5 4 13 4 3" xfId="42213"/>
    <cellStyle name="20% - Accent5 4 13 5" xfId="17249"/>
    <cellStyle name="20% - Accent5 4 13 5 2" xfId="46110"/>
    <cellStyle name="20% - Accent5 4 13 6" xfId="31474"/>
    <cellStyle name="20% - Accent5 4 14" xfId="3025"/>
    <cellStyle name="20% - Accent5 4 14 2" xfId="9066"/>
    <cellStyle name="20% - Accent5 4 14 2 2" xfId="26113"/>
    <cellStyle name="20% - Accent5 4 14 2 2 2" xfId="54974"/>
    <cellStyle name="20% - Accent5 4 14 2 3" xfId="37927"/>
    <cellStyle name="20% - Accent5 4 14 3" xfId="12827"/>
    <cellStyle name="20% - Accent5 4 14 3 2" xfId="20135"/>
    <cellStyle name="20% - Accent5 4 14 3 2 2" xfId="48996"/>
    <cellStyle name="20% - Accent5 4 14 3 3" xfId="41688"/>
    <cellStyle name="20% - Accent5 4 14 4" xfId="14775"/>
    <cellStyle name="20% - Accent5 4 14 4 2" xfId="43636"/>
    <cellStyle name="20% - Accent5 4 14 5" xfId="31886"/>
    <cellStyle name="20% - Accent5 4 15" xfId="2819"/>
    <cellStyle name="20% - Accent5 4 15 2" xfId="8860"/>
    <cellStyle name="20% - Accent5 4 15 2 2" xfId="25907"/>
    <cellStyle name="20% - Accent5 4 15 2 2 2" xfId="54768"/>
    <cellStyle name="20% - Accent5 4 15 2 3" xfId="37721"/>
    <cellStyle name="20% - Accent5 4 15 3" xfId="17455"/>
    <cellStyle name="20% - Accent5 4 15 3 2" xfId="46316"/>
    <cellStyle name="20% - Accent5 4 15 4" xfId="31680"/>
    <cellStyle name="20% - Accent5 4 16" xfId="5705"/>
    <cellStyle name="20% - Accent5 4 16 2" xfId="11746"/>
    <cellStyle name="20% - Accent5 4 16 2 2" xfId="28793"/>
    <cellStyle name="20% - Accent5 4 16 2 2 2" xfId="57654"/>
    <cellStyle name="20% - Accent5 4 16 2 3" xfId="40607"/>
    <cellStyle name="20% - Accent5 4 16 3" xfId="22815"/>
    <cellStyle name="20% - Accent5 4 16 3 2" xfId="51676"/>
    <cellStyle name="20% - Accent5 4 16 4" xfId="34566"/>
    <cellStyle name="20% - Accent5 4 17" xfId="5922"/>
    <cellStyle name="20% - Accent5 4 17 2" xfId="23021"/>
    <cellStyle name="20% - Accent5 4 17 2 2" xfId="51882"/>
    <cellStyle name="20% - Accent5 4 17 3" xfId="34783"/>
    <cellStyle name="20% - Accent5 4 18" xfId="6180"/>
    <cellStyle name="20% - Accent5 4 18 2" xfId="23227"/>
    <cellStyle name="20% - Accent5 4 18 2 2" xfId="52088"/>
    <cellStyle name="20% - Accent5 4 18 3" xfId="35041"/>
    <cellStyle name="20% - Accent5 4 19" xfId="14569"/>
    <cellStyle name="20% - Accent5 4 19 2" xfId="43430"/>
    <cellStyle name="20% - Accent5 4 2" xfId="344"/>
    <cellStyle name="20% - Accent5 4 2 10" xfId="2507"/>
    <cellStyle name="20% - Accent5 4 2 10 2" xfId="5394"/>
    <cellStyle name="20% - Accent5 4 2 10 2 2" xfId="11435"/>
    <cellStyle name="20% - Accent5 4 2 10 2 2 2" xfId="28482"/>
    <cellStyle name="20% - Accent5 4 2 10 2 2 2 2" xfId="57343"/>
    <cellStyle name="20% - Accent5 4 2 10 2 2 3" xfId="40296"/>
    <cellStyle name="20% - Accent5 4 2 10 2 3" xfId="22504"/>
    <cellStyle name="20% - Accent5 4 2 10 2 3 2" xfId="51365"/>
    <cellStyle name="20% - Accent5 4 2 10 2 4" xfId="34255"/>
    <cellStyle name="20% - Accent5 4 2 10 3" xfId="8549"/>
    <cellStyle name="20% - Accent5 4 2 10 3 2" xfId="25596"/>
    <cellStyle name="20% - Accent5 4 2 10 3 2 2" xfId="54457"/>
    <cellStyle name="20% - Accent5 4 2 10 3 3" xfId="37410"/>
    <cellStyle name="20% - Accent5 4 2 10 4" xfId="12857"/>
    <cellStyle name="20% - Accent5 4 2 10 4 2" xfId="19824"/>
    <cellStyle name="20% - Accent5 4 2 10 4 2 2" xfId="48685"/>
    <cellStyle name="20% - Accent5 4 2 10 4 3" xfId="41718"/>
    <cellStyle name="20% - Accent5 4 2 10 5" xfId="17144"/>
    <cellStyle name="20% - Accent5 4 2 10 5 2" xfId="46005"/>
    <cellStyle name="20% - Accent5 4 2 10 6" xfId="31369"/>
    <cellStyle name="20% - Accent5 4 2 11" xfId="2716"/>
    <cellStyle name="20% - Accent5 4 2 11 2" xfId="5602"/>
    <cellStyle name="20% - Accent5 4 2 11 2 2" xfId="11643"/>
    <cellStyle name="20% - Accent5 4 2 11 2 2 2" xfId="28690"/>
    <cellStyle name="20% - Accent5 4 2 11 2 2 2 2" xfId="57551"/>
    <cellStyle name="20% - Accent5 4 2 11 2 2 3" xfId="40504"/>
    <cellStyle name="20% - Accent5 4 2 11 2 3" xfId="22712"/>
    <cellStyle name="20% - Accent5 4 2 11 2 3 2" xfId="51573"/>
    <cellStyle name="20% - Accent5 4 2 11 2 4" xfId="34463"/>
    <cellStyle name="20% - Accent5 4 2 11 3" xfId="8757"/>
    <cellStyle name="20% - Accent5 4 2 11 3 2" xfId="25804"/>
    <cellStyle name="20% - Accent5 4 2 11 3 2 2" xfId="54665"/>
    <cellStyle name="20% - Accent5 4 2 11 3 3" xfId="37618"/>
    <cellStyle name="20% - Accent5 4 2 11 4" xfId="12324"/>
    <cellStyle name="20% - Accent5 4 2 11 4 2" xfId="20032"/>
    <cellStyle name="20% - Accent5 4 2 11 4 2 2" xfId="48893"/>
    <cellStyle name="20% - Accent5 4 2 11 4 3" xfId="41185"/>
    <cellStyle name="20% - Accent5 4 2 11 5" xfId="17352"/>
    <cellStyle name="20% - Accent5 4 2 11 5 2" xfId="46213"/>
    <cellStyle name="20% - Accent5 4 2 11 6" xfId="31577"/>
    <cellStyle name="20% - Accent5 4 2 12" xfId="3231"/>
    <cellStyle name="20% - Accent5 4 2 12 2" xfId="9272"/>
    <cellStyle name="20% - Accent5 4 2 12 2 2" xfId="26319"/>
    <cellStyle name="20% - Accent5 4 2 12 2 2 2" xfId="55180"/>
    <cellStyle name="20% - Accent5 4 2 12 2 3" xfId="38133"/>
    <cellStyle name="20% - Accent5 4 2 12 3" xfId="12782"/>
    <cellStyle name="20% - Accent5 4 2 12 3 2" xfId="20341"/>
    <cellStyle name="20% - Accent5 4 2 12 3 2 2" xfId="49202"/>
    <cellStyle name="20% - Accent5 4 2 12 3 3" xfId="41643"/>
    <cellStyle name="20% - Accent5 4 2 12 4" xfId="14981"/>
    <cellStyle name="20% - Accent5 4 2 12 4 2" xfId="43842"/>
    <cellStyle name="20% - Accent5 4 2 12 5" xfId="32092"/>
    <cellStyle name="20% - Accent5 4 2 13" xfId="2922"/>
    <cellStyle name="20% - Accent5 4 2 13 2" xfId="8963"/>
    <cellStyle name="20% - Accent5 4 2 13 2 2" xfId="26010"/>
    <cellStyle name="20% - Accent5 4 2 13 2 2 2" xfId="54871"/>
    <cellStyle name="20% - Accent5 4 2 13 2 3" xfId="37824"/>
    <cellStyle name="20% - Accent5 4 2 13 3" xfId="17558"/>
    <cellStyle name="20% - Accent5 4 2 13 3 2" xfId="46419"/>
    <cellStyle name="20% - Accent5 4 2 13 4" xfId="31783"/>
    <cellStyle name="20% - Accent5 4 2 14" xfId="5808"/>
    <cellStyle name="20% - Accent5 4 2 14 2" xfId="11849"/>
    <cellStyle name="20% - Accent5 4 2 14 2 2" xfId="28896"/>
    <cellStyle name="20% - Accent5 4 2 14 2 2 2" xfId="57757"/>
    <cellStyle name="20% - Accent5 4 2 14 2 3" xfId="40710"/>
    <cellStyle name="20% - Accent5 4 2 14 3" xfId="22918"/>
    <cellStyle name="20% - Accent5 4 2 14 3 2" xfId="51779"/>
    <cellStyle name="20% - Accent5 4 2 14 4" xfId="34669"/>
    <cellStyle name="20% - Accent5 4 2 15" xfId="6025"/>
    <cellStyle name="20% - Accent5 4 2 15 2" xfId="23124"/>
    <cellStyle name="20% - Accent5 4 2 15 2 2" xfId="51985"/>
    <cellStyle name="20% - Accent5 4 2 15 3" xfId="34886"/>
    <cellStyle name="20% - Accent5 4 2 16" xfId="6386"/>
    <cellStyle name="20% - Accent5 4 2 16 2" xfId="23433"/>
    <cellStyle name="20% - Accent5 4 2 16 2 2" xfId="52294"/>
    <cellStyle name="20% - Accent5 4 2 16 3" xfId="35247"/>
    <cellStyle name="20% - Accent5 4 2 17" xfId="14672"/>
    <cellStyle name="20% - Accent5 4 2 17 2" xfId="43533"/>
    <cellStyle name="20% - Accent5 4 2 18" xfId="29206"/>
    <cellStyle name="20% - Accent5 4 2 2" xfId="550"/>
    <cellStyle name="20% - Accent5 4 2 2 2" xfId="2301"/>
    <cellStyle name="20% - Accent5 4 2 2 2 2" xfId="5188"/>
    <cellStyle name="20% - Accent5 4 2 2 2 2 2" xfId="11229"/>
    <cellStyle name="20% - Accent5 4 2 2 2 2 2 2" xfId="28276"/>
    <cellStyle name="20% - Accent5 4 2 2 2 2 2 2 2" xfId="57137"/>
    <cellStyle name="20% - Accent5 4 2 2 2 2 2 3" xfId="40090"/>
    <cellStyle name="20% - Accent5 4 2 2 2 2 3" xfId="22298"/>
    <cellStyle name="20% - Accent5 4 2 2 2 2 3 2" xfId="51159"/>
    <cellStyle name="20% - Accent5 4 2 2 2 2 4" xfId="34049"/>
    <cellStyle name="20% - Accent5 4 2 2 2 3" xfId="8343"/>
    <cellStyle name="20% - Accent5 4 2 2 2 3 2" xfId="25390"/>
    <cellStyle name="20% - Accent5 4 2 2 2 3 2 2" xfId="54251"/>
    <cellStyle name="20% - Accent5 4 2 2 2 3 3" xfId="37204"/>
    <cellStyle name="20% - Accent5 4 2 2 2 4" xfId="12507"/>
    <cellStyle name="20% - Accent5 4 2 2 2 4 2" xfId="19618"/>
    <cellStyle name="20% - Accent5 4 2 2 2 4 2 2" xfId="48479"/>
    <cellStyle name="20% - Accent5 4 2 2 2 4 3" xfId="41368"/>
    <cellStyle name="20% - Accent5 4 2 2 2 5" xfId="16938"/>
    <cellStyle name="20% - Accent5 4 2 2 2 5 2" xfId="45799"/>
    <cellStyle name="20% - Accent5 4 2 2 2 6" xfId="31163"/>
    <cellStyle name="20% - Accent5 4 2 2 3" xfId="3437"/>
    <cellStyle name="20% - Accent5 4 2 2 3 2" xfId="9478"/>
    <cellStyle name="20% - Accent5 4 2 2 3 2 2" xfId="26525"/>
    <cellStyle name="20% - Accent5 4 2 2 3 2 2 2" xfId="55386"/>
    <cellStyle name="20% - Accent5 4 2 2 3 2 3" xfId="38339"/>
    <cellStyle name="20% - Accent5 4 2 2 3 3" xfId="20547"/>
    <cellStyle name="20% - Accent5 4 2 2 3 3 2" xfId="49408"/>
    <cellStyle name="20% - Accent5 4 2 2 3 4" xfId="32298"/>
    <cellStyle name="20% - Accent5 4 2 2 4" xfId="6592"/>
    <cellStyle name="20% - Accent5 4 2 2 4 2" xfId="23639"/>
    <cellStyle name="20% - Accent5 4 2 2 4 2 2" xfId="52500"/>
    <cellStyle name="20% - Accent5 4 2 2 4 3" xfId="35453"/>
    <cellStyle name="20% - Accent5 4 2 2 5" xfId="12942"/>
    <cellStyle name="20% - Accent5 4 2 2 5 2" xfId="17867"/>
    <cellStyle name="20% - Accent5 4 2 2 5 2 2" xfId="46728"/>
    <cellStyle name="20% - Accent5 4 2 2 5 3" xfId="41803"/>
    <cellStyle name="20% - Accent5 4 2 2 6" xfId="15187"/>
    <cellStyle name="20% - Accent5 4 2 2 6 2" xfId="44048"/>
    <cellStyle name="20% - Accent5 4 2 2 7" xfId="29412"/>
    <cellStyle name="20% - Accent5 4 2 3" xfId="859"/>
    <cellStyle name="20% - Accent5 4 2 3 2" xfId="3746"/>
    <cellStyle name="20% - Accent5 4 2 3 2 2" xfId="9787"/>
    <cellStyle name="20% - Accent5 4 2 3 2 2 2" xfId="26834"/>
    <cellStyle name="20% - Accent5 4 2 3 2 2 2 2" xfId="55695"/>
    <cellStyle name="20% - Accent5 4 2 3 2 2 3" xfId="38648"/>
    <cellStyle name="20% - Accent5 4 2 3 2 3" xfId="20856"/>
    <cellStyle name="20% - Accent5 4 2 3 2 3 2" xfId="49717"/>
    <cellStyle name="20% - Accent5 4 2 3 2 4" xfId="32607"/>
    <cellStyle name="20% - Accent5 4 2 3 3" xfId="6901"/>
    <cellStyle name="20% - Accent5 4 2 3 3 2" xfId="23948"/>
    <cellStyle name="20% - Accent5 4 2 3 3 2 2" xfId="52809"/>
    <cellStyle name="20% - Accent5 4 2 3 3 3" xfId="35762"/>
    <cellStyle name="20% - Accent5 4 2 3 4" xfId="13667"/>
    <cellStyle name="20% - Accent5 4 2 3 4 2" xfId="18176"/>
    <cellStyle name="20% - Accent5 4 2 3 4 2 2" xfId="47037"/>
    <cellStyle name="20% - Accent5 4 2 3 4 3" xfId="42528"/>
    <cellStyle name="20% - Accent5 4 2 3 5" xfId="15496"/>
    <cellStyle name="20% - Accent5 4 2 3 5 2" xfId="44357"/>
    <cellStyle name="20% - Accent5 4 2 3 6" xfId="29721"/>
    <cellStyle name="20% - Accent5 4 2 4" xfId="1065"/>
    <cellStyle name="20% - Accent5 4 2 4 2" xfId="3952"/>
    <cellStyle name="20% - Accent5 4 2 4 2 2" xfId="9993"/>
    <cellStyle name="20% - Accent5 4 2 4 2 2 2" xfId="27040"/>
    <cellStyle name="20% - Accent5 4 2 4 2 2 2 2" xfId="55901"/>
    <cellStyle name="20% - Accent5 4 2 4 2 2 3" xfId="38854"/>
    <cellStyle name="20% - Accent5 4 2 4 2 3" xfId="21062"/>
    <cellStyle name="20% - Accent5 4 2 4 2 3 2" xfId="49923"/>
    <cellStyle name="20% - Accent5 4 2 4 2 4" xfId="32813"/>
    <cellStyle name="20% - Accent5 4 2 4 3" xfId="7107"/>
    <cellStyle name="20% - Accent5 4 2 4 3 2" xfId="24154"/>
    <cellStyle name="20% - Accent5 4 2 4 3 2 2" xfId="53015"/>
    <cellStyle name="20% - Accent5 4 2 4 3 3" xfId="35968"/>
    <cellStyle name="20% - Accent5 4 2 4 4" xfId="13095"/>
    <cellStyle name="20% - Accent5 4 2 4 4 2" xfId="18382"/>
    <cellStyle name="20% - Accent5 4 2 4 4 2 2" xfId="47243"/>
    <cellStyle name="20% - Accent5 4 2 4 4 3" xfId="41956"/>
    <cellStyle name="20% - Accent5 4 2 4 5" xfId="15702"/>
    <cellStyle name="20% - Accent5 4 2 4 5 2" xfId="44563"/>
    <cellStyle name="20% - Accent5 4 2 4 6" xfId="29927"/>
    <cellStyle name="20% - Accent5 4 2 5" xfId="1271"/>
    <cellStyle name="20% - Accent5 4 2 5 2" xfId="4158"/>
    <cellStyle name="20% - Accent5 4 2 5 2 2" xfId="10199"/>
    <cellStyle name="20% - Accent5 4 2 5 2 2 2" xfId="27246"/>
    <cellStyle name="20% - Accent5 4 2 5 2 2 2 2" xfId="56107"/>
    <cellStyle name="20% - Accent5 4 2 5 2 2 3" xfId="39060"/>
    <cellStyle name="20% - Accent5 4 2 5 2 3" xfId="21268"/>
    <cellStyle name="20% - Accent5 4 2 5 2 3 2" xfId="50129"/>
    <cellStyle name="20% - Accent5 4 2 5 2 4" xfId="33019"/>
    <cellStyle name="20% - Accent5 4 2 5 3" xfId="7313"/>
    <cellStyle name="20% - Accent5 4 2 5 3 2" xfId="24360"/>
    <cellStyle name="20% - Accent5 4 2 5 3 2 2" xfId="53221"/>
    <cellStyle name="20% - Accent5 4 2 5 3 3" xfId="36174"/>
    <cellStyle name="20% - Accent5 4 2 5 4" xfId="12331"/>
    <cellStyle name="20% - Accent5 4 2 5 4 2" xfId="18588"/>
    <cellStyle name="20% - Accent5 4 2 5 4 2 2" xfId="47449"/>
    <cellStyle name="20% - Accent5 4 2 5 4 3" xfId="41192"/>
    <cellStyle name="20% - Accent5 4 2 5 5" xfId="15908"/>
    <cellStyle name="20% - Accent5 4 2 5 5 2" xfId="44769"/>
    <cellStyle name="20% - Accent5 4 2 5 6" xfId="30133"/>
    <cellStyle name="20% - Accent5 4 2 6" xfId="1477"/>
    <cellStyle name="20% - Accent5 4 2 6 2" xfId="4364"/>
    <cellStyle name="20% - Accent5 4 2 6 2 2" xfId="10405"/>
    <cellStyle name="20% - Accent5 4 2 6 2 2 2" xfId="27452"/>
    <cellStyle name="20% - Accent5 4 2 6 2 2 2 2" xfId="56313"/>
    <cellStyle name="20% - Accent5 4 2 6 2 2 3" xfId="39266"/>
    <cellStyle name="20% - Accent5 4 2 6 2 3" xfId="21474"/>
    <cellStyle name="20% - Accent5 4 2 6 2 3 2" xfId="50335"/>
    <cellStyle name="20% - Accent5 4 2 6 2 4" xfId="33225"/>
    <cellStyle name="20% - Accent5 4 2 6 3" xfId="7519"/>
    <cellStyle name="20% - Accent5 4 2 6 3 2" xfId="24566"/>
    <cellStyle name="20% - Accent5 4 2 6 3 2 2" xfId="53427"/>
    <cellStyle name="20% - Accent5 4 2 6 3 3" xfId="36380"/>
    <cellStyle name="20% - Accent5 4 2 6 4" xfId="12266"/>
    <cellStyle name="20% - Accent5 4 2 6 4 2" xfId="18794"/>
    <cellStyle name="20% - Accent5 4 2 6 4 2 2" xfId="47655"/>
    <cellStyle name="20% - Accent5 4 2 6 4 3" xfId="41127"/>
    <cellStyle name="20% - Accent5 4 2 6 5" xfId="16114"/>
    <cellStyle name="20% - Accent5 4 2 6 5 2" xfId="44975"/>
    <cellStyle name="20% - Accent5 4 2 6 6" xfId="30339"/>
    <cellStyle name="20% - Accent5 4 2 7" xfId="1683"/>
    <cellStyle name="20% - Accent5 4 2 7 2" xfId="4570"/>
    <cellStyle name="20% - Accent5 4 2 7 2 2" xfId="10611"/>
    <cellStyle name="20% - Accent5 4 2 7 2 2 2" xfId="27658"/>
    <cellStyle name="20% - Accent5 4 2 7 2 2 2 2" xfId="56519"/>
    <cellStyle name="20% - Accent5 4 2 7 2 2 3" xfId="39472"/>
    <cellStyle name="20% - Accent5 4 2 7 2 3" xfId="21680"/>
    <cellStyle name="20% - Accent5 4 2 7 2 3 2" xfId="50541"/>
    <cellStyle name="20% - Accent5 4 2 7 2 4" xfId="33431"/>
    <cellStyle name="20% - Accent5 4 2 7 3" xfId="7725"/>
    <cellStyle name="20% - Accent5 4 2 7 3 2" xfId="24772"/>
    <cellStyle name="20% - Accent5 4 2 7 3 2 2" xfId="53633"/>
    <cellStyle name="20% - Accent5 4 2 7 3 3" xfId="36586"/>
    <cellStyle name="20% - Accent5 4 2 7 4" xfId="14041"/>
    <cellStyle name="20% - Accent5 4 2 7 4 2" xfId="19000"/>
    <cellStyle name="20% - Accent5 4 2 7 4 2 2" xfId="47861"/>
    <cellStyle name="20% - Accent5 4 2 7 4 3" xfId="42902"/>
    <cellStyle name="20% - Accent5 4 2 7 5" xfId="16320"/>
    <cellStyle name="20% - Accent5 4 2 7 5 2" xfId="45181"/>
    <cellStyle name="20% - Accent5 4 2 7 6" xfId="30545"/>
    <cellStyle name="20% - Accent5 4 2 8" xfId="1889"/>
    <cellStyle name="20% - Accent5 4 2 8 2" xfId="4776"/>
    <cellStyle name="20% - Accent5 4 2 8 2 2" xfId="10817"/>
    <cellStyle name="20% - Accent5 4 2 8 2 2 2" xfId="27864"/>
    <cellStyle name="20% - Accent5 4 2 8 2 2 2 2" xfId="56725"/>
    <cellStyle name="20% - Accent5 4 2 8 2 2 3" xfId="39678"/>
    <cellStyle name="20% - Accent5 4 2 8 2 3" xfId="21886"/>
    <cellStyle name="20% - Accent5 4 2 8 2 3 2" xfId="50747"/>
    <cellStyle name="20% - Accent5 4 2 8 2 4" xfId="33637"/>
    <cellStyle name="20% - Accent5 4 2 8 3" xfId="7931"/>
    <cellStyle name="20% - Accent5 4 2 8 3 2" xfId="24978"/>
    <cellStyle name="20% - Accent5 4 2 8 3 2 2" xfId="53839"/>
    <cellStyle name="20% - Accent5 4 2 8 3 3" xfId="36792"/>
    <cellStyle name="20% - Accent5 4 2 8 4" xfId="12944"/>
    <cellStyle name="20% - Accent5 4 2 8 4 2" xfId="19206"/>
    <cellStyle name="20% - Accent5 4 2 8 4 2 2" xfId="48067"/>
    <cellStyle name="20% - Accent5 4 2 8 4 3" xfId="41805"/>
    <cellStyle name="20% - Accent5 4 2 8 5" xfId="16526"/>
    <cellStyle name="20% - Accent5 4 2 8 5 2" xfId="45387"/>
    <cellStyle name="20% - Accent5 4 2 8 6" xfId="30751"/>
    <cellStyle name="20% - Accent5 4 2 9" xfId="2095"/>
    <cellStyle name="20% - Accent5 4 2 9 2" xfId="4982"/>
    <cellStyle name="20% - Accent5 4 2 9 2 2" xfId="11023"/>
    <cellStyle name="20% - Accent5 4 2 9 2 2 2" xfId="28070"/>
    <cellStyle name="20% - Accent5 4 2 9 2 2 2 2" xfId="56931"/>
    <cellStyle name="20% - Accent5 4 2 9 2 2 3" xfId="39884"/>
    <cellStyle name="20% - Accent5 4 2 9 2 3" xfId="22092"/>
    <cellStyle name="20% - Accent5 4 2 9 2 3 2" xfId="50953"/>
    <cellStyle name="20% - Accent5 4 2 9 2 4" xfId="33843"/>
    <cellStyle name="20% - Accent5 4 2 9 3" xfId="8137"/>
    <cellStyle name="20% - Accent5 4 2 9 3 2" xfId="25184"/>
    <cellStyle name="20% - Accent5 4 2 9 3 2 2" xfId="54045"/>
    <cellStyle name="20% - Accent5 4 2 9 3 3" xfId="36998"/>
    <cellStyle name="20% - Accent5 4 2 9 4" xfId="13307"/>
    <cellStyle name="20% - Accent5 4 2 9 4 2" xfId="19412"/>
    <cellStyle name="20% - Accent5 4 2 9 4 2 2" xfId="48273"/>
    <cellStyle name="20% - Accent5 4 2 9 4 3" xfId="42168"/>
    <cellStyle name="20% - Accent5 4 2 9 5" xfId="16732"/>
    <cellStyle name="20% - Accent5 4 2 9 5 2" xfId="45593"/>
    <cellStyle name="20% - Accent5 4 2 9 6" xfId="30957"/>
    <cellStyle name="20% - Accent5 4 20" xfId="29000"/>
    <cellStyle name="20% - Accent5 4 3" xfId="241"/>
    <cellStyle name="20% - Accent5 4 3 2" xfId="653"/>
    <cellStyle name="20% - Accent5 4 3 2 2" xfId="3540"/>
    <cellStyle name="20% - Accent5 4 3 2 2 2" xfId="9581"/>
    <cellStyle name="20% - Accent5 4 3 2 2 2 2" xfId="26628"/>
    <cellStyle name="20% - Accent5 4 3 2 2 2 2 2" xfId="55489"/>
    <cellStyle name="20% - Accent5 4 3 2 2 2 3" xfId="38442"/>
    <cellStyle name="20% - Accent5 4 3 2 2 3" xfId="20650"/>
    <cellStyle name="20% - Accent5 4 3 2 2 3 2" xfId="49511"/>
    <cellStyle name="20% - Accent5 4 3 2 2 4" xfId="32401"/>
    <cellStyle name="20% - Accent5 4 3 2 3" xfId="6695"/>
    <cellStyle name="20% - Accent5 4 3 2 3 2" xfId="23742"/>
    <cellStyle name="20% - Accent5 4 3 2 3 2 2" xfId="52603"/>
    <cellStyle name="20% - Accent5 4 3 2 3 3" xfId="35556"/>
    <cellStyle name="20% - Accent5 4 3 2 4" xfId="12408"/>
    <cellStyle name="20% - Accent5 4 3 2 4 2" xfId="17970"/>
    <cellStyle name="20% - Accent5 4 3 2 4 2 2" xfId="46831"/>
    <cellStyle name="20% - Accent5 4 3 2 4 3" xfId="41269"/>
    <cellStyle name="20% - Accent5 4 3 2 5" xfId="15290"/>
    <cellStyle name="20% - Accent5 4 3 2 5 2" xfId="44151"/>
    <cellStyle name="20% - Accent5 4 3 2 6" xfId="29515"/>
    <cellStyle name="20% - Accent5 4 3 3" xfId="2198"/>
    <cellStyle name="20% - Accent5 4 3 3 2" xfId="5085"/>
    <cellStyle name="20% - Accent5 4 3 3 2 2" xfId="11126"/>
    <cellStyle name="20% - Accent5 4 3 3 2 2 2" xfId="28173"/>
    <cellStyle name="20% - Accent5 4 3 3 2 2 2 2" xfId="57034"/>
    <cellStyle name="20% - Accent5 4 3 3 2 2 3" xfId="39987"/>
    <cellStyle name="20% - Accent5 4 3 3 2 3" xfId="22195"/>
    <cellStyle name="20% - Accent5 4 3 3 2 3 2" xfId="51056"/>
    <cellStyle name="20% - Accent5 4 3 3 2 4" xfId="33946"/>
    <cellStyle name="20% - Accent5 4 3 3 3" xfId="8240"/>
    <cellStyle name="20% - Accent5 4 3 3 3 2" xfId="25287"/>
    <cellStyle name="20% - Accent5 4 3 3 3 2 2" xfId="54148"/>
    <cellStyle name="20% - Accent5 4 3 3 3 3" xfId="37101"/>
    <cellStyle name="20% - Accent5 4 3 3 4" xfId="12401"/>
    <cellStyle name="20% - Accent5 4 3 3 4 2" xfId="19515"/>
    <cellStyle name="20% - Accent5 4 3 3 4 2 2" xfId="48376"/>
    <cellStyle name="20% - Accent5 4 3 3 4 3" xfId="41262"/>
    <cellStyle name="20% - Accent5 4 3 3 5" xfId="16835"/>
    <cellStyle name="20% - Accent5 4 3 3 5 2" xfId="45696"/>
    <cellStyle name="20% - Accent5 4 3 3 6" xfId="31060"/>
    <cellStyle name="20% - Accent5 4 3 4" xfId="3128"/>
    <cellStyle name="20% - Accent5 4 3 4 2" xfId="9169"/>
    <cellStyle name="20% - Accent5 4 3 4 2 2" xfId="26216"/>
    <cellStyle name="20% - Accent5 4 3 4 2 2 2" xfId="55077"/>
    <cellStyle name="20% - Accent5 4 3 4 2 3" xfId="38030"/>
    <cellStyle name="20% - Accent5 4 3 4 3" xfId="20238"/>
    <cellStyle name="20% - Accent5 4 3 4 3 2" xfId="49099"/>
    <cellStyle name="20% - Accent5 4 3 4 4" xfId="31989"/>
    <cellStyle name="20% - Accent5 4 3 5" xfId="6283"/>
    <cellStyle name="20% - Accent5 4 3 5 2" xfId="23330"/>
    <cellStyle name="20% - Accent5 4 3 5 2 2" xfId="52191"/>
    <cellStyle name="20% - Accent5 4 3 5 3" xfId="35144"/>
    <cellStyle name="20% - Accent5 4 3 6" xfId="12585"/>
    <cellStyle name="20% - Accent5 4 3 6 2" xfId="17661"/>
    <cellStyle name="20% - Accent5 4 3 6 2 2" xfId="46522"/>
    <cellStyle name="20% - Accent5 4 3 6 3" xfId="41446"/>
    <cellStyle name="20% - Accent5 4 3 7" xfId="14878"/>
    <cellStyle name="20% - Accent5 4 3 7 2" xfId="43739"/>
    <cellStyle name="20% - Accent5 4 3 8" xfId="29103"/>
    <cellStyle name="20% - Accent5 4 4" xfId="447"/>
    <cellStyle name="20% - Accent5 4 4 2" xfId="3334"/>
    <cellStyle name="20% - Accent5 4 4 2 2" xfId="9375"/>
    <cellStyle name="20% - Accent5 4 4 2 2 2" xfId="26422"/>
    <cellStyle name="20% - Accent5 4 4 2 2 2 2" xfId="55283"/>
    <cellStyle name="20% - Accent5 4 4 2 2 3" xfId="38236"/>
    <cellStyle name="20% - Accent5 4 4 2 3" xfId="20444"/>
    <cellStyle name="20% - Accent5 4 4 2 3 2" xfId="49305"/>
    <cellStyle name="20% - Accent5 4 4 2 4" xfId="32195"/>
    <cellStyle name="20% - Accent5 4 4 3" xfId="6489"/>
    <cellStyle name="20% - Accent5 4 4 3 2" xfId="23536"/>
    <cellStyle name="20% - Accent5 4 4 3 2 2" xfId="52397"/>
    <cellStyle name="20% - Accent5 4 4 3 3" xfId="35350"/>
    <cellStyle name="20% - Accent5 4 4 4" xfId="14381"/>
    <cellStyle name="20% - Accent5 4 4 4 2" xfId="17764"/>
    <cellStyle name="20% - Accent5 4 4 4 2 2" xfId="46625"/>
    <cellStyle name="20% - Accent5 4 4 4 3" xfId="43242"/>
    <cellStyle name="20% - Accent5 4 4 5" xfId="15084"/>
    <cellStyle name="20% - Accent5 4 4 5 2" xfId="43945"/>
    <cellStyle name="20% - Accent5 4 4 6" xfId="29309"/>
    <cellStyle name="20% - Accent5 4 5" xfId="756"/>
    <cellStyle name="20% - Accent5 4 5 2" xfId="3643"/>
    <cellStyle name="20% - Accent5 4 5 2 2" xfId="9684"/>
    <cellStyle name="20% - Accent5 4 5 2 2 2" xfId="26731"/>
    <cellStyle name="20% - Accent5 4 5 2 2 2 2" xfId="55592"/>
    <cellStyle name="20% - Accent5 4 5 2 2 3" xfId="38545"/>
    <cellStyle name="20% - Accent5 4 5 2 3" xfId="20753"/>
    <cellStyle name="20% - Accent5 4 5 2 3 2" xfId="49614"/>
    <cellStyle name="20% - Accent5 4 5 2 4" xfId="32504"/>
    <cellStyle name="20% - Accent5 4 5 3" xfId="6798"/>
    <cellStyle name="20% - Accent5 4 5 3 2" xfId="23845"/>
    <cellStyle name="20% - Accent5 4 5 3 2 2" xfId="52706"/>
    <cellStyle name="20% - Accent5 4 5 3 3" xfId="35659"/>
    <cellStyle name="20% - Accent5 4 5 4" xfId="13573"/>
    <cellStyle name="20% - Accent5 4 5 4 2" xfId="18073"/>
    <cellStyle name="20% - Accent5 4 5 4 2 2" xfId="46934"/>
    <cellStyle name="20% - Accent5 4 5 4 3" xfId="42434"/>
    <cellStyle name="20% - Accent5 4 5 5" xfId="15393"/>
    <cellStyle name="20% - Accent5 4 5 5 2" xfId="44254"/>
    <cellStyle name="20% - Accent5 4 5 6" xfId="29618"/>
    <cellStyle name="20% - Accent5 4 6" xfId="962"/>
    <cellStyle name="20% - Accent5 4 6 2" xfId="3849"/>
    <cellStyle name="20% - Accent5 4 6 2 2" xfId="9890"/>
    <cellStyle name="20% - Accent5 4 6 2 2 2" xfId="26937"/>
    <cellStyle name="20% - Accent5 4 6 2 2 2 2" xfId="55798"/>
    <cellStyle name="20% - Accent5 4 6 2 2 3" xfId="38751"/>
    <cellStyle name="20% - Accent5 4 6 2 3" xfId="20959"/>
    <cellStyle name="20% - Accent5 4 6 2 3 2" xfId="49820"/>
    <cellStyle name="20% - Accent5 4 6 2 4" xfId="32710"/>
    <cellStyle name="20% - Accent5 4 6 3" xfId="7004"/>
    <cellStyle name="20% - Accent5 4 6 3 2" xfId="24051"/>
    <cellStyle name="20% - Accent5 4 6 3 2 2" xfId="52912"/>
    <cellStyle name="20% - Accent5 4 6 3 3" xfId="35865"/>
    <cellStyle name="20% - Accent5 4 6 4" xfId="12884"/>
    <cellStyle name="20% - Accent5 4 6 4 2" xfId="18279"/>
    <cellStyle name="20% - Accent5 4 6 4 2 2" xfId="47140"/>
    <cellStyle name="20% - Accent5 4 6 4 3" xfId="41745"/>
    <cellStyle name="20% - Accent5 4 6 5" xfId="15599"/>
    <cellStyle name="20% - Accent5 4 6 5 2" xfId="44460"/>
    <cellStyle name="20% - Accent5 4 6 6" xfId="29824"/>
    <cellStyle name="20% - Accent5 4 7" xfId="1168"/>
    <cellStyle name="20% - Accent5 4 7 2" xfId="4055"/>
    <cellStyle name="20% - Accent5 4 7 2 2" xfId="10096"/>
    <cellStyle name="20% - Accent5 4 7 2 2 2" xfId="27143"/>
    <cellStyle name="20% - Accent5 4 7 2 2 2 2" xfId="56004"/>
    <cellStyle name="20% - Accent5 4 7 2 2 3" xfId="38957"/>
    <cellStyle name="20% - Accent5 4 7 2 3" xfId="21165"/>
    <cellStyle name="20% - Accent5 4 7 2 3 2" xfId="50026"/>
    <cellStyle name="20% - Accent5 4 7 2 4" xfId="32916"/>
    <cellStyle name="20% - Accent5 4 7 3" xfId="7210"/>
    <cellStyle name="20% - Accent5 4 7 3 2" xfId="24257"/>
    <cellStyle name="20% - Accent5 4 7 3 2 2" xfId="53118"/>
    <cellStyle name="20% - Accent5 4 7 3 3" xfId="36071"/>
    <cellStyle name="20% - Accent5 4 7 4" xfId="12311"/>
    <cellStyle name="20% - Accent5 4 7 4 2" xfId="18485"/>
    <cellStyle name="20% - Accent5 4 7 4 2 2" xfId="47346"/>
    <cellStyle name="20% - Accent5 4 7 4 3" xfId="41172"/>
    <cellStyle name="20% - Accent5 4 7 5" xfId="15805"/>
    <cellStyle name="20% - Accent5 4 7 5 2" xfId="44666"/>
    <cellStyle name="20% - Accent5 4 7 6" xfId="30030"/>
    <cellStyle name="20% - Accent5 4 8" xfId="1374"/>
    <cellStyle name="20% - Accent5 4 8 2" xfId="4261"/>
    <cellStyle name="20% - Accent5 4 8 2 2" xfId="10302"/>
    <cellStyle name="20% - Accent5 4 8 2 2 2" xfId="27349"/>
    <cellStyle name="20% - Accent5 4 8 2 2 2 2" xfId="56210"/>
    <cellStyle name="20% - Accent5 4 8 2 2 3" xfId="39163"/>
    <cellStyle name="20% - Accent5 4 8 2 3" xfId="21371"/>
    <cellStyle name="20% - Accent5 4 8 2 3 2" xfId="50232"/>
    <cellStyle name="20% - Accent5 4 8 2 4" xfId="33122"/>
    <cellStyle name="20% - Accent5 4 8 3" xfId="7416"/>
    <cellStyle name="20% - Accent5 4 8 3 2" xfId="24463"/>
    <cellStyle name="20% - Accent5 4 8 3 2 2" xfId="53324"/>
    <cellStyle name="20% - Accent5 4 8 3 3" xfId="36277"/>
    <cellStyle name="20% - Accent5 4 8 4" xfId="12309"/>
    <cellStyle name="20% - Accent5 4 8 4 2" xfId="18691"/>
    <cellStyle name="20% - Accent5 4 8 4 2 2" xfId="47552"/>
    <cellStyle name="20% - Accent5 4 8 4 3" xfId="41170"/>
    <cellStyle name="20% - Accent5 4 8 5" xfId="16011"/>
    <cellStyle name="20% - Accent5 4 8 5 2" xfId="44872"/>
    <cellStyle name="20% - Accent5 4 8 6" xfId="30236"/>
    <cellStyle name="20% - Accent5 4 9" xfId="1580"/>
    <cellStyle name="20% - Accent5 4 9 2" xfId="4467"/>
    <cellStyle name="20% - Accent5 4 9 2 2" xfId="10508"/>
    <cellStyle name="20% - Accent5 4 9 2 2 2" xfId="27555"/>
    <cellStyle name="20% - Accent5 4 9 2 2 2 2" xfId="56416"/>
    <cellStyle name="20% - Accent5 4 9 2 2 3" xfId="39369"/>
    <cellStyle name="20% - Accent5 4 9 2 3" xfId="21577"/>
    <cellStyle name="20% - Accent5 4 9 2 3 2" xfId="50438"/>
    <cellStyle name="20% - Accent5 4 9 2 4" xfId="33328"/>
    <cellStyle name="20% - Accent5 4 9 3" xfId="7622"/>
    <cellStyle name="20% - Accent5 4 9 3 2" xfId="24669"/>
    <cellStyle name="20% - Accent5 4 9 3 2 2" xfId="53530"/>
    <cellStyle name="20% - Accent5 4 9 3 3" xfId="36483"/>
    <cellStyle name="20% - Accent5 4 9 4" xfId="12888"/>
    <cellStyle name="20% - Accent5 4 9 4 2" xfId="18897"/>
    <cellStyle name="20% - Accent5 4 9 4 2 2" xfId="47758"/>
    <cellStyle name="20% - Accent5 4 9 4 3" xfId="41749"/>
    <cellStyle name="20% - Accent5 4 9 5" xfId="16217"/>
    <cellStyle name="20% - Accent5 4 9 5 2" xfId="45078"/>
    <cellStyle name="20% - Accent5 4 9 6" xfId="30442"/>
    <cellStyle name="20% - Accent5 5" xfId="291"/>
    <cellStyle name="20% - Accent5 5 10" xfId="2454"/>
    <cellStyle name="20% - Accent5 5 10 2" xfId="5341"/>
    <cellStyle name="20% - Accent5 5 10 2 2" xfId="11382"/>
    <cellStyle name="20% - Accent5 5 10 2 2 2" xfId="28429"/>
    <cellStyle name="20% - Accent5 5 10 2 2 2 2" xfId="57290"/>
    <cellStyle name="20% - Accent5 5 10 2 2 3" xfId="40243"/>
    <cellStyle name="20% - Accent5 5 10 2 3" xfId="22451"/>
    <cellStyle name="20% - Accent5 5 10 2 3 2" xfId="51312"/>
    <cellStyle name="20% - Accent5 5 10 2 4" xfId="34202"/>
    <cellStyle name="20% - Accent5 5 10 3" xfId="8496"/>
    <cellStyle name="20% - Accent5 5 10 3 2" xfId="25543"/>
    <cellStyle name="20% - Accent5 5 10 3 2 2" xfId="54404"/>
    <cellStyle name="20% - Accent5 5 10 3 3" xfId="37357"/>
    <cellStyle name="20% - Accent5 5 10 4" xfId="13909"/>
    <cellStyle name="20% - Accent5 5 10 4 2" xfId="19771"/>
    <cellStyle name="20% - Accent5 5 10 4 2 2" xfId="48632"/>
    <cellStyle name="20% - Accent5 5 10 4 3" xfId="42770"/>
    <cellStyle name="20% - Accent5 5 10 5" xfId="17091"/>
    <cellStyle name="20% - Accent5 5 10 5 2" xfId="45952"/>
    <cellStyle name="20% - Accent5 5 10 6" xfId="31316"/>
    <cellStyle name="20% - Accent5 5 11" xfId="2663"/>
    <cellStyle name="20% - Accent5 5 11 2" xfId="5549"/>
    <cellStyle name="20% - Accent5 5 11 2 2" xfId="11590"/>
    <cellStyle name="20% - Accent5 5 11 2 2 2" xfId="28637"/>
    <cellStyle name="20% - Accent5 5 11 2 2 2 2" xfId="57498"/>
    <cellStyle name="20% - Accent5 5 11 2 2 3" xfId="40451"/>
    <cellStyle name="20% - Accent5 5 11 2 3" xfId="22659"/>
    <cellStyle name="20% - Accent5 5 11 2 3 2" xfId="51520"/>
    <cellStyle name="20% - Accent5 5 11 2 4" xfId="34410"/>
    <cellStyle name="20% - Accent5 5 11 3" xfId="8704"/>
    <cellStyle name="20% - Accent5 5 11 3 2" xfId="25751"/>
    <cellStyle name="20% - Accent5 5 11 3 2 2" xfId="54612"/>
    <cellStyle name="20% - Accent5 5 11 3 3" xfId="37565"/>
    <cellStyle name="20% - Accent5 5 11 4" xfId="12864"/>
    <cellStyle name="20% - Accent5 5 11 4 2" xfId="19979"/>
    <cellStyle name="20% - Accent5 5 11 4 2 2" xfId="48840"/>
    <cellStyle name="20% - Accent5 5 11 4 3" xfId="41725"/>
    <cellStyle name="20% - Accent5 5 11 5" xfId="17299"/>
    <cellStyle name="20% - Accent5 5 11 5 2" xfId="46160"/>
    <cellStyle name="20% - Accent5 5 11 6" xfId="31524"/>
    <cellStyle name="20% - Accent5 5 12" xfId="3178"/>
    <cellStyle name="20% - Accent5 5 12 2" xfId="9219"/>
    <cellStyle name="20% - Accent5 5 12 2 2" xfId="26266"/>
    <cellStyle name="20% - Accent5 5 12 2 2 2" xfId="55127"/>
    <cellStyle name="20% - Accent5 5 12 2 3" xfId="38080"/>
    <cellStyle name="20% - Accent5 5 12 3" xfId="12894"/>
    <cellStyle name="20% - Accent5 5 12 3 2" xfId="20288"/>
    <cellStyle name="20% - Accent5 5 12 3 2 2" xfId="49149"/>
    <cellStyle name="20% - Accent5 5 12 3 3" xfId="41755"/>
    <cellStyle name="20% - Accent5 5 12 4" xfId="14928"/>
    <cellStyle name="20% - Accent5 5 12 4 2" xfId="43789"/>
    <cellStyle name="20% - Accent5 5 12 5" xfId="32039"/>
    <cellStyle name="20% - Accent5 5 13" xfId="2869"/>
    <cellStyle name="20% - Accent5 5 13 2" xfId="8910"/>
    <cellStyle name="20% - Accent5 5 13 2 2" xfId="25957"/>
    <cellStyle name="20% - Accent5 5 13 2 2 2" xfId="54818"/>
    <cellStyle name="20% - Accent5 5 13 2 3" xfId="37771"/>
    <cellStyle name="20% - Accent5 5 13 3" xfId="17505"/>
    <cellStyle name="20% - Accent5 5 13 3 2" xfId="46366"/>
    <cellStyle name="20% - Accent5 5 13 4" xfId="31730"/>
    <cellStyle name="20% - Accent5 5 14" xfId="5755"/>
    <cellStyle name="20% - Accent5 5 14 2" xfId="11796"/>
    <cellStyle name="20% - Accent5 5 14 2 2" xfId="28843"/>
    <cellStyle name="20% - Accent5 5 14 2 2 2" xfId="57704"/>
    <cellStyle name="20% - Accent5 5 14 2 3" xfId="40657"/>
    <cellStyle name="20% - Accent5 5 14 3" xfId="22865"/>
    <cellStyle name="20% - Accent5 5 14 3 2" xfId="51726"/>
    <cellStyle name="20% - Accent5 5 14 4" xfId="34616"/>
    <cellStyle name="20% - Accent5 5 15" xfId="5972"/>
    <cellStyle name="20% - Accent5 5 15 2" xfId="23071"/>
    <cellStyle name="20% - Accent5 5 15 2 2" xfId="51932"/>
    <cellStyle name="20% - Accent5 5 15 3" xfId="34833"/>
    <cellStyle name="20% - Accent5 5 16" xfId="6333"/>
    <cellStyle name="20% - Accent5 5 16 2" xfId="23380"/>
    <cellStyle name="20% - Accent5 5 16 2 2" xfId="52241"/>
    <cellStyle name="20% - Accent5 5 16 3" xfId="35194"/>
    <cellStyle name="20% - Accent5 5 17" xfId="14619"/>
    <cellStyle name="20% - Accent5 5 17 2" xfId="43480"/>
    <cellStyle name="20% - Accent5 5 18" xfId="29153"/>
    <cellStyle name="20% - Accent5 5 2" xfId="497"/>
    <cellStyle name="20% - Accent5 5 2 2" xfId="2248"/>
    <cellStyle name="20% - Accent5 5 2 2 2" xfId="5135"/>
    <cellStyle name="20% - Accent5 5 2 2 2 2" xfId="11176"/>
    <cellStyle name="20% - Accent5 5 2 2 2 2 2" xfId="28223"/>
    <cellStyle name="20% - Accent5 5 2 2 2 2 2 2" xfId="57084"/>
    <cellStyle name="20% - Accent5 5 2 2 2 2 3" xfId="40037"/>
    <cellStyle name="20% - Accent5 5 2 2 2 3" xfId="22245"/>
    <cellStyle name="20% - Accent5 5 2 2 2 3 2" xfId="51106"/>
    <cellStyle name="20% - Accent5 5 2 2 2 4" xfId="33996"/>
    <cellStyle name="20% - Accent5 5 2 2 3" xfId="8290"/>
    <cellStyle name="20% - Accent5 5 2 2 3 2" xfId="25337"/>
    <cellStyle name="20% - Accent5 5 2 2 3 2 2" xfId="54198"/>
    <cellStyle name="20% - Accent5 5 2 2 3 3" xfId="37151"/>
    <cellStyle name="20% - Accent5 5 2 2 4" xfId="12303"/>
    <cellStyle name="20% - Accent5 5 2 2 4 2" xfId="19565"/>
    <cellStyle name="20% - Accent5 5 2 2 4 2 2" xfId="48426"/>
    <cellStyle name="20% - Accent5 5 2 2 4 3" xfId="41164"/>
    <cellStyle name="20% - Accent5 5 2 2 5" xfId="16885"/>
    <cellStyle name="20% - Accent5 5 2 2 5 2" xfId="45746"/>
    <cellStyle name="20% - Accent5 5 2 2 6" xfId="31110"/>
    <cellStyle name="20% - Accent5 5 2 3" xfId="3384"/>
    <cellStyle name="20% - Accent5 5 2 3 2" xfId="9425"/>
    <cellStyle name="20% - Accent5 5 2 3 2 2" xfId="26472"/>
    <cellStyle name="20% - Accent5 5 2 3 2 2 2" xfId="55333"/>
    <cellStyle name="20% - Accent5 5 2 3 2 3" xfId="38286"/>
    <cellStyle name="20% - Accent5 5 2 3 3" xfId="20494"/>
    <cellStyle name="20% - Accent5 5 2 3 3 2" xfId="49355"/>
    <cellStyle name="20% - Accent5 5 2 3 4" xfId="32245"/>
    <cellStyle name="20% - Accent5 5 2 4" xfId="6539"/>
    <cellStyle name="20% - Accent5 5 2 4 2" xfId="23586"/>
    <cellStyle name="20% - Accent5 5 2 4 2 2" xfId="52447"/>
    <cellStyle name="20% - Accent5 5 2 4 3" xfId="35400"/>
    <cellStyle name="20% - Accent5 5 2 5" xfId="13957"/>
    <cellStyle name="20% - Accent5 5 2 5 2" xfId="17814"/>
    <cellStyle name="20% - Accent5 5 2 5 2 2" xfId="46675"/>
    <cellStyle name="20% - Accent5 5 2 5 3" xfId="42818"/>
    <cellStyle name="20% - Accent5 5 2 6" xfId="15134"/>
    <cellStyle name="20% - Accent5 5 2 6 2" xfId="43995"/>
    <cellStyle name="20% - Accent5 5 2 7" xfId="29359"/>
    <cellStyle name="20% - Accent5 5 3" xfId="806"/>
    <cellStyle name="20% - Accent5 5 3 2" xfId="3693"/>
    <cellStyle name="20% - Accent5 5 3 2 2" xfId="9734"/>
    <cellStyle name="20% - Accent5 5 3 2 2 2" xfId="26781"/>
    <cellStyle name="20% - Accent5 5 3 2 2 2 2" xfId="55642"/>
    <cellStyle name="20% - Accent5 5 3 2 2 3" xfId="38595"/>
    <cellStyle name="20% - Accent5 5 3 2 3" xfId="20803"/>
    <cellStyle name="20% - Accent5 5 3 2 3 2" xfId="49664"/>
    <cellStyle name="20% - Accent5 5 3 2 4" xfId="32554"/>
    <cellStyle name="20% - Accent5 5 3 3" xfId="6848"/>
    <cellStyle name="20% - Accent5 5 3 3 2" xfId="23895"/>
    <cellStyle name="20% - Accent5 5 3 3 2 2" xfId="52756"/>
    <cellStyle name="20% - Accent5 5 3 3 3" xfId="35709"/>
    <cellStyle name="20% - Accent5 5 3 4" xfId="11907"/>
    <cellStyle name="20% - Accent5 5 3 4 2" xfId="18123"/>
    <cellStyle name="20% - Accent5 5 3 4 2 2" xfId="46984"/>
    <cellStyle name="20% - Accent5 5 3 4 3" xfId="40768"/>
    <cellStyle name="20% - Accent5 5 3 5" xfId="15443"/>
    <cellStyle name="20% - Accent5 5 3 5 2" xfId="44304"/>
    <cellStyle name="20% - Accent5 5 3 6" xfId="29668"/>
    <cellStyle name="20% - Accent5 5 4" xfId="1012"/>
    <cellStyle name="20% - Accent5 5 4 2" xfId="3899"/>
    <cellStyle name="20% - Accent5 5 4 2 2" xfId="9940"/>
    <cellStyle name="20% - Accent5 5 4 2 2 2" xfId="26987"/>
    <cellStyle name="20% - Accent5 5 4 2 2 2 2" xfId="55848"/>
    <cellStyle name="20% - Accent5 5 4 2 2 3" xfId="38801"/>
    <cellStyle name="20% - Accent5 5 4 2 3" xfId="21009"/>
    <cellStyle name="20% - Accent5 5 4 2 3 2" xfId="49870"/>
    <cellStyle name="20% - Accent5 5 4 2 4" xfId="32760"/>
    <cellStyle name="20% - Accent5 5 4 3" xfId="7054"/>
    <cellStyle name="20% - Accent5 5 4 3 2" xfId="24101"/>
    <cellStyle name="20% - Accent5 5 4 3 2 2" xfId="52962"/>
    <cellStyle name="20% - Accent5 5 4 3 3" xfId="35915"/>
    <cellStyle name="20% - Accent5 5 4 4" xfId="12486"/>
    <cellStyle name="20% - Accent5 5 4 4 2" xfId="18329"/>
    <cellStyle name="20% - Accent5 5 4 4 2 2" xfId="47190"/>
    <cellStyle name="20% - Accent5 5 4 4 3" xfId="41347"/>
    <cellStyle name="20% - Accent5 5 4 5" xfId="15649"/>
    <cellStyle name="20% - Accent5 5 4 5 2" xfId="44510"/>
    <cellStyle name="20% - Accent5 5 4 6" xfId="29874"/>
    <cellStyle name="20% - Accent5 5 5" xfId="1218"/>
    <cellStyle name="20% - Accent5 5 5 2" xfId="4105"/>
    <cellStyle name="20% - Accent5 5 5 2 2" xfId="10146"/>
    <cellStyle name="20% - Accent5 5 5 2 2 2" xfId="27193"/>
    <cellStyle name="20% - Accent5 5 5 2 2 2 2" xfId="56054"/>
    <cellStyle name="20% - Accent5 5 5 2 2 3" xfId="39007"/>
    <cellStyle name="20% - Accent5 5 5 2 3" xfId="21215"/>
    <cellStyle name="20% - Accent5 5 5 2 3 2" xfId="50076"/>
    <cellStyle name="20% - Accent5 5 5 2 4" xfId="32966"/>
    <cellStyle name="20% - Accent5 5 5 3" xfId="7260"/>
    <cellStyle name="20% - Accent5 5 5 3 2" xfId="24307"/>
    <cellStyle name="20% - Accent5 5 5 3 2 2" xfId="53168"/>
    <cellStyle name="20% - Accent5 5 5 3 3" xfId="36121"/>
    <cellStyle name="20% - Accent5 5 5 4" xfId="14292"/>
    <cellStyle name="20% - Accent5 5 5 4 2" xfId="18535"/>
    <cellStyle name="20% - Accent5 5 5 4 2 2" xfId="47396"/>
    <cellStyle name="20% - Accent5 5 5 4 3" xfId="43153"/>
    <cellStyle name="20% - Accent5 5 5 5" xfId="15855"/>
    <cellStyle name="20% - Accent5 5 5 5 2" xfId="44716"/>
    <cellStyle name="20% - Accent5 5 5 6" xfId="30080"/>
    <cellStyle name="20% - Accent5 5 6" xfId="1424"/>
    <cellStyle name="20% - Accent5 5 6 2" xfId="4311"/>
    <cellStyle name="20% - Accent5 5 6 2 2" xfId="10352"/>
    <cellStyle name="20% - Accent5 5 6 2 2 2" xfId="27399"/>
    <cellStyle name="20% - Accent5 5 6 2 2 2 2" xfId="56260"/>
    <cellStyle name="20% - Accent5 5 6 2 2 3" xfId="39213"/>
    <cellStyle name="20% - Accent5 5 6 2 3" xfId="21421"/>
    <cellStyle name="20% - Accent5 5 6 2 3 2" xfId="50282"/>
    <cellStyle name="20% - Accent5 5 6 2 4" xfId="33172"/>
    <cellStyle name="20% - Accent5 5 6 3" xfId="7466"/>
    <cellStyle name="20% - Accent5 5 6 3 2" xfId="24513"/>
    <cellStyle name="20% - Accent5 5 6 3 2 2" xfId="53374"/>
    <cellStyle name="20% - Accent5 5 6 3 3" xfId="36327"/>
    <cellStyle name="20% - Accent5 5 6 4" xfId="12412"/>
    <cellStyle name="20% - Accent5 5 6 4 2" xfId="18741"/>
    <cellStyle name="20% - Accent5 5 6 4 2 2" xfId="47602"/>
    <cellStyle name="20% - Accent5 5 6 4 3" xfId="41273"/>
    <cellStyle name="20% - Accent5 5 6 5" xfId="16061"/>
    <cellStyle name="20% - Accent5 5 6 5 2" xfId="44922"/>
    <cellStyle name="20% - Accent5 5 6 6" xfId="30286"/>
    <cellStyle name="20% - Accent5 5 7" xfId="1630"/>
    <cellStyle name="20% - Accent5 5 7 2" xfId="4517"/>
    <cellStyle name="20% - Accent5 5 7 2 2" xfId="10558"/>
    <cellStyle name="20% - Accent5 5 7 2 2 2" xfId="27605"/>
    <cellStyle name="20% - Accent5 5 7 2 2 2 2" xfId="56466"/>
    <cellStyle name="20% - Accent5 5 7 2 2 3" xfId="39419"/>
    <cellStyle name="20% - Accent5 5 7 2 3" xfId="21627"/>
    <cellStyle name="20% - Accent5 5 7 2 3 2" xfId="50488"/>
    <cellStyle name="20% - Accent5 5 7 2 4" xfId="33378"/>
    <cellStyle name="20% - Accent5 5 7 3" xfId="7672"/>
    <cellStyle name="20% - Accent5 5 7 3 2" xfId="24719"/>
    <cellStyle name="20% - Accent5 5 7 3 2 2" xfId="53580"/>
    <cellStyle name="20% - Accent5 5 7 3 3" xfId="36533"/>
    <cellStyle name="20% - Accent5 5 7 4" xfId="13949"/>
    <cellStyle name="20% - Accent5 5 7 4 2" xfId="18947"/>
    <cellStyle name="20% - Accent5 5 7 4 2 2" xfId="47808"/>
    <cellStyle name="20% - Accent5 5 7 4 3" xfId="42810"/>
    <cellStyle name="20% - Accent5 5 7 5" xfId="16267"/>
    <cellStyle name="20% - Accent5 5 7 5 2" xfId="45128"/>
    <cellStyle name="20% - Accent5 5 7 6" xfId="30492"/>
    <cellStyle name="20% - Accent5 5 8" xfId="1836"/>
    <cellStyle name="20% - Accent5 5 8 2" xfId="4723"/>
    <cellStyle name="20% - Accent5 5 8 2 2" xfId="10764"/>
    <cellStyle name="20% - Accent5 5 8 2 2 2" xfId="27811"/>
    <cellStyle name="20% - Accent5 5 8 2 2 2 2" xfId="56672"/>
    <cellStyle name="20% - Accent5 5 8 2 2 3" xfId="39625"/>
    <cellStyle name="20% - Accent5 5 8 2 3" xfId="21833"/>
    <cellStyle name="20% - Accent5 5 8 2 3 2" xfId="50694"/>
    <cellStyle name="20% - Accent5 5 8 2 4" xfId="33584"/>
    <cellStyle name="20% - Accent5 5 8 3" xfId="7878"/>
    <cellStyle name="20% - Accent5 5 8 3 2" xfId="24925"/>
    <cellStyle name="20% - Accent5 5 8 3 2 2" xfId="53786"/>
    <cellStyle name="20% - Accent5 5 8 3 3" xfId="36739"/>
    <cellStyle name="20% - Accent5 5 8 4" xfId="13557"/>
    <cellStyle name="20% - Accent5 5 8 4 2" xfId="19153"/>
    <cellStyle name="20% - Accent5 5 8 4 2 2" xfId="48014"/>
    <cellStyle name="20% - Accent5 5 8 4 3" xfId="42418"/>
    <cellStyle name="20% - Accent5 5 8 5" xfId="16473"/>
    <cellStyle name="20% - Accent5 5 8 5 2" xfId="45334"/>
    <cellStyle name="20% - Accent5 5 8 6" xfId="30698"/>
    <cellStyle name="20% - Accent5 5 9" xfId="2042"/>
    <cellStyle name="20% - Accent5 5 9 2" xfId="4929"/>
    <cellStyle name="20% - Accent5 5 9 2 2" xfId="10970"/>
    <cellStyle name="20% - Accent5 5 9 2 2 2" xfId="28017"/>
    <cellStyle name="20% - Accent5 5 9 2 2 2 2" xfId="56878"/>
    <cellStyle name="20% - Accent5 5 9 2 2 3" xfId="39831"/>
    <cellStyle name="20% - Accent5 5 9 2 3" xfId="22039"/>
    <cellStyle name="20% - Accent5 5 9 2 3 2" xfId="50900"/>
    <cellStyle name="20% - Accent5 5 9 2 4" xfId="33790"/>
    <cellStyle name="20% - Accent5 5 9 3" xfId="8084"/>
    <cellStyle name="20% - Accent5 5 9 3 2" xfId="25131"/>
    <cellStyle name="20% - Accent5 5 9 3 2 2" xfId="53992"/>
    <cellStyle name="20% - Accent5 5 9 3 3" xfId="36945"/>
    <cellStyle name="20% - Accent5 5 9 4" xfId="13657"/>
    <cellStyle name="20% - Accent5 5 9 4 2" xfId="19359"/>
    <cellStyle name="20% - Accent5 5 9 4 2 2" xfId="48220"/>
    <cellStyle name="20% - Accent5 5 9 4 3" xfId="42518"/>
    <cellStyle name="20% - Accent5 5 9 5" xfId="16679"/>
    <cellStyle name="20% - Accent5 5 9 5 2" xfId="45540"/>
    <cellStyle name="20% - Accent5 5 9 6" xfId="30904"/>
    <cellStyle name="20% - Accent5 6" xfId="188"/>
    <cellStyle name="20% - Accent5 6 2" xfId="600"/>
    <cellStyle name="20% - Accent5 6 2 2" xfId="3487"/>
    <cellStyle name="20% - Accent5 6 2 2 2" xfId="9528"/>
    <cellStyle name="20% - Accent5 6 2 2 2 2" xfId="26575"/>
    <cellStyle name="20% - Accent5 6 2 2 2 2 2" xfId="55436"/>
    <cellStyle name="20% - Accent5 6 2 2 2 3" xfId="38389"/>
    <cellStyle name="20% - Accent5 6 2 2 3" xfId="20597"/>
    <cellStyle name="20% - Accent5 6 2 2 3 2" xfId="49458"/>
    <cellStyle name="20% - Accent5 6 2 2 4" xfId="32348"/>
    <cellStyle name="20% - Accent5 6 2 3" xfId="6642"/>
    <cellStyle name="20% - Accent5 6 2 3 2" xfId="23689"/>
    <cellStyle name="20% - Accent5 6 2 3 2 2" xfId="52550"/>
    <cellStyle name="20% - Accent5 6 2 3 3" xfId="35503"/>
    <cellStyle name="20% - Accent5 6 2 4" xfId="12642"/>
    <cellStyle name="20% - Accent5 6 2 4 2" xfId="17917"/>
    <cellStyle name="20% - Accent5 6 2 4 2 2" xfId="46778"/>
    <cellStyle name="20% - Accent5 6 2 4 3" xfId="41503"/>
    <cellStyle name="20% - Accent5 6 2 5" xfId="15237"/>
    <cellStyle name="20% - Accent5 6 2 5 2" xfId="44098"/>
    <cellStyle name="20% - Accent5 6 2 6" xfId="29462"/>
    <cellStyle name="20% - Accent5 6 3" xfId="2145"/>
    <cellStyle name="20% - Accent5 6 3 2" xfId="5032"/>
    <cellStyle name="20% - Accent5 6 3 2 2" xfId="11073"/>
    <cellStyle name="20% - Accent5 6 3 2 2 2" xfId="28120"/>
    <cellStyle name="20% - Accent5 6 3 2 2 2 2" xfId="56981"/>
    <cellStyle name="20% - Accent5 6 3 2 2 3" xfId="39934"/>
    <cellStyle name="20% - Accent5 6 3 2 3" xfId="22142"/>
    <cellStyle name="20% - Accent5 6 3 2 3 2" xfId="51003"/>
    <cellStyle name="20% - Accent5 6 3 2 4" xfId="33893"/>
    <cellStyle name="20% - Accent5 6 3 3" xfId="8187"/>
    <cellStyle name="20% - Accent5 6 3 3 2" xfId="25234"/>
    <cellStyle name="20% - Accent5 6 3 3 2 2" xfId="54095"/>
    <cellStyle name="20% - Accent5 6 3 3 3" xfId="37048"/>
    <cellStyle name="20% - Accent5 6 3 4" xfId="13161"/>
    <cellStyle name="20% - Accent5 6 3 4 2" xfId="19462"/>
    <cellStyle name="20% - Accent5 6 3 4 2 2" xfId="48323"/>
    <cellStyle name="20% - Accent5 6 3 4 3" xfId="42022"/>
    <cellStyle name="20% - Accent5 6 3 5" xfId="16782"/>
    <cellStyle name="20% - Accent5 6 3 5 2" xfId="45643"/>
    <cellStyle name="20% - Accent5 6 3 6" xfId="31007"/>
    <cellStyle name="20% - Accent5 6 4" xfId="3075"/>
    <cellStyle name="20% - Accent5 6 4 2" xfId="9116"/>
    <cellStyle name="20% - Accent5 6 4 2 2" xfId="26163"/>
    <cellStyle name="20% - Accent5 6 4 2 2 2" xfId="55024"/>
    <cellStyle name="20% - Accent5 6 4 2 3" xfId="37977"/>
    <cellStyle name="20% - Accent5 6 4 3" xfId="20185"/>
    <cellStyle name="20% - Accent5 6 4 3 2" xfId="49046"/>
    <cellStyle name="20% - Accent5 6 4 4" xfId="31936"/>
    <cellStyle name="20% - Accent5 6 5" xfId="6230"/>
    <cellStyle name="20% - Accent5 6 5 2" xfId="23277"/>
    <cellStyle name="20% - Accent5 6 5 2 2" xfId="52138"/>
    <cellStyle name="20% - Accent5 6 5 3" xfId="35091"/>
    <cellStyle name="20% - Accent5 6 6" xfId="6080"/>
    <cellStyle name="20% - Accent5 6 6 2" xfId="17608"/>
    <cellStyle name="20% - Accent5 6 6 2 2" xfId="46469"/>
    <cellStyle name="20% - Accent5 6 6 3" xfId="34941"/>
    <cellStyle name="20% - Accent5 6 7" xfId="14825"/>
    <cellStyle name="20% - Accent5 6 7 2" xfId="43686"/>
    <cellStyle name="20% - Accent5 6 8" xfId="29050"/>
    <cellStyle name="20% - Accent5 7" xfId="394"/>
    <cellStyle name="20% - Accent5 7 2" xfId="3281"/>
    <cellStyle name="20% - Accent5 7 2 2" xfId="9322"/>
    <cellStyle name="20% - Accent5 7 2 2 2" xfId="26369"/>
    <cellStyle name="20% - Accent5 7 2 2 2 2" xfId="55230"/>
    <cellStyle name="20% - Accent5 7 2 2 3" xfId="38183"/>
    <cellStyle name="20% - Accent5 7 2 3" xfId="20391"/>
    <cellStyle name="20% - Accent5 7 2 3 2" xfId="49252"/>
    <cellStyle name="20% - Accent5 7 2 4" xfId="32142"/>
    <cellStyle name="20% - Accent5 7 3" xfId="6436"/>
    <cellStyle name="20% - Accent5 7 3 2" xfId="23483"/>
    <cellStyle name="20% - Accent5 7 3 2 2" xfId="52344"/>
    <cellStyle name="20% - Accent5 7 3 3" xfId="35297"/>
    <cellStyle name="20% - Accent5 7 4" xfId="13476"/>
    <cellStyle name="20% - Accent5 7 4 2" xfId="17711"/>
    <cellStyle name="20% - Accent5 7 4 2 2" xfId="46572"/>
    <cellStyle name="20% - Accent5 7 4 3" xfId="42337"/>
    <cellStyle name="20% - Accent5 7 5" xfId="15031"/>
    <cellStyle name="20% - Accent5 7 5 2" xfId="43892"/>
    <cellStyle name="20% - Accent5 7 6" xfId="29256"/>
    <cellStyle name="20% - Accent5 8" xfId="703"/>
    <cellStyle name="20% - Accent5 8 2" xfId="3590"/>
    <cellStyle name="20% - Accent5 8 2 2" xfId="9631"/>
    <cellStyle name="20% - Accent5 8 2 2 2" xfId="26678"/>
    <cellStyle name="20% - Accent5 8 2 2 2 2" xfId="55539"/>
    <cellStyle name="20% - Accent5 8 2 2 3" xfId="38492"/>
    <cellStyle name="20% - Accent5 8 2 3" xfId="20700"/>
    <cellStyle name="20% - Accent5 8 2 3 2" xfId="49561"/>
    <cellStyle name="20% - Accent5 8 2 4" xfId="32451"/>
    <cellStyle name="20% - Accent5 8 3" xfId="6745"/>
    <cellStyle name="20% - Accent5 8 3 2" xfId="23792"/>
    <cellStyle name="20% - Accent5 8 3 2 2" xfId="52653"/>
    <cellStyle name="20% - Accent5 8 3 3" xfId="35606"/>
    <cellStyle name="20% - Accent5 8 4" xfId="13465"/>
    <cellStyle name="20% - Accent5 8 4 2" xfId="18020"/>
    <cellStyle name="20% - Accent5 8 4 2 2" xfId="46881"/>
    <cellStyle name="20% - Accent5 8 4 3" xfId="42326"/>
    <cellStyle name="20% - Accent5 8 5" xfId="15340"/>
    <cellStyle name="20% - Accent5 8 5 2" xfId="44201"/>
    <cellStyle name="20% - Accent5 8 6" xfId="29565"/>
    <cellStyle name="20% - Accent5 9" xfId="909"/>
    <cellStyle name="20% - Accent5 9 2" xfId="3796"/>
    <cellStyle name="20% - Accent5 9 2 2" xfId="9837"/>
    <cellStyle name="20% - Accent5 9 2 2 2" xfId="26884"/>
    <cellStyle name="20% - Accent5 9 2 2 2 2" xfId="55745"/>
    <cellStyle name="20% - Accent5 9 2 2 3" xfId="38698"/>
    <cellStyle name="20% - Accent5 9 2 3" xfId="20906"/>
    <cellStyle name="20% - Accent5 9 2 3 2" xfId="49767"/>
    <cellStyle name="20% - Accent5 9 2 4" xfId="32657"/>
    <cellStyle name="20% - Accent5 9 3" xfId="6951"/>
    <cellStyle name="20% - Accent5 9 3 2" xfId="23998"/>
    <cellStyle name="20% - Accent5 9 3 2 2" xfId="52859"/>
    <cellStyle name="20% - Accent5 9 3 3" xfId="35812"/>
    <cellStyle name="20% - Accent5 9 4" xfId="12663"/>
    <cellStyle name="20% - Accent5 9 4 2" xfId="18226"/>
    <cellStyle name="20% - Accent5 9 4 2 2" xfId="47087"/>
    <cellStyle name="20% - Accent5 9 4 3" xfId="41524"/>
    <cellStyle name="20% - Accent5 9 5" xfId="15546"/>
    <cellStyle name="20% - Accent5 9 5 2" xfId="44407"/>
    <cellStyle name="20% - Accent5 9 6" xfId="29771"/>
    <cellStyle name="20% - Accent6" xfId="86" builtinId="50" customBuiltin="1"/>
    <cellStyle name="20% - Accent6 10" xfId="1117"/>
    <cellStyle name="20% - Accent6 10 2" xfId="4004"/>
    <cellStyle name="20% - Accent6 10 2 2" xfId="10045"/>
    <cellStyle name="20% - Accent6 10 2 2 2" xfId="27092"/>
    <cellStyle name="20% - Accent6 10 2 2 2 2" xfId="55953"/>
    <cellStyle name="20% - Accent6 10 2 2 3" xfId="38906"/>
    <cellStyle name="20% - Accent6 10 2 3" xfId="21114"/>
    <cellStyle name="20% - Accent6 10 2 3 2" xfId="49975"/>
    <cellStyle name="20% - Accent6 10 2 4" xfId="32865"/>
    <cellStyle name="20% - Accent6 10 3" xfId="7159"/>
    <cellStyle name="20% - Accent6 10 3 2" xfId="24206"/>
    <cellStyle name="20% - Accent6 10 3 2 2" xfId="53067"/>
    <cellStyle name="20% - Accent6 10 3 3" xfId="36020"/>
    <cellStyle name="20% - Accent6 10 4" xfId="12767"/>
    <cellStyle name="20% - Accent6 10 4 2" xfId="18434"/>
    <cellStyle name="20% - Accent6 10 4 2 2" xfId="47295"/>
    <cellStyle name="20% - Accent6 10 4 3" xfId="41628"/>
    <cellStyle name="20% - Accent6 10 5" xfId="15754"/>
    <cellStyle name="20% - Accent6 10 5 2" xfId="44615"/>
    <cellStyle name="20% - Accent6 10 6" xfId="29979"/>
    <cellStyle name="20% - Accent6 11" xfId="1323"/>
    <cellStyle name="20% - Accent6 11 2" xfId="4210"/>
    <cellStyle name="20% - Accent6 11 2 2" xfId="10251"/>
    <cellStyle name="20% - Accent6 11 2 2 2" xfId="27298"/>
    <cellStyle name="20% - Accent6 11 2 2 2 2" xfId="56159"/>
    <cellStyle name="20% - Accent6 11 2 2 3" xfId="39112"/>
    <cellStyle name="20% - Accent6 11 2 3" xfId="21320"/>
    <cellStyle name="20% - Accent6 11 2 3 2" xfId="50181"/>
    <cellStyle name="20% - Accent6 11 2 4" xfId="33071"/>
    <cellStyle name="20% - Accent6 11 3" xfId="7365"/>
    <cellStyle name="20% - Accent6 11 3 2" xfId="24412"/>
    <cellStyle name="20% - Accent6 11 3 2 2" xfId="53273"/>
    <cellStyle name="20% - Accent6 11 3 3" xfId="36226"/>
    <cellStyle name="20% - Accent6 11 4" xfId="13206"/>
    <cellStyle name="20% - Accent6 11 4 2" xfId="18640"/>
    <cellStyle name="20% - Accent6 11 4 2 2" xfId="47501"/>
    <cellStyle name="20% - Accent6 11 4 3" xfId="42067"/>
    <cellStyle name="20% - Accent6 11 5" xfId="15960"/>
    <cellStyle name="20% - Accent6 11 5 2" xfId="44821"/>
    <cellStyle name="20% - Accent6 11 6" xfId="30185"/>
    <cellStyle name="20% - Accent6 12" xfId="1529"/>
    <cellStyle name="20% - Accent6 12 2" xfId="4416"/>
    <cellStyle name="20% - Accent6 12 2 2" xfId="10457"/>
    <cellStyle name="20% - Accent6 12 2 2 2" xfId="27504"/>
    <cellStyle name="20% - Accent6 12 2 2 2 2" xfId="56365"/>
    <cellStyle name="20% - Accent6 12 2 2 3" xfId="39318"/>
    <cellStyle name="20% - Accent6 12 2 3" xfId="21526"/>
    <cellStyle name="20% - Accent6 12 2 3 2" xfId="50387"/>
    <cellStyle name="20% - Accent6 12 2 4" xfId="33277"/>
    <cellStyle name="20% - Accent6 12 3" xfId="7571"/>
    <cellStyle name="20% - Accent6 12 3 2" xfId="24618"/>
    <cellStyle name="20% - Accent6 12 3 2 2" xfId="53479"/>
    <cellStyle name="20% - Accent6 12 3 3" xfId="36432"/>
    <cellStyle name="20% - Accent6 12 4" xfId="14154"/>
    <cellStyle name="20% - Accent6 12 4 2" xfId="18846"/>
    <cellStyle name="20% - Accent6 12 4 2 2" xfId="47707"/>
    <cellStyle name="20% - Accent6 12 4 3" xfId="43015"/>
    <cellStyle name="20% - Accent6 12 5" xfId="16166"/>
    <cellStyle name="20% - Accent6 12 5 2" xfId="45027"/>
    <cellStyle name="20% - Accent6 12 6" xfId="30391"/>
    <cellStyle name="20% - Accent6 13" xfId="1735"/>
    <cellStyle name="20% - Accent6 13 2" xfId="4622"/>
    <cellStyle name="20% - Accent6 13 2 2" xfId="10663"/>
    <cellStyle name="20% - Accent6 13 2 2 2" xfId="27710"/>
    <cellStyle name="20% - Accent6 13 2 2 2 2" xfId="56571"/>
    <cellStyle name="20% - Accent6 13 2 2 3" xfId="39524"/>
    <cellStyle name="20% - Accent6 13 2 3" xfId="21732"/>
    <cellStyle name="20% - Accent6 13 2 3 2" xfId="50593"/>
    <cellStyle name="20% - Accent6 13 2 4" xfId="33483"/>
    <cellStyle name="20% - Accent6 13 3" xfId="7777"/>
    <cellStyle name="20% - Accent6 13 3 2" xfId="24824"/>
    <cellStyle name="20% - Accent6 13 3 2 2" xfId="53685"/>
    <cellStyle name="20% - Accent6 13 3 3" xfId="36638"/>
    <cellStyle name="20% - Accent6 13 4" xfId="6070"/>
    <cellStyle name="20% - Accent6 13 4 2" xfId="19052"/>
    <cellStyle name="20% - Accent6 13 4 2 2" xfId="47913"/>
    <cellStyle name="20% - Accent6 13 4 3" xfId="34931"/>
    <cellStyle name="20% - Accent6 13 5" xfId="16372"/>
    <cellStyle name="20% - Accent6 13 5 2" xfId="45233"/>
    <cellStyle name="20% - Accent6 13 6" xfId="30597"/>
    <cellStyle name="20% - Accent6 14" xfId="1941"/>
    <cellStyle name="20% - Accent6 14 2" xfId="4828"/>
    <cellStyle name="20% - Accent6 14 2 2" xfId="10869"/>
    <cellStyle name="20% - Accent6 14 2 2 2" xfId="27916"/>
    <cellStyle name="20% - Accent6 14 2 2 2 2" xfId="56777"/>
    <cellStyle name="20% - Accent6 14 2 2 3" xfId="39730"/>
    <cellStyle name="20% - Accent6 14 2 3" xfId="21938"/>
    <cellStyle name="20% - Accent6 14 2 3 2" xfId="50799"/>
    <cellStyle name="20% - Accent6 14 2 4" xfId="33689"/>
    <cellStyle name="20% - Accent6 14 3" xfId="7983"/>
    <cellStyle name="20% - Accent6 14 3 2" xfId="25030"/>
    <cellStyle name="20% - Accent6 14 3 2 2" xfId="53891"/>
    <cellStyle name="20% - Accent6 14 3 3" xfId="36844"/>
    <cellStyle name="20% - Accent6 14 4" xfId="11885"/>
    <cellStyle name="20% - Accent6 14 4 2" xfId="19258"/>
    <cellStyle name="20% - Accent6 14 4 2 2" xfId="48119"/>
    <cellStyle name="20% - Accent6 14 4 3" xfId="40746"/>
    <cellStyle name="20% - Accent6 14 5" xfId="16578"/>
    <cellStyle name="20% - Accent6 14 5 2" xfId="45439"/>
    <cellStyle name="20% - Accent6 14 6" xfId="30803"/>
    <cellStyle name="20% - Accent6 15" xfId="2353"/>
    <cellStyle name="20% - Accent6 15 2" xfId="5240"/>
    <cellStyle name="20% - Accent6 15 2 2" xfId="11281"/>
    <cellStyle name="20% - Accent6 15 2 2 2" xfId="28328"/>
    <cellStyle name="20% - Accent6 15 2 2 2 2" xfId="57189"/>
    <cellStyle name="20% - Accent6 15 2 2 3" xfId="40142"/>
    <cellStyle name="20% - Accent6 15 2 3" xfId="22350"/>
    <cellStyle name="20% - Accent6 15 2 3 2" xfId="51211"/>
    <cellStyle name="20% - Accent6 15 2 4" xfId="34101"/>
    <cellStyle name="20% - Accent6 15 3" xfId="8395"/>
    <cellStyle name="20% - Accent6 15 3 2" xfId="25442"/>
    <cellStyle name="20% - Accent6 15 3 2 2" xfId="54303"/>
    <cellStyle name="20% - Accent6 15 3 3" xfId="37256"/>
    <cellStyle name="20% - Accent6 15 4" xfId="12390"/>
    <cellStyle name="20% - Accent6 15 4 2" xfId="19670"/>
    <cellStyle name="20% - Accent6 15 4 2 2" xfId="48531"/>
    <cellStyle name="20% - Accent6 15 4 3" xfId="41251"/>
    <cellStyle name="20% - Accent6 15 5" xfId="16990"/>
    <cellStyle name="20% - Accent6 15 5 2" xfId="45851"/>
    <cellStyle name="20% - Accent6 15 6" xfId="31215"/>
    <cellStyle name="20% - Accent6 16" xfId="2562"/>
    <cellStyle name="20% - Accent6 16 2" xfId="5448"/>
    <cellStyle name="20% - Accent6 16 2 2" xfId="11489"/>
    <cellStyle name="20% - Accent6 16 2 2 2" xfId="28536"/>
    <cellStyle name="20% - Accent6 16 2 2 2 2" xfId="57397"/>
    <cellStyle name="20% - Accent6 16 2 2 3" xfId="40350"/>
    <cellStyle name="20% - Accent6 16 2 3" xfId="22558"/>
    <cellStyle name="20% - Accent6 16 2 3 2" xfId="51419"/>
    <cellStyle name="20% - Accent6 16 2 4" xfId="34309"/>
    <cellStyle name="20% - Accent6 16 3" xfId="8603"/>
    <cellStyle name="20% - Accent6 16 3 2" xfId="25650"/>
    <cellStyle name="20% - Accent6 16 3 2 2" xfId="54511"/>
    <cellStyle name="20% - Accent6 16 3 3" xfId="37464"/>
    <cellStyle name="20% - Accent6 16 4" xfId="13208"/>
    <cellStyle name="20% - Accent6 16 4 2" xfId="19878"/>
    <cellStyle name="20% - Accent6 16 4 2 2" xfId="48739"/>
    <cellStyle name="20% - Accent6 16 4 3" xfId="42069"/>
    <cellStyle name="20% - Accent6 16 5" xfId="17198"/>
    <cellStyle name="20% - Accent6 16 5 2" xfId="46059"/>
    <cellStyle name="20% - Accent6 16 6" xfId="31423"/>
    <cellStyle name="20% - Accent6 17" xfId="2974"/>
    <cellStyle name="20% - Accent6 17 2" xfId="9015"/>
    <cellStyle name="20% - Accent6 17 2 2" xfId="26062"/>
    <cellStyle name="20% - Accent6 17 2 2 2" xfId="54923"/>
    <cellStyle name="20% - Accent6 17 2 3" xfId="37876"/>
    <cellStyle name="20% - Accent6 17 3" xfId="12416"/>
    <cellStyle name="20% - Accent6 17 3 2" xfId="20084"/>
    <cellStyle name="20% - Accent6 17 3 2 2" xfId="48945"/>
    <cellStyle name="20% - Accent6 17 3 3" xfId="41277"/>
    <cellStyle name="20% - Accent6 17 4" xfId="14724"/>
    <cellStyle name="20% - Accent6 17 4 2" xfId="43585"/>
    <cellStyle name="20% - Accent6 17 5" xfId="31835"/>
    <cellStyle name="20% - Accent6 18" xfId="2768"/>
    <cellStyle name="20% - Accent6 18 2" xfId="8809"/>
    <cellStyle name="20% - Accent6 18 2 2" xfId="25856"/>
    <cellStyle name="20% - Accent6 18 2 2 2" xfId="54717"/>
    <cellStyle name="20% - Accent6 18 2 3" xfId="37670"/>
    <cellStyle name="20% - Accent6 18 3" xfId="17404"/>
    <cellStyle name="20% - Accent6 18 3 2" xfId="46265"/>
    <cellStyle name="20% - Accent6 18 4" xfId="31629"/>
    <cellStyle name="20% - Accent6 19" xfId="5654"/>
    <cellStyle name="20% - Accent6 19 2" xfId="11695"/>
    <cellStyle name="20% - Accent6 19 2 2" xfId="28742"/>
    <cellStyle name="20% - Accent6 19 2 2 2" xfId="57603"/>
    <cellStyle name="20% - Accent6 19 2 3" xfId="40556"/>
    <cellStyle name="20% - Accent6 19 3" xfId="22764"/>
    <cellStyle name="20% - Accent6 19 3 2" xfId="51625"/>
    <cellStyle name="20% - Accent6 19 4" xfId="34515"/>
    <cellStyle name="20% - Accent6 2" xfId="101"/>
    <cellStyle name="20% - Accent6 2 10" xfId="1337"/>
    <cellStyle name="20% - Accent6 2 10 2" xfId="4224"/>
    <cellStyle name="20% - Accent6 2 10 2 2" xfId="10265"/>
    <cellStyle name="20% - Accent6 2 10 2 2 2" xfId="27312"/>
    <cellStyle name="20% - Accent6 2 10 2 2 2 2" xfId="56173"/>
    <cellStyle name="20% - Accent6 2 10 2 2 3" xfId="39126"/>
    <cellStyle name="20% - Accent6 2 10 2 3" xfId="21334"/>
    <cellStyle name="20% - Accent6 2 10 2 3 2" xfId="50195"/>
    <cellStyle name="20% - Accent6 2 10 2 4" xfId="33085"/>
    <cellStyle name="20% - Accent6 2 10 3" xfId="7379"/>
    <cellStyle name="20% - Accent6 2 10 3 2" xfId="24426"/>
    <cellStyle name="20% - Accent6 2 10 3 2 2" xfId="53287"/>
    <cellStyle name="20% - Accent6 2 10 3 3" xfId="36240"/>
    <cellStyle name="20% - Accent6 2 10 4" xfId="14483"/>
    <cellStyle name="20% - Accent6 2 10 4 2" xfId="18654"/>
    <cellStyle name="20% - Accent6 2 10 4 2 2" xfId="47515"/>
    <cellStyle name="20% - Accent6 2 10 4 3" xfId="43344"/>
    <cellStyle name="20% - Accent6 2 10 5" xfId="15974"/>
    <cellStyle name="20% - Accent6 2 10 5 2" xfId="44835"/>
    <cellStyle name="20% - Accent6 2 10 6" xfId="30199"/>
    <cellStyle name="20% - Accent6 2 11" xfId="1543"/>
    <cellStyle name="20% - Accent6 2 11 2" xfId="4430"/>
    <cellStyle name="20% - Accent6 2 11 2 2" xfId="10471"/>
    <cellStyle name="20% - Accent6 2 11 2 2 2" xfId="27518"/>
    <cellStyle name="20% - Accent6 2 11 2 2 2 2" xfId="56379"/>
    <cellStyle name="20% - Accent6 2 11 2 2 3" xfId="39332"/>
    <cellStyle name="20% - Accent6 2 11 2 3" xfId="21540"/>
    <cellStyle name="20% - Accent6 2 11 2 3 2" xfId="50401"/>
    <cellStyle name="20% - Accent6 2 11 2 4" xfId="33291"/>
    <cellStyle name="20% - Accent6 2 11 3" xfId="7585"/>
    <cellStyle name="20% - Accent6 2 11 3 2" xfId="24632"/>
    <cellStyle name="20% - Accent6 2 11 3 2 2" xfId="53493"/>
    <cellStyle name="20% - Accent6 2 11 3 3" xfId="36446"/>
    <cellStyle name="20% - Accent6 2 11 4" xfId="14246"/>
    <cellStyle name="20% - Accent6 2 11 4 2" xfId="18860"/>
    <cellStyle name="20% - Accent6 2 11 4 2 2" xfId="47721"/>
    <cellStyle name="20% - Accent6 2 11 4 3" xfId="43107"/>
    <cellStyle name="20% - Accent6 2 11 5" xfId="16180"/>
    <cellStyle name="20% - Accent6 2 11 5 2" xfId="45041"/>
    <cellStyle name="20% - Accent6 2 11 6" xfId="30405"/>
    <cellStyle name="20% - Accent6 2 12" xfId="1749"/>
    <cellStyle name="20% - Accent6 2 12 2" xfId="4636"/>
    <cellStyle name="20% - Accent6 2 12 2 2" xfId="10677"/>
    <cellStyle name="20% - Accent6 2 12 2 2 2" xfId="27724"/>
    <cellStyle name="20% - Accent6 2 12 2 2 2 2" xfId="56585"/>
    <cellStyle name="20% - Accent6 2 12 2 2 3" xfId="39538"/>
    <cellStyle name="20% - Accent6 2 12 2 3" xfId="21746"/>
    <cellStyle name="20% - Accent6 2 12 2 3 2" xfId="50607"/>
    <cellStyle name="20% - Accent6 2 12 2 4" xfId="33497"/>
    <cellStyle name="20% - Accent6 2 12 3" xfId="7791"/>
    <cellStyle name="20% - Accent6 2 12 3 2" xfId="24838"/>
    <cellStyle name="20% - Accent6 2 12 3 2 2" xfId="53699"/>
    <cellStyle name="20% - Accent6 2 12 3 3" xfId="36652"/>
    <cellStyle name="20% - Accent6 2 12 4" xfId="13114"/>
    <cellStyle name="20% - Accent6 2 12 4 2" xfId="19066"/>
    <cellStyle name="20% - Accent6 2 12 4 2 2" xfId="47927"/>
    <cellStyle name="20% - Accent6 2 12 4 3" xfId="41975"/>
    <cellStyle name="20% - Accent6 2 12 5" xfId="16386"/>
    <cellStyle name="20% - Accent6 2 12 5 2" xfId="45247"/>
    <cellStyle name="20% - Accent6 2 12 6" xfId="30611"/>
    <cellStyle name="20% - Accent6 2 13" xfId="1955"/>
    <cellStyle name="20% - Accent6 2 13 2" xfId="4842"/>
    <cellStyle name="20% - Accent6 2 13 2 2" xfId="10883"/>
    <cellStyle name="20% - Accent6 2 13 2 2 2" xfId="27930"/>
    <cellStyle name="20% - Accent6 2 13 2 2 2 2" xfId="56791"/>
    <cellStyle name="20% - Accent6 2 13 2 2 3" xfId="39744"/>
    <cellStyle name="20% - Accent6 2 13 2 3" xfId="21952"/>
    <cellStyle name="20% - Accent6 2 13 2 3 2" xfId="50813"/>
    <cellStyle name="20% - Accent6 2 13 2 4" xfId="33703"/>
    <cellStyle name="20% - Accent6 2 13 3" xfId="7997"/>
    <cellStyle name="20% - Accent6 2 13 3 2" xfId="25044"/>
    <cellStyle name="20% - Accent6 2 13 3 2 2" xfId="53905"/>
    <cellStyle name="20% - Accent6 2 13 3 3" xfId="36858"/>
    <cellStyle name="20% - Accent6 2 13 4" xfId="13488"/>
    <cellStyle name="20% - Accent6 2 13 4 2" xfId="19272"/>
    <cellStyle name="20% - Accent6 2 13 4 2 2" xfId="48133"/>
    <cellStyle name="20% - Accent6 2 13 4 3" xfId="42349"/>
    <cellStyle name="20% - Accent6 2 13 5" xfId="16592"/>
    <cellStyle name="20% - Accent6 2 13 5 2" xfId="45453"/>
    <cellStyle name="20% - Accent6 2 13 6" xfId="30817"/>
    <cellStyle name="20% - Accent6 2 14" xfId="2367"/>
    <cellStyle name="20% - Accent6 2 14 2" xfId="5254"/>
    <cellStyle name="20% - Accent6 2 14 2 2" xfId="11295"/>
    <cellStyle name="20% - Accent6 2 14 2 2 2" xfId="28342"/>
    <cellStyle name="20% - Accent6 2 14 2 2 2 2" xfId="57203"/>
    <cellStyle name="20% - Accent6 2 14 2 2 3" xfId="40156"/>
    <cellStyle name="20% - Accent6 2 14 2 3" xfId="22364"/>
    <cellStyle name="20% - Accent6 2 14 2 3 2" xfId="51225"/>
    <cellStyle name="20% - Accent6 2 14 2 4" xfId="34115"/>
    <cellStyle name="20% - Accent6 2 14 3" xfId="8409"/>
    <cellStyle name="20% - Accent6 2 14 3 2" xfId="25456"/>
    <cellStyle name="20% - Accent6 2 14 3 2 2" xfId="54317"/>
    <cellStyle name="20% - Accent6 2 14 3 3" xfId="37270"/>
    <cellStyle name="20% - Accent6 2 14 4" xfId="14363"/>
    <cellStyle name="20% - Accent6 2 14 4 2" xfId="19684"/>
    <cellStyle name="20% - Accent6 2 14 4 2 2" xfId="48545"/>
    <cellStyle name="20% - Accent6 2 14 4 3" xfId="43224"/>
    <cellStyle name="20% - Accent6 2 14 5" xfId="17004"/>
    <cellStyle name="20% - Accent6 2 14 5 2" xfId="45865"/>
    <cellStyle name="20% - Accent6 2 14 6" xfId="31229"/>
    <cellStyle name="20% - Accent6 2 15" xfId="2576"/>
    <cellStyle name="20% - Accent6 2 15 2" xfId="5462"/>
    <cellStyle name="20% - Accent6 2 15 2 2" xfId="11503"/>
    <cellStyle name="20% - Accent6 2 15 2 2 2" xfId="28550"/>
    <cellStyle name="20% - Accent6 2 15 2 2 2 2" xfId="57411"/>
    <cellStyle name="20% - Accent6 2 15 2 2 3" xfId="40364"/>
    <cellStyle name="20% - Accent6 2 15 2 3" xfId="22572"/>
    <cellStyle name="20% - Accent6 2 15 2 3 2" xfId="51433"/>
    <cellStyle name="20% - Accent6 2 15 2 4" xfId="34323"/>
    <cellStyle name="20% - Accent6 2 15 3" xfId="8617"/>
    <cellStyle name="20% - Accent6 2 15 3 2" xfId="25664"/>
    <cellStyle name="20% - Accent6 2 15 3 2 2" xfId="54525"/>
    <cellStyle name="20% - Accent6 2 15 3 3" xfId="37478"/>
    <cellStyle name="20% - Accent6 2 15 4" xfId="14109"/>
    <cellStyle name="20% - Accent6 2 15 4 2" xfId="19892"/>
    <cellStyle name="20% - Accent6 2 15 4 2 2" xfId="48753"/>
    <cellStyle name="20% - Accent6 2 15 4 3" xfId="42970"/>
    <cellStyle name="20% - Accent6 2 15 5" xfId="17212"/>
    <cellStyle name="20% - Accent6 2 15 5 2" xfId="46073"/>
    <cellStyle name="20% - Accent6 2 15 6" xfId="31437"/>
    <cellStyle name="20% - Accent6 2 16" xfId="2988"/>
    <cellStyle name="20% - Accent6 2 16 2" xfId="9029"/>
    <cellStyle name="20% - Accent6 2 16 2 2" xfId="26076"/>
    <cellStyle name="20% - Accent6 2 16 2 2 2" xfId="54937"/>
    <cellStyle name="20% - Accent6 2 16 2 3" xfId="37890"/>
    <cellStyle name="20% - Accent6 2 16 3" xfId="13147"/>
    <cellStyle name="20% - Accent6 2 16 3 2" xfId="20098"/>
    <cellStyle name="20% - Accent6 2 16 3 2 2" xfId="48959"/>
    <cellStyle name="20% - Accent6 2 16 3 3" xfId="42008"/>
    <cellStyle name="20% - Accent6 2 16 4" xfId="14738"/>
    <cellStyle name="20% - Accent6 2 16 4 2" xfId="43599"/>
    <cellStyle name="20% - Accent6 2 16 5" xfId="31849"/>
    <cellStyle name="20% - Accent6 2 17" xfId="2782"/>
    <cellStyle name="20% - Accent6 2 17 2" xfId="8823"/>
    <cellStyle name="20% - Accent6 2 17 2 2" xfId="25870"/>
    <cellStyle name="20% - Accent6 2 17 2 2 2" xfId="54731"/>
    <cellStyle name="20% - Accent6 2 17 2 3" xfId="37684"/>
    <cellStyle name="20% - Accent6 2 17 3" xfId="17418"/>
    <cellStyle name="20% - Accent6 2 17 3 2" xfId="46279"/>
    <cellStyle name="20% - Accent6 2 17 4" xfId="31643"/>
    <cellStyle name="20% - Accent6 2 18" xfId="5668"/>
    <cellStyle name="20% - Accent6 2 18 2" xfId="11709"/>
    <cellStyle name="20% - Accent6 2 18 2 2" xfId="28756"/>
    <cellStyle name="20% - Accent6 2 18 2 2 2" xfId="57617"/>
    <cellStyle name="20% - Accent6 2 18 2 3" xfId="40570"/>
    <cellStyle name="20% - Accent6 2 18 3" xfId="22778"/>
    <cellStyle name="20% - Accent6 2 18 3 2" xfId="51639"/>
    <cellStyle name="20% - Accent6 2 18 4" xfId="34529"/>
    <cellStyle name="20% - Accent6 2 19" xfId="5885"/>
    <cellStyle name="20% - Accent6 2 19 2" xfId="22984"/>
    <cellStyle name="20% - Accent6 2 19 2 2" xfId="51845"/>
    <cellStyle name="20% - Accent6 2 19 3" xfId="34746"/>
    <cellStyle name="20% - Accent6 2 2" xfId="127"/>
    <cellStyle name="20% - Accent6 2 2 10" xfId="1775"/>
    <cellStyle name="20% - Accent6 2 2 10 2" xfId="4662"/>
    <cellStyle name="20% - Accent6 2 2 10 2 2" xfId="10703"/>
    <cellStyle name="20% - Accent6 2 2 10 2 2 2" xfId="27750"/>
    <cellStyle name="20% - Accent6 2 2 10 2 2 2 2" xfId="56611"/>
    <cellStyle name="20% - Accent6 2 2 10 2 2 3" xfId="39564"/>
    <cellStyle name="20% - Accent6 2 2 10 2 3" xfId="21772"/>
    <cellStyle name="20% - Accent6 2 2 10 2 3 2" xfId="50633"/>
    <cellStyle name="20% - Accent6 2 2 10 2 4" xfId="33523"/>
    <cellStyle name="20% - Accent6 2 2 10 3" xfId="7817"/>
    <cellStyle name="20% - Accent6 2 2 10 3 2" xfId="24864"/>
    <cellStyle name="20% - Accent6 2 2 10 3 2 2" xfId="53725"/>
    <cellStyle name="20% - Accent6 2 2 10 3 3" xfId="36678"/>
    <cellStyle name="20% - Accent6 2 2 10 4" xfId="13267"/>
    <cellStyle name="20% - Accent6 2 2 10 4 2" xfId="19092"/>
    <cellStyle name="20% - Accent6 2 2 10 4 2 2" xfId="47953"/>
    <cellStyle name="20% - Accent6 2 2 10 4 3" xfId="42128"/>
    <cellStyle name="20% - Accent6 2 2 10 5" xfId="16412"/>
    <cellStyle name="20% - Accent6 2 2 10 5 2" xfId="45273"/>
    <cellStyle name="20% - Accent6 2 2 10 6" xfId="30637"/>
    <cellStyle name="20% - Accent6 2 2 11" xfId="1981"/>
    <cellStyle name="20% - Accent6 2 2 11 2" xfId="4868"/>
    <cellStyle name="20% - Accent6 2 2 11 2 2" xfId="10909"/>
    <cellStyle name="20% - Accent6 2 2 11 2 2 2" xfId="27956"/>
    <cellStyle name="20% - Accent6 2 2 11 2 2 2 2" xfId="56817"/>
    <cellStyle name="20% - Accent6 2 2 11 2 2 3" xfId="39770"/>
    <cellStyle name="20% - Accent6 2 2 11 2 3" xfId="21978"/>
    <cellStyle name="20% - Accent6 2 2 11 2 3 2" xfId="50839"/>
    <cellStyle name="20% - Accent6 2 2 11 2 4" xfId="33729"/>
    <cellStyle name="20% - Accent6 2 2 11 3" xfId="8023"/>
    <cellStyle name="20% - Accent6 2 2 11 3 2" xfId="25070"/>
    <cellStyle name="20% - Accent6 2 2 11 3 2 2" xfId="53931"/>
    <cellStyle name="20% - Accent6 2 2 11 3 3" xfId="36884"/>
    <cellStyle name="20% - Accent6 2 2 11 4" xfId="12527"/>
    <cellStyle name="20% - Accent6 2 2 11 4 2" xfId="19298"/>
    <cellStyle name="20% - Accent6 2 2 11 4 2 2" xfId="48159"/>
    <cellStyle name="20% - Accent6 2 2 11 4 3" xfId="41388"/>
    <cellStyle name="20% - Accent6 2 2 11 5" xfId="16618"/>
    <cellStyle name="20% - Accent6 2 2 11 5 2" xfId="45479"/>
    <cellStyle name="20% - Accent6 2 2 11 6" xfId="30843"/>
    <cellStyle name="20% - Accent6 2 2 12" xfId="2393"/>
    <cellStyle name="20% - Accent6 2 2 12 2" xfId="5280"/>
    <cellStyle name="20% - Accent6 2 2 12 2 2" xfId="11321"/>
    <cellStyle name="20% - Accent6 2 2 12 2 2 2" xfId="28368"/>
    <cellStyle name="20% - Accent6 2 2 12 2 2 2 2" xfId="57229"/>
    <cellStyle name="20% - Accent6 2 2 12 2 2 3" xfId="40182"/>
    <cellStyle name="20% - Accent6 2 2 12 2 3" xfId="22390"/>
    <cellStyle name="20% - Accent6 2 2 12 2 3 2" xfId="51251"/>
    <cellStyle name="20% - Accent6 2 2 12 2 4" xfId="34141"/>
    <cellStyle name="20% - Accent6 2 2 12 3" xfId="8435"/>
    <cellStyle name="20% - Accent6 2 2 12 3 2" xfId="25482"/>
    <cellStyle name="20% - Accent6 2 2 12 3 2 2" xfId="54343"/>
    <cellStyle name="20% - Accent6 2 2 12 3 3" xfId="37296"/>
    <cellStyle name="20% - Accent6 2 2 12 4" xfId="12499"/>
    <cellStyle name="20% - Accent6 2 2 12 4 2" xfId="19710"/>
    <cellStyle name="20% - Accent6 2 2 12 4 2 2" xfId="48571"/>
    <cellStyle name="20% - Accent6 2 2 12 4 3" xfId="41360"/>
    <cellStyle name="20% - Accent6 2 2 12 5" xfId="17030"/>
    <cellStyle name="20% - Accent6 2 2 12 5 2" xfId="45891"/>
    <cellStyle name="20% - Accent6 2 2 12 6" xfId="31255"/>
    <cellStyle name="20% - Accent6 2 2 13" xfId="2602"/>
    <cellStyle name="20% - Accent6 2 2 13 2" xfId="5488"/>
    <cellStyle name="20% - Accent6 2 2 13 2 2" xfId="11529"/>
    <cellStyle name="20% - Accent6 2 2 13 2 2 2" xfId="28576"/>
    <cellStyle name="20% - Accent6 2 2 13 2 2 2 2" xfId="57437"/>
    <cellStyle name="20% - Accent6 2 2 13 2 2 3" xfId="40390"/>
    <cellStyle name="20% - Accent6 2 2 13 2 3" xfId="22598"/>
    <cellStyle name="20% - Accent6 2 2 13 2 3 2" xfId="51459"/>
    <cellStyle name="20% - Accent6 2 2 13 2 4" xfId="34349"/>
    <cellStyle name="20% - Accent6 2 2 13 3" xfId="8643"/>
    <cellStyle name="20% - Accent6 2 2 13 3 2" xfId="25690"/>
    <cellStyle name="20% - Accent6 2 2 13 3 2 2" xfId="54551"/>
    <cellStyle name="20% - Accent6 2 2 13 3 3" xfId="37504"/>
    <cellStyle name="20% - Accent6 2 2 13 4" xfId="13487"/>
    <cellStyle name="20% - Accent6 2 2 13 4 2" xfId="19918"/>
    <cellStyle name="20% - Accent6 2 2 13 4 2 2" xfId="48779"/>
    <cellStyle name="20% - Accent6 2 2 13 4 3" xfId="42348"/>
    <cellStyle name="20% - Accent6 2 2 13 5" xfId="17238"/>
    <cellStyle name="20% - Accent6 2 2 13 5 2" xfId="46099"/>
    <cellStyle name="20% - Accent6 2 2 13 6" xfId="31463"/>
    <cellStyle name="20% - Accent6 2 2 14" xfId="3014"/>
    <cellStyle name="20% - Accent6 2 2 14 2" xfId="9055"/>
    <cellStyle name="20% - Accent6 2 2 14 2 2" xfId="26102"/>
    <cellStyle name="20% - Accent6 2 2 14 2 2 2" xfId="54963"/>
    <cellStyle name="20% - Accent6 2 2 14 2 3" xfId="37916"/>
    <cellStyle name="20% - Accent6 2 2 14 3" xfId="11934"/>
    <cellStyle name="20% - Accent6 2 2 14 3 2" xfId="20124"/>
    <cellStyle name="20% - Accent6 2 2 14 3 2 2" xfId="48985"/>
    <cellStyle name="20% - Accent6 2 2 14 3 3" xfId="40795"/>
    <cellStyle name="20% - Accent6 2 2 14 4" xfId="14764"/>
    <cellStyle name="20% - Accent6 2 2 14 4 2" xfId="43625"/>
    <cellStyle name="20% - Accent6 2 2 14 5" xfId="31875"/>
    <cellStyle name="20% - Accent6 2 2 15" xfId="2808"/>
    <cellStyle name="20% - Accent6 2 2 15 2" xfId="8849"/>
    <cellStyle name="20% - Accent6 2 2 15 2 2" xfId="25896"/>
    <cellStyle name="20% - Accent6 2 2 15 2 2 2" xfId="54757"/>
    <cellStyle name="20% - Accent6 2 2 15 2 3" xfId="37710"/>
    <cellStyle name="20% - Accent6 2 2 15 3" xfId="17444"/>
    <cellStyle name="20% - Accent6 2 2 15 3 2" xfId="46305"/>
    <cellStyle name="20% - Accent6 2 2 15 4" xfId="31669"/>
    <cellStyle name="20% - Accent6 2 2 16" xfId="5694"/>
    <cellStyle name="20% - Accent6 2 2 16 2" xfId="11735"/>
    <cellStyle name="20% - Accent6 2 2 16 2 2" xfId="28782"/>
    <cellStyle name="20% - Accent6 2 2 16 2 2 2" xfId="57643"/>
    <cellStyle name="20% - Accent6 2 2 16 2 3" xfId="40596"/>
    <cellStyle name="20% - Accent6 2 2 16 3" xfId="22804"/>
    <cellStyle name="20% - Accent6 2 2 16 3 2" xfId="51665"/>
    <cellStyle name="20% - Accent6 2 2 16 4" xfId="34555"/>
    <cellStyle name="20% - Accent6 2 2 17" xfId="5911"/>
    <cellStyle name="20% - Accent6 2 2 17 2" xfId="23010"/>
    <cellStyle name="20% - Accent6 2 2 17 2 2" xfId="51871"/>
    <cellStyle name="20% - Accent6 2 2 17 3" xfId="34772"/>
    <cellStyle name="20% - Accent6 2 2 18" xfId="6169"/>
    <cellStyle name="20% - Accent6 2 2 18 2" xfId="23216"/>
    <cellStyle name="20% - Accent6 2 2 18 2 2" xfId="52077"/>
    <cellStyle name="20% - Accent6 2 2 18 3" xfId="35030"/>
    <cellStyle name="20% - Accent6 2 2 19" xfId="14558"/>
    <cellStyle name="20% - Accent6 2 2 19 2" xfId="43419"/>
    <cellStyle name="20% - Accent6 2 2 2" xfId="333"/>
    <cellStyle name="20% - Accent6 2 2 2 10" xfId="2496"/>
    <cellStyle name="20% - Accent6 2 2 2 10 2" xfId="5383"/>
    <cellStyle name="20% - Accent6 2 2 2 10 2 2" xfId="11424"/>
    <cellStyle name="20% - Accent6 2 2 2 10 2 2 2" xfId="28471"/>
    <cellStyle name="20% - Accent6 2 2 2 10 2 2 2 2" xfId="57332"/>
    <cellStyle name="20% - Accent6 2 2 2 10 2 2 3" xfId="40285"/>
    <cellStyle name="20% - Accent6 2 2 2 10 2 3" xfId="22493"/>
    <cellStyle name="20% - Accent6 2 2 2 10 2 3 2" xfId="51354"/>
    <cellStyle name="20% - Accent6 2 2 2 10 2 4" xfId="34244"/>
    <cellStyle name="20% - Accent6 2 2 2 10 3" xfId="8538"/>
    <cellStyle name="20% - Accent6 2 2 2 10 3 2" xfId="25585"/>
    <cellStyle name="20% - Accent6 2 2 2 10 3 2 2" xfId="54446"/>
    <cellStyle name="20% - Accent6 2 2 2 10 3 3" xfId="37399"/>
    <cellStyle name="20% - Accent6 2 2 2 10 4" xfId="12736"/>
    <cellStyle name="20% - Accent6 2 2 2 10 4 2" xfId="19813"/>
    <cellStyle name="20% - Accent6 2 2 2 10 4 2 2" xfId="48674"/>
    <cellStyle name="20% - Accent6 2 2 2 10 4 3" xfId="41597"/>
    <cellStyle name="20% - Accent6 2 2 2 10 5" xfId="17133"/>
    <cellStyle name="20% - Accent6 2 2 2 10 5 2" xfId="45994"/>
    <cellStyle name="20% - Accent6 2 2 2 10 6" xfId="31358"/>
    <cellStyle name="20% - Accent6 2 2 2 11" xfId="2705"/>
    <cellStyle name="20% - Accent6 2 2 2 11 2" xfId="5591"/>
    <cellStyle name="20% - Accent6 2 2 2 11 2 2" xfId="11632"/>
    <cellStyle name="20% - Accent6 2 2 2 11 2 2 2" xfId="28679"/>
    <cellStyle name="20% - Accent6 2 2 2 11 2 2 2 2" xfId="57540"/>
    <cellStyle name="20% - Accent6 2 2 2 11 2 2 3" xfId="40493"/>
    <cellStyle name="20% - Accent6 2 2 2 11 2 3" xfId="22701"/>
    <cellStyle name="20% - Accent6 2 2 2 11 2 3 2" xfId="51562"/>
    <cellStyle name="20% - Accent6 2 2 2 11 2 4" xfId="34452"/>
    <cellStyle name="20% - Accent6 2 2 2 11 3" xfId="8746"/>
    <cellStyle name="20% - Accent6 2 2 2 11 3 2" xfId="25793"/>
    <cellStyle name="20% - Accent6 2 2 2 11 3 2 2" xfId="54654"/>
    <cellStyle name="20% - Accent6 2 2 2 11 3 3" xfId="37607"/>
    <cellStyle name="20% - Accent6 2 2 2 11 4" xfId="13701"/>
    <cellStyle name="20% - Accent6 2 2 2 11 4 2" xfId="20021"/>
    <cellStyle name="20% - Accent6 2 2 2 11 4 2 2" xfId="48882"/>
    <cellStyle name="20% - Accent6 2 2 2 11 4 3" xfId="42562"/>
    <cellStyle name="20% - Accent6 2 2 2 11 5" xfId="17341"/>
    <cellStyle name="20% - Accent6 2 2 2 11 5 2" xfId="46202"/>
    <cellStyle name="20% - Accent6 2 2 2 11 6" xfId="31566"/>
    <cellStyle name="20% - Accent6 2 2 2 12" xfId="3220"/>
    <cellStyle name="20% - Accent6 2 2 2 12 2" xfId="9261"/>
    <cellStyle name="20% - Accent6 2 2 2 12 2 2" xfId="26308"/>
    <cellStyle name="20% - Accent6 2 2 2 12 2 2 2" xfId="55169"/>
    <cellStyle name="20% - Accent6 2 2 2 12 2 3" xfId="38122"/>
    <cellStyle name="20% - Accent6 2 2 2 12 3" xfId="14087"/>
    <cellStyle name="20% - Accent6 2 2 2 12 3 2" xfId="20330"/>
    <cellStyle name="20% - Accent6 2 2 2 12 3 2 2" xfId="49191"/>
    <cellStyle name="20% - Accent6 2 2 2 12 3 3" xfId="42948"/>
    <cellStyle name="20% - Accent6 2 2 2 12 4" xfId="14970"/>
    <cellStyle name="20% - Accent6 2 2 2 12 4 2" xfId="43831"/>
    <cellStyle name="20% - Accent6 2 2 2 12 5" xfId="32081"/>
    <cellStyle name="20% - Accent6 2 2 2 13" xfId="2911"/>
    <cellStyle name="20% - Accent6 2 2 2 13 2" xfId="8952"/>
    <cellStyle name="20% - Accent6 2 2 2 13 2 2" xfId="25999"/>
    <cellStyle name="20% - Accent6 2 2 2 13 2 2 2" xfId="54860"/>
    <cellStyle name="20% - Accent6 2 2 2 13 2 3" xfId="37813"/>
    <cellStyle name="20% - Accent6 2 2 2 13 3" xfId="17547"/>
    <cellStyle name="20% - Accent6 2 2 2 13 3 2" xfId="46408"/>
    <cellStyle name="20% - Accent6 2 2 2 13 4" xfId="31772"/>
    <cellStyle name="20% - Accent6 2 2 2 14" xfId="5797"/>
    <cellStyle name="20% - Accent6 2 2 2 14 2" xfId="11838"/>
    <cellStyle name="20% - Accent6 2 2 2 14 2 2" xfId="28885"/>
    <cellStyle name="20% - Accent6 2 2 2 14 2 2 2" xfId="57746"/>
    <cellStyle name="20% - Accent6 2 2 2 14 2 3" xfId="40699"/>
    <cellStyle name="20% - Accent6 2 2 2 14 3" xfId="22907"/>
    <cellStyle name="20% - Accent6 2 2 2 14 3 2" xfId="51768"/>
    <cellStyle name="20% - Accent6 2 2 2 14 4" xfId="34658"/>
    <cellStyle name="20% - Accent6 2 2 2 15" xfId="6014"/>
    <cellStyle name="20% - Accent6 2 2 2 15 2" xfId="23113"/>
    <cellStyle name="20% - Accent6 2 2 2 15 2 2" xfId="51974"/>
    <cellStyle name="20% - Accent6 2 2 2 15 3" xfId="34875"/>
    <cellStyle name="20% - Accent6 2 2 2 16" xfId="6375"/>
    <cellStyle name="20% - Accent6 2 2 2 16 2" xfId="23422"/>
    <cellStyle name="20% - Accent6 2 2 2 16 2 2" xfId="52283"/>
    <cellStyle name="20% - Accent6 2 2 2 16 3" xfId="35236"/>
    <cellStyle name="20% - Accent6 2 2 2 17" xfId="14661"/>
    <cellStyle name="20% - Accent6 2 2 2 17 2" xfId="43522"/>
    <cellStyle name="20% - Accent6 2 2 2 18" xfId="29195"/>
    <cellStyle name="20% - Accent6 2 2 2 2" xfId="539"/>
    <cellStyle name="20% - Accent6 2 2 2 2 2" xfId="2290"/>
    <cellStyle name="20% - Accent6 2 2 2 2 2 2" xfId="5177"/>
    <cellStyle name="20% - Accent6 2 2 2 2 2 2 2" xfId="11218"/>
    <cellStyle name="20% - Accent6 2 2 2 2 2 2 2 2" xfId="28265"/>
    <cellStyle name="20% - Accent6 2 2 2 2 2 2 2 2 2" xfId="57126"/>
    <cellStyle name="20% - Accent6 2 2 2 2 2 2 2 3" xfId="40079"/>
    <cellStyle name="20% - Accent6 2 2 2 2 2 2 3" xfId="22287"/>
    <cellStyle name="20% - Accent6 2 2 2 2 2 2 3 2" xfId="51148"/>
    <cellStyle name="20% - Accent6 2 2 2 2 2 2 4" xfId="34038"/>
    <cellStyle name="20% - Accent6 2 2 2 2 2 3" xfId="8332"/>
    <cellStyle name="20% - Accent6 2 2 2 2 2 3 2" xfId="25379"/>
    <cellStyle name="20% - Accent6 2 2 2 2 2 3 2 2" xfId="54240"/>
    <cellStyle name="20% - Accent6 2 2 2 2 2 3 3" xfId="37193"/>
    <cellStyle name="20% - Accent6 2 2 2 2 2 4" xfId="11985"/>
    <cellStyle name="20% - Accent6 2 2 2 2 2 4 2" xfId="19607"/>
    <cellStyle name="20% - Accent6 2 2 2 2 2 4 2 2" xfId="48468"/>
    <cellStyle name="20% - Accent6 2 2 2 2 2 4 3" xfId="40846"/>
    <cellStyle name="20% - Accent6 2 2 2 2 2 5" xfId="16927"/>
    <cellStyle name="20% - Accent6 2 2 2 2 2 5 2" xfId="45788"/>
    <cellStyle name="20% - Accent6 2 2 2 2 2 6" xfId="31152"/>
    <cellStyle name="20% - Accent6 2 2 2 2 3" xfId="3426"/>
    <cellStyle name="20% - Accent6 2 2 2 2 3 2" xfId="9467"/>
    <cellStyle name="20% - Accent6 2 2 2 2 3 2 2" xfId="26514"/>
    <cellStyle name="20% - Accent6 2 2 2 2 3 2 2 2" xfId="55375"/>
    <cellStyle name="20% - Accent6 2 2 2 2 3 2 3" xfId="38328"/>
    <cellStyle name="20% - Accent6 2 2 2 2 3 3" xfId="20536"/>
    <cellStyle name="20% - Accent6 2 2 2 2 3 3 2" xfId="49397"/>
    <cellStyle name="20% - Accent6 2 2 2 2 3 4" xfId="32287"/>
    <cellStyle name="20% - Accent6 2 2 2 2 4" xfId="6581"/>
    <cellStyle name="20% - Accent6 2 2 2 2 4 2" xfId="23628"/>
    <cellStyle name="20% - Accent6 2 2 2 2 4 2 2" xfId="52489"/>
    <cellStyle name="20% - Accent6 2 2 2 2 4 3" xfId="35442"/>
    <cellStyle name="20% - Accent6 2 2 2 2 5" xfId="14394"/>
    <cellStyle name="20% - Accent6 2 2 2 2 5 2" xfId="17856"/>
    <cellStyle name="20% - Accent6 2 2 2 2 5 2 2" xfId="46717"/>
    <cellStyle name="20% - Accent6 2 2 2 2 5 3" xfId="43255"/>
    <cellStyle name="20% - Accent6 2 2 2 2 6" xfId="15176"/>
    <cellStyle name="20% - Accent6 2 2 2 2 6 2" xfId="44037"/>
    <cellStyle name="20% - Accent6 2 2 2 2 7" xfId="29401"/>
    <cellStyle name="20% - Accent6 2 2 2 3" xfId="848"/>
    <cellStyle name="20% - Accent6 2 2 2 3 2" xfId="3735"/>
    <cellStyle name="20% - Accent6 2 2 2 3 2 2" xfId="9776"/>
    <cellStyle name="20% - Accent6 2 2 2 3 2 2 2" xfId="26823"/>
    <cellStyle name="20% - Accent6 2 2 2 3 2 2 2 2" xfId="55684"/>
    <cellStyle name="20% - Accent6 2 2 2 3 2 2 3" xfId="38637"/>
    <cellStyle name="20% - Accent6 2 2 2 3 2 3" xfId="20845"/>
    <cellStyle name="20% - Accent6 2 2 2 3 2 3 2" xfId="49706"/>
    <cellStyle name="20% - Accent6 2 2 2 3 2 4" xfId="32596"/>
    <cellStyle name="20% - Accent6 2 2 2 3 3" xfId="6890"/>
    <cellStyle name="20% - Accent6 2 2 2 3 3 2" xfId="23937"/>
    <cellStyle name="20% - Accent6 2 2 2 3 3 2 2" xfId="52798"/>
    <cellStyle name="20% - Accent6 2 2 2 3 3 3" xfId="35751"/>
    <cellStyle name="20% - Accent6 2 2 2 3 4" xfId="12640"/>
    <cellStyle name="20% - Accent6 2 2 2 3 4 2" xfId="18165"/>
    <cellStyle name="20% - Accent6 2 2 2 3 4 2 2" xfId="47026"/>
    <cellStyle name="20% - Accent6 2 2 2 3 4 3" xfId="41501"/>
    <cellStyle name="20% - Accent6 2 2 2 3 5" xfId="15485"/>
    <cellStyle name="20% - Accent6 2 2 2 3 5 2" xfId="44346"/>
    <cellStyle name="20% - Accent6 2 2 2 3 6" xfId="29710"/>
    <cellStyle name="20% - Accent6 2 2 2 4" xfId="1054"/>
    <cellStyle name="20% - Accent6 2 2 2 4 2" xfId="3941"/>
    <cellStyle name="20% - Accent6 2 2 2 4 2 2" xfId="9982"/>
    <cellStyle name="20% - Accent6 2 2 2 4 2 2 2" xfId="27029"/>
    <cellStyle name="20% - Accent6 2 2 2 4 2 2 2 2" xfId="55890"/>
    <cellStyle name="20% - Accent6 2 2 2 4 2 2 3" xfId="38843"/>
    <cellStyle name="20% - Accent6 2 2 2 4 2 3" xfId="21051"/>
    <cellStyle name="20% - Accent6 2 2 2 4 2 3 2" xfId="49912"/>
    <cellStyle name="20% - Accent6 2 2 2 4 2 4" xfId="32802"/>
    <cellStyle name="20% - Accent6 2 2 2 4 3" xfId="7096"/>
    <cellStyle name="20% - Accent6 2 2 2 4 3 2" xfId="24143"/>
    <cellStyle name="20% - Accent6 2 2 2 4 3 2 2" xfId="53004"/>
    <cellStyle name="20% - Accent6 2 2 2 4 3 3" xfId="35957"/>
    <cellStyle name="20% - Accent6 2 2 2 4 4" xfId="12473"/>
    <cellStyle name="20% - Accent6 2 2 2 4 4 2" xfId="18371"/>
    <cellStyle name="20% - Accent6 2 2 2 4 4 2 2" xfId="47232"/>
    <cellStyle name="20% - Accent6 2 2 2 4 4 3" xfId="41334"/>
    <cellStyle name="20% - Accent6 2 2 2 4 5" xfId="15691"/>
    <cellStyle name="20% - Accent6 2 2 2 4 5 2" xfId="44552"/>
    <cellStyle name="20% - Accent6 2 2 2 4 6" xfId="29916"/>
    <cellStyle name="20% - Accent6 2 2 2 5" xfId="1260"/>
    <cellStyle name="20% - Accent6 2 2 2 5 2" xfId="4147"/>
    <cellStyle name="20% - Accent6 2 2 2 5 2 2" xfId="10188"/>
    <cellStyle name="20% - Accent6 2 2 2 5 2 2 2" xfId="27235"/>
    <cellStyle name="20% - Accent6 2 2 2 5 2 2 2 2" xfId="56096"/>
    <cellStyle name="20% - Accent6 2 2 2 5 2 2 3" xfId="39049"/>
    <cellStyle name="20% - Accent6 2 2 2 5 2 3" xfId="21257"/>
    <cellStyle name="20% - Accent6 2 2 2 5 2 3 2" xfId="50118"/>
    <cellStyle name="20% - Accent6 2 2 2 5 2 4" xfId="33008"/>
    <cellStyle name="20% - Accent6 2 2 2 5 3" xfId="7302"/>
    <cellStyle name="20% - Accent6 2 2 2 5 3 2" xfId="24349"/>
    <cellStyle name="20% - Accent6 2 2 2 5 3 2 2" xfId="53210"/>
    <cellStyle name="20% - Accent6 2 2 2 5 3 3" xfId="36163"/>
    <cellStyle name="20% - Accent6 2 2 2 5 4" xfId="11949"/>
    <cellStyle name="20% - Accent6 2 2 2 5 4 2" xfId="18577"/>
    <cellStyle name="20% - Accent6 2 2 2 5 4 2 2" xfId="47438"/>
    <cellStyle name="20% - Accent6 2 2 2 5 4 3" xfId="40810"/>
    <cellStyle name="20% - Accent6 2 2 2 5 5" xfId="15897"/>
    <cellStyle name="20% - Accent6 2 2 2 5 5 2" xfId="44758"/>
    <cellStyle name="20% - Accent6 2 2 2 5 6" xfId="30122"/>
    <cellStyle name="20% - Accent6 2 2 2 6" xfId="1466"/>
    <cellStyle name="20% - Accent6 2 2 2 6 2" xfId="4353"/>
    <cellStyle name="20% - Accent6 2 2 2 6 2 2" xfId="10394"/>
    <cellStyle name="20% - Accent6 2 2 2 6 2 2 2" xfId="27441"/>
    <cellStyle name="20% - Accent6 2 2 2 6 2 2 2 2" xfId="56302"/>
    <cellStyle name="20% - Accent6 2 2 2 6 2 2 3" xfId="39255"/>
    <cellStyle name="20% - Accent6 2 2 2 6 2 3" xfId="21463"/>
    <cellStyle name="20% - Accent6 2 2 2 6 2 3 2" xfId="50324"/>
    <cellStyle name="20% - Accent6 2 2 2 6 2 4" xfId="33214"/>
    <cellStyle name="20% - Accent6 2 2 2 6 3" xfId="7508"/>
    <cellStyle name="20% - Accent6 2 2 2 6 3 2" xfId="24555"/>
    <cellStyle name="20% - Accent6 2 2 2 6 3 2 2" xfId="53416"/>
    <cellStyle name="20% - Accent6 2 2 2 6 3 3" xfId="36369"/>
    <cellStyle name="20% - Accent6 2 2 2 6 4" xfId="14221"/>
    <cellStyle name="20% - Accent6 2 2 2 6 4 2" xfId="18783"/>
    <cellStyle name="20% - Accent6 2 2 2 6 4 2 2" xfId="47644"/>
    <cellStyle name="20% - Accent6 2 2 2 6 4 3" xfId="43082"/>
    <cellStyle name="20% - Accent6 2 2 2 6 5" xfId="16103"/>
    <cellStyle name="20% - Accent6 2 2 2 6 5 2" xfId="44964"/>
    <cellStyle name="20% - Accent6 2 2 2 6 6" xfId="30328"/>
    <cellStyle name="20% - Accent6 2 2 2 7" xfId="1672"/>
    <cellStyle name="20% - Accent6 2 2 2 7 2" xfId="4559"/>
    <cellStyle name="20% - Accent6 2 2 2 7 2 2" xfId="10600"/>
    <cellStyle name="20% - Accent6 2 2 2 7 2 2 2" xfId="27647"/>
    <cellStyle name="20% - Accent6 2 2 2 7 2 2 2 2" xfId="56508"/>
    <cellStyle name="20% - Accent6 2 2 2 7 2 2 3" xfId="39461"/>
    <cellStyle name="20% - Accent6 2 2 2 7 2 3" xfId="21669"/>
    <cellStyle name="20% - Accent6 2 2 2 7 2 3 2" xfId="50530"/>
    <cellStyle name="20% - Accent6 2 2 2 7 2 4" xfId="33420"/>
    <cellStyle name="20% - Accent6 2 2 2 7 3" xfId="7714"/>
    <cellStyle name="20% - Accent6 2 2 2 7 3 2" xfId="24761"/>
    <cellStyle name="20% - Accent6 2 2 2 7 3 2 2" xfId="53622"/>
    <cellStyle name="20% - Accent6 2 2 2 7 3 3" xfId="36575"/>
    <cellStyle name="20% - Accent6 2 2 2 7 4" xfId="12596"/>
    <cellStyle name="20% - Accent6 2 2 2 7 4 2" xfId="18989"/>
    <cellStyle name="20% - Accent6 2 2 2 7 4 2 2" xfId="47850"/>
    <cellStyle name="20% - Accent6 2 2 2 7 4 3" xfId="41457"/>
    <cellStyle name="20% - Accent6 2 2 2 7 5" xfId="16309"/>
    <cellStyle name="20% - Accent6 2 2 2 7 5 2" xfId="45170"/>
    <cellStyle name="20% - Accent6 2 2 2 7 6" xfId="30534"/>
    <cellStyle name="20% - Accent6 2 2 2 8" xfId="1878"/>
    <cellStyle name="20% - Accent6 2 2 2 8 2" xfId="4765"/>
    <cellStyle name="20% - Accent6 2 2 2 8 2 2" xfId="10806"/>
    <cellStyle name="20% - Accent6 2 2 2 8 2 2 2" xfId="27853"/>
    <cellStyle name="20% - Accent6 2 2 2 8 2 2 2 2" xfId="56714"/>
    <cellStyle name="20% - Accent6 2 2 2 8 2 2 3" xfId="39667"/>
    <cellStyle name="20% - Accent6 2 2 2 8 2 3" xfId="21875"/>
    <cellStyle name="20% - Accent6 2 2 2 8 2 3 2" xfId="50736"/>
    <cellStyle name="20% - Accent6 2 2 2 8 2 4" xfId="33626"/>
    <cellStyle name="20% - Accent6 2 2 2 8 3" xfId="7920"/>
    <cellStyle name="20% - Accent6 2 2 2 8 3 2" xfId="24967"/>
    <cellStyle name="20% - Accent6 2 2 2 8 3 2 2" xfId="53828"/>
    <cellStyle name="20% - Accent6 2 2 2 8 3 3" xfId="36781"/>
    <cellStyle name="20% - Accent6 2 2 2 8 4" xfId="13213"/>
    <cellStyle name="20% - Accent6 2 2 2 8 4 2" xfId="19195"/>
    <cellStyle name="20% - Accent6 2 2 2 8 4 2 2" xfId="48056"/>
    <cellStyle name="20% - Accent6 2 2 2 8 4 3" xfId="42074"/>
    <cellStyle name="20% - Accent6 2 2 2 8 5" xfId="16515"/>
    <cellStyle name="20% - Accent6 2 2 2 8 5 2" xfId="45376"/>
    <cellStyle name="20% - Accent6 2 2 2 8 6" xfId="30740"/>
    <cellStyle name="20% - Accent6 2 2 2 9" xfId="2084"/>
    <cellStyle name="20% - Accent6 2 2 2 9 2" xfId="4971"/>
    <cellStyle name="20% - Accent6 2 2 2 9 2 2" xfId="11012"/>
    <cellStyle name="20% - Accent6 2 2 2 9 2 2 2" xfId="28059"/>
    <cellStyle name="20% - Accent6 2 2 2 9 2 2 2 2" xfId="56920"/>
    <cellStyle name="20% - Accent6 2 2 2 9 2 2 3" xfId="39873"/>
    <cellStyle name="20% - Accent6 2 2 2 9 2 3" xfId="22081"/>
    <cellStyle name="20% - Accent6 2 2 2 9 2 3 2" xfId="50942"/>
    <cellStyle name="20% - Accent6 2 2 2 9 2 4" xfId="33832"/>
    <cellStyle name="20% - Accent6 2 2 2 9 3" xfId="8126"/>
    <cellStyle name="20% - Accent6 2 2 2 9 3 2" xfId="25173"/>
    <cellStyle name="20% - Accent6 2 2 2 9 3 2 2" xfId="54034"/>
    <cellStyle name="20% - Accent6 2 2 2 9 3 3" xfId="36987"/>
    <cellStyle name="20% - Accent6 2 2 2 9 4" xfId="13897"/>
    <cellStyle name="20% - Accent6 2 2 2 9 4 2" xfId="19401"/>
    <cellStyle name="20% - Accent6 2 2 2 9 4 2 2" xfId="48262"/>
    <cellStyle name="20% - Accent6 2 2 2 9 4 3" xfId="42758"/>
    <cellStyle name="20% - Accent6 2 2 2 9 5" xfId="16721"/>
    <cellStyle name="20% - Accent6 2 2 2 9 5 2" xfId="45582"/>
    <cellStyle name="20% - Accent6 2 2 2 9 6" xfId="30946"/>
    <cellStyle name="20% - Accent6 2 2 20" xfId="28989"/>
    <cellStyle name="20% - Accent6 2 2 3" xfId="230"/>
    <cellStyle name="20% - Accent6 2 2 3 2" xfId="642"/>
    <cellStyle name="20% - Accent6 2 2 3 2 2" xfId="3529"/>
    <cellStyle name="20% - Accent6 2 2 3 2 2 2" xfId="9570"/>
    <cellStyle name="20% - Accent6 2 2 3 2 2 2 2" xfId="26617"/>
    <cellStyle name="20% - Accent6 2 2 3 2 2 2 2 2" xfId="55478"/>
    <cellStyle name="20% - Accent6 2 2 3 2 2 2 3" xfId="38431"/>
    <cellStyle name="20% - Accent6 2 2 3 2 2 3" xfId="20639"/>
    <cellStyle name="20% - Accent6 2 2 3 2 2 3 2" xfId="49500"/>
    <cellStyle name="20% - Accent6 2 2 3 2 2 4" xfId="32390"/>
    <cellStyle name="20% - Accent6 2 2 3 2 3" xfId="6684"/>
    <cellStyle name="20% - Accent6 2 2 3 2 3 2" xfId="23731"/>
    <cellStyle name="20% - Accent6 2 2 3 2 3 2 2" xfId="52592"/>
    <cellStyle name="20% - Accent6 2 2 3 2 3 3" xfId="35545"/>
    <cellStyle name="20% - Accent6 2 2 3 2 4" xfId="14213"/>
    <cellStyle name="20% - Accent6 2 2 3 2 4 2" xfId="17959"/>
    <cellStyle name="20% - Accent6 2 2 3 2 4 2 2" xfId="46820"/>
    <cellStyle name="20% - Accent6 2 2 3 2 4 3" xfId="43074"/>
    <cellStyle name="20% - Accent6 2 2 3 2 5" xfId="15279"/>
    <cellStyle name="20% - Accent6 2 2 3 2 5 2" xfId="44140"/>
    <cellStyle name="20% - Accent6 2 2 3 2 6" xfId="29504"/>
    <cellStyle name="20% - Accent6 2 2 3 3" xfId="2187"/>
    <cellStyle name="20% - Accent6 2 2 3 3 2" xfId="5074"/>
    <cellStyle name="20% - Accent6 2 2 3 3 2 2" xfId="11115"/>
    <cellStyle name="20% - Accent6 2 2 3 3 2 2 2" xfId="28162"/>
    <cellStyle name="20% - Accent6 2 2 3 3 2 2 2 2" xfId="57023"/>
    <cellStyle name="20% - Accent6 2 2 3 3 2 2 3" xfId="39976"/>
    <cellStyle name="20% - Accent6 2 2 3 3 2 3" xfId="22184"/>
    <cellStyle name="20% - Accent6 2 2 3 3 2 3 2" xfId="51045"/>
    <cellStyle name="20% - Accent6 2 2 3 3 2 4" xfId="33935"/>
    <cellStyle name="20% - Accent6 2 2 3 3 3" xfId="8229"/>
    <cellStyle name="20% - Accent6 2 2 3 3 3 2" xfId="25276"/>
    <cellStyle name="20% - Accent6 2 2 3 3 3 2 2" xfId="54137"/>
    <cellStyle name="20% - Accent6 2 2 3 3 3 3" xfId="37090"/>
    <cellStyle name="20% - Accent6 2 2 3 3 4" xfId="14313"/>
    <cellStyle name="20% - Accent6 2 2 3 3 4 2" xfId="19504"/>
    <cellStyle name="20% - Accent6 2 2 3 3 4 2 2" xfId="48365"/>
    <cellStyle name="20% - Accent6 2 2 3 3 4 3" xfId="43174"/>
    <cellStyle name="20% - Accent6 2 2 3 3 5" xfId="16824"/>
    <cellStyle name="20% - Accent6 2 2 3 3 5 2" xfId="45685"/>
    <cellStyle name="20% - Accent6 2 2 3 3 6" xfId="31049"/>
    <cellStyle name="20% - Accent6 2 2 3 4" xfId="3117"/>
    <cellStyle name="20% - Accent6 2 2 3 4 2" xfId="9158"/>
    <cellStyle name="20% - Accent6 2 2 3 4 2 2" xfId="26205"/>
    <cellStyle name="20% - Accent6 2 2 3 4 2 2 2" xfId="55066"/>
    <cellStyle name="20% - Accent6 2 2 3 4 2 3" xfId="38019"/>
    <cellStyle name="20% - Accent6 2 2 3 4 3" xfId="20227"/>
    <cellStyle name="20% - Accent6 2 2 3 4 3 2" xfId="49088"/>
    <cellStyle name="20% - Accent6 2 2 3 4 4" xfId="31978"/>
    <cellStyle name="20% - Accent6 2 2 3 5" xfId="6272"/>
    <cellStyle name="20% - Accent6 2 2 3 5 2" xfId="23319"/>
    <cellStyle name="20% - Accent6 2 2 3 5 2 2" xfId="52180"/>
    <cellStyle name="20% - Accent6 2 2 3 5 3" xfId="35133"/>
    <cellStyle name="20% - Accent6 2 2 3 6" xfId="13066"/>
    <cellStyle name="20% - Accent6 2 2 3 6 2" xfId="17650"/>
    <cellStyle name="20% - Accent6 2 2 3 6 2 2" xfId="46511"/>
    <cellStyle name="20% - Accent6 2 2 3 6 3" xfId="41927"/>
    <cellStyle name="20% - Accent6 2 2 3 7" xfId="14867"/>
    <cellStyle name="20% - Accent6 2 2 3 7 2" xfId="43728"/>
    <cellStyle name="20% - Accent6 2 2 3 8" xfId="29092"/>
    <cellStyle name="20% - Accent6 2 2 4" xfId="436"/>
    <cellStyle name="20% - Accent6 2 2 4 2" xfId="3323"/>
    <cellStyle name="20% - Accent6 2 2 4 2 2" xfId="9364"/>
    <cellStyle name="20% - Accent6 2 2 4 2 2 2" xfId="26411"/>
    <cellStyle name="20% - Accent6 2 2 4 2 2 2 2" xfId="55272"/>
    <cellStyle name="20% - Accent6 2 2 4 2 2 3" xfId="38225"/>
    <cellStyle name="20% - Accent6 2 2 4 2 3" xfId="20433"/>
    <cellStyle name="20% - Accent6 2 2 4 2 3 2" xfId="49294"/>
    <cellStyle name="20% - Accent6 2 2 4 2 4" xfId="32184"/>
    <cellStyle name="20% - Accent6 2 2 4 3" xfId="6478"/>
    <cellStyle name="20% - Accent6 2 2 4 3 2" xfId="23525"/>
    <cellStyle name="20% - Accent6 2 2 4 3 2 2" xfId="52386"/>
    <cellStyle name="20% - Accent6 2 2 4 3 3" xfId="35339"/>
    <cellStyle name="20% - Accent6 2 2 4 4" xfId="12275"/>
    <cellStyle name="20% - Accent6 2 2 4 4 2" xfId="17753"/>
    <cellStyle name="20% - Accent6 2 2 4 4 2 2" xfId="46614"/>
    <cellStyle name="20% - Accent6 2 2 4 4 3" xfId="41136"/>
    <cellStyle name="20% - Accent6 2 2 4 5" xfId="15073"/>
    <cellStyle name="20% - Accent6 2 2 4 5 2" xfId="43934"/>
    <cellStyle name="20% - Accent6 2 2 4 6" xfId="29298"/>
    <cellStyle name="20% - Accent6 2 2 5" xfId="745"/>
    <cellStyle name="20% - Accent6 2 2 5 2" xfId="3632"/>
    <cellStyle name="20% - Accent6 2 2 5 2 2" xfId="9673"/>
    <cellStyle name="20% - Accent6 2 2 5 2 2 2" xfId="26720"/>
    <cellStyle name="20% - Accent6 2 2 5 2 2 2 2" xfId="55581"/>
    <cellStyle name="20% - Accent6 2 2 5 2 2 3" xfId="38534"/>
    <cellStyle name="20% - Accent6 2 2 5 2 3" xfId="20742"/>
    <cellStyle name="20% - Accent6 2 2 5 2 3 2" xfId="49603"/>
    <cellStyle name="20% - Accent6 2 2 5 2 4" xfId="32493"/>
    <cellStyle name="20% - Accent6 2 2 5 3" xfId="6787"/>
    <cellStyle name="20% - Accent6 2 2 5 3 2" xfId="23834"/>
    <cellStyle name="20% - Accent6 2 2 5 3 2 2" xfId="52695"/>
    <cellStyle name="20% - Accent6 2 2 5 3 3" xfId="35648"/>
    <cellStyle name="20% - Accent6 2 2 5 4" xfId="13371"/>
    <cellStyle name="20% - Accent6 2 2 5 4 2" xfId="18062"/>
    <cellStyle name="20% - Accent6 2 2 5 4 2 2" xfId="46923"/>
    <cellStyle name="20% - Accent6 2 2 5 4 3" xfId="42232"/>
    <cellStyle name="20% - Accent6 2 2 5 5" xfId="15382"/>
    <cellStyle name="20% - Accent6 2 2 5 5 2" xfId="44243"/>
    <cellStyle name="20% - Accent6 2 2 5 6" xfId="29607"/>
    <cellStyle name="20% - Accent6 2 2 6" xfId="951"/>
    <cellStyle name="20% - Accent6 2 2 6 2" xfId="3838"/>
    <cellStyle name="20% - Accent6 2 2 6 2 2" xfId="9879"/>
    <cellStyle name="20% - Accent6 2 2 6 2 2 2" xfId="26926"/>
    <cellStyle name="20% - Accent6 2 2 6 2 2 2 2" xfId="55787"/>
    <cellStyle name="20% - Accent6 2 2 6 2 2 3" xfId="38740"/>
    <cellStyle name="20% - Accent6 2 2 6 2 3" xfId="20948"/>
    <cellStyle name="20% - Accent6 2 2 6 2 3 2" xfId="49809"/>
    <cellStyle name="20% - Accent6 2 2 6 2 4" xfId="32699"/>
    <cellStyle name="20% - Accent6 2 2 6 3" xfId="6993"/>
    <cellStyle name="20% - Accent6 2 2 6 3 2" xfId="24040"/>
    <cellStyle name="20% - Accent6 2 2 6 3 2 2" xfId="52901"/>
    <cellStyle name="20% - Accent6 2 2 6 3 3" xfId="35854"/>
    <cellStyle name="20% - Accent6 2 2 6 4" xfId="13245"/>
    <cellStyle name="20% - Accent6 2 2 6 4 2" xfId="18268"/>
    <cellStyle name="20% - Accent6 2 2 6 4 2 2" xfId="47129"/>
    <cellStyle name="20% - Accent6 2 2 6 4 3" xfId="42106"/>
    <cellStyle name="20% - Accent6 2 2 6 5" xfId="15588"/>
    <cellStyle name="20% - Accent6 2 2 6 5 2" xfId="44449"/>
    <cellStyle name="20% - Accent6 2 2 6 6" xfId="29813"/>
    <cellStyle name="20% - Accent6 2 2 7" xfId="1157"/>
    <cellStyle name="20% - Accent6 2 2 7 2" xfId="4044"/>
    <cellStyle name="20% - Accent6 2 2 7 2 2" xfId="10085"/>
    <cellStyle name="20% - Accent6 2 2 7 2 2 2" xfId="27132"/>
    <cellStyle name="20% - Accent6 2 2 7 2 2 2 2" xfId="55993"/>
    <cellStyle name="20% - Accent6 2 2 7 2 2 3" xfId="38946"/>
    <cellStyle name="20% - Accent6 2 2 7 2 3" xfId="21154"/>
    <cellStyle name="20% - Accent6 2 2 7 2 3 2" xfId="50015"/>
    <cellStyle name="20% - Accent6 2 2 7 2 4" xfId="32905"/>
    <cellStyle name="20% - Accent6 2 2 7 3" xfId="7199"/>
    <cellStyle name="20% - Accent6 2 2 7 3 2" xfId="24246"/>
    <cellStyle name="20% - Accent6 2 2 7 3 2 2" xfId="53107"/>
    <cellStyle name="20% - Accent6 2 2 7 3 3" xfId="36060"/>
    <cellStyle name="20% - Accent6 2 2 7 4" xfId="12170"/>
    <cellStyle name="20% - Accent6 2 2 7 4 2" xfId="18474"/>
    <cellStyle name="20% - Accent6 2 2 7 4 2 2" xfId="47335"/>
    <cellStyle name="20% - Accent6 2 2 7 4 3" xfId="41031"/>
    <cellStyle name="20% - Accent6 2 2 7 5" xfId="15794"/>
    <cellStyle name="20% - Accent6 2 2 7 5 2" xfId="44655"/>
    <cellStyle name="20% - Accent6 2 2 7 6" xfId="30019"/>
    <cellStyle name="20% - Accent6 2 2 8" xfId="1363"/>
    <cellStyle name="20% - Accent6 2 2 8 2" xfId="4250"/>
    <cellStyle name="20% - Accent6 2 2 8 2 2" xfId="10291"/>
    <cellStyle name="20% - Accent6 2 2 8 2 2 2" xfId="27338"/>
    <cellStyle name="20% - Accent6 2 2 8 2 2 2 2" xfId="56199"/>
    <cellStyle name="20% - Accent6 2 2 8 2 2 3" xfId="39152"/>
    <cellStyle name="20% - Accent6 2 2 8 2 3" xfId="21360"/>
    <cellStyle name="20% - Accent6 2 2 8 2 3 2" xfId="50221"/>
    <cellStyle name="20% - Accent6 2 2 8 2 4" xfId="33111"/>
    <cellStyle name="20% - Accent6 2 2 8 3" xfId="7405"/>
    <cellStyle name="20% - Accent6 2 2 8 3 2" xfId="24452"/>
    <cellStyle name="20% - Accent6 2 2 8 3 2 2" xfId="53313"/>
    <cellStyle name="20% - Accent6 2 2 8 3 3" xfId="36266"/>
    <cellStyle name="20% - Accent6 2 2 8 4" xfId="13400"/>
    <cellStyle name="20% - Accent6 2 2 8 4 2" xfId="18680"/>
    <cellStyle name="20% - Accent6 2 2 8 4 2 2" xfId="47541"/>
    <cellStyle name="20% - Accent6 2 2 8 4 3" xfId="42261"/>
    <cellStyle name="20% - Accent6 2 2 8 5" xfId="16000"/>
    <cellStyle name="20% - Accent6 2 2 8 5 2" xfId="44861"/>
    <cellStyle name="20% - Accent6 2 2 8 6" xfId="30225"/>
    <cellStyle name="20% - Accent6 2 2 9" xfId="1569"/>
    <cellStyle name="20% - Accent6 2 2 9 2" xfId="4456"/>
    <cellStyle name="20% - Accent6 2 2 9 2 2" xfId="10497"/>
    <cellStyle name="20% - Accent6 2 2 9 2 2 2" xfId="27544"/>
    <cellStyle name="20% - Accent6 2 2 9 2 2 2 2" xfId="56405"/>
    <cellStyle name="20% - Accent6 2 2 9 2 2 3" xfId="39358"/>
    <cellStyle name="20% - Accent6 2 2 9 2 3" xfId="21566"/>
    <cellStyle name="20% - Accent6 2 2 9 2 3 2" xfId="50427"/>
    <cellStyle name="20% - Accent6 2 2 9 2 4" xfId="33317"/>
    <cellStyle name="20% - Accent6 2 2 9 3" xfId="7611"/>
    <cellStyle name="20% - Accent6 2 2 9 3 2" xfId="24658"/>
    <cellStyle name="20% - Accent6 2 2 9 3 2 2" xfId="53519"/>
    <cellStyle name="20% - Accent6 2 2 9 3 3" xfId="36472"/>
    <cellStyle name="20% - Accent6 2 2 9 4" xfId="12060"/>
    <cellStyle name="20% - Accent6 2 2 9 4 2" xfId="18886"/>
    <cellStyle name="20% - Accent6 2 2 9 4 2 2" xfId="47747"/>
    <cellStyle name="20% - Accent6 2 2 9 4 3" xfId="40921"/>
    <cellStyle name="20% - Accent6 2 2 9 5" xfId="16206"/>
    <cellStyle name="20% - Accent6 2 2 9 5 2" xfId="45067"/>
    <cellStyle name="20% - Accent6 2 2 9 6" xfId="30431"/>
    <cellStyle name="20% - Accent6 2 20" xfId="6143"/>
    <cellStyle name="20% - Accent6 2 20 2" xfId="23190"/>
    <cellStyle name="20% - Accent6 2 20 2 2" xfId="52051"/>
    <cellStyle name="20% - Accent6 2 20 3" xfId="35004"/>
    <cellStyle name="20% - Accent6 2 21" xfId="14532"/>
    <cellStyle name="20% - Accent6 2 21 2" xfId="43393"/>
    <cellStyle name="20% - Accent6 2 22" xfId="28963"/>
    <cellStyle name="20% - Accent6 2 3" xfId="153"/>
    <cellStyle name="20% - Accent6 2 3 10" xfId="1801"/>
    <cellStyle name="20% - Accent6 2 3 10 2" xfId="4688"/>
    <cellStyle name="20% - Accent6 2 3 10 2 2" xfId="10729"/>
    <cellStyle name="20% - Accent6 2 3 10 2 2 2" xfId="27776"/>
    <cellStyle name="20% - Accent6 2 3 10 2 2 2 2" xfId="56637"/>
    <cellStyle name="20% - Accent6 2 3 10 2 2 3" xfId="39590"/>
    <cellStyle name="20% - Accent6 2 3 10 2 3" xfId="21798"/>
    <cellStyle name="20% - Accent6 2 3 10 2 3 2" xfId="50659"/>
    <cellStyle name="20% - Accent6 2 3 10 2 4" xfId="33549"/>
    <cellStyle name="20% - Accent6 2 3 10 3" xfId="7843"/>
    <cellStyle name="20% - Accent6 2 3 10 3 2" xfId="24890"/>
    <cellStyle name="20% - Accent6 2 3 10 3 2 2" xfId="53751"/>
    <cellStyle name="20% - Accent6 2 3 10 3 3" xfId="36704"/>
    <cellStyle name="20% - Accent6 2 3 10 4" xfId="14019"/>
    <cellStyle name="20% - Accent6 2 3 10 4 2" xfId="19118"/>
    <cellStyle name="20% - Accent6 2 3 10 4 2 2" xfId="47979"/>
    <cellStyle name="20% - Accent6 2 3 10 4 3" xfId="42880"/>
    <cellStyle name="20% - Accent6 2 3 10 5" xfId="16438"/>
    <cellStyle name="20% - Accent6 2 3 10 5 2" xfId="45299"/>
    <cellStyle name="20% - Accent6 2 3 10 6" xfId="30663"/>
    <cellStyle name="20% - Accent6 2 3 11" xfId="2007"/>
    <cellStyle name="20% - Accent6 2 3 11 2" xfId="4894"/>
    <cellStyle name="20% - Accent6 2 3 11 2 2" xfId="10935"/>
    <cellStyle name="20% - Accent6 2 3 11 2 2 2" xfId="27982"/>
    <cellStyle name="20% - Accent6 2 3 11 2 2 2 2" xfId="56843"/>
    <cellStyle name="20% - Accent6 2 3 11 2 2 3" xfId="39796"/>
    <cellStyle name="20% - Accent6 2 3 11 2 3" xfId="22004"/>
    <cellStyle name="20% - Accent6 2 3 11 2 3 2" xfId="50865"/>
    <cellStyle name="20% - Accent6 2 3 11 2 4" xfId="33755"/>
    <cellStyle name="20% - Accent6 2 3 11 3" xfId="8049"/>
    <cellStyle name="20% - Accent6 2 3 11 3 2" xfId="25096"/>
    <cellStyle name="20% - Accent6 2 3 11 3 2 2" xfId="53957"/>
    <cellStyle name="20% - Accent6 2 3 11 3 3" xfId="36910"/>
    <cellStyle name="20% - Accent6 2 3 11 4" xfId="13395"/>
    <cellStyle name="20% - Accent6 2 3 11 4 2" xfId="19324"/>
    <cellStyle name="20% - Accent6 2 3 11 4 2 2" xfId="48185"/>
    <cellStyle name="20% - Accent6 2 3 11 4 3" xfId="42256"/>
    <cellStyle name="20% - Accent6 2 3 11 5" xfId="16644"/>
    <cellStyle name="20% - Accent6 2 3 11 5 2" xfId="45505"/>
    <cellStyle name="20% - Accent6 2 3 11 6" xfId="30869"/>
    <cellStyle name="20% - Accent6 2 3 12" xfId="2419"/>
    <cellStyle name="20% - Accent6 2 3 12 2" xfId="5306"/>
    <cellStyle name="20% - Accent6 2 3 12 2 2" xfId="11347"/>
    <cellStyle name="20% - Accent6 2 3 12 2 2 2" xfId="28394"/>
    <cellStyle name="20% - Accent6 2 3 12 2 2 2 2" xfId="57255"/>
    <cellStyle name="20% - Accent6 2 3 12 2 2 3" xfId="40208"/>
    <cellStyle name="20% - Accent6 2 3 12 2 3" xfId="22416"/>
    <cellStyle name="20% - Accent6 2 3 12 2 3 2" xfId="51277"/>
    <cellStyle name="20% - Accent6 2 3 12 2 4" xfId="34167"/>
    <cellStyle name="20% - Accent6 2 3 12 3" xfId="8461"/>
    <cellStyle name="20% - Accent6 2 3 12 3 2" xfId="25508"/>
    <cellStyle name="20% - Accent6 2 3 12 3 2 2" xfId="54369"/>
    <cellStyle name="20% - Accent6 2 3 12 3 3" xfId="37322"/>
    <cellStyle name="20% - Accent6 2 3 12 4" xfId="13537"/>
    <cellStyle name="20% - Accent6 2 3 12 4 2" xfId="19736"/>
    <cellStyle name="20% - Accent6 2 3 12 4 2 2" xfId="48597"/>
    <cellStyle name="20% - Accent6 2 3 12 4 3" xfId="42398"/>
    <cellStyle name="20% - Accent6 2 3 12 5" xfId="17056"/>
    <cellStyle name="20% - Accent6 2 3 12 5 2" xfId="45917"/>
    <cellStyle name="20% - Accent6 2 3 12 6" xfId="31281"/>
    <cellStyle name="20% - Accent6 2 3 13" xfId="2628"/>
    <cellStyle name="20% - Accent6 2 3 13 2" xfId="5514"/>
    <cellStyle name="20% - Accent6 2 3 13 2 2" xfId="11555"/>
    <cellStyle name="20% - Accent6 2 3 13 2 2 2" xfId="28602"/>
    <cellStyle name="20% - Accent6 2 3 13 2 2 2 2" xfId="57463"/>
    <cellStyle name="20% - Accent6 2 3 13 2 2 3" xfId="40416"/>
    <cellStyle name="20% - Accent6 2 3 13 2 3" xfId="22624"/>
    <cellStyle name="20% - Accent6 2 3 13 2 3 2" xfId="51485"/>
    <cellStyle name="20% - Accent6 2 3 13 2 4" xfId="34375"/>
    <cellStyle name="20% - Accent6 2 3 13 3" xfId="8669"/>
    <cellStyle name="20% - Accent6 2 3 13 3 2" xfId="25716"/>
    <cellStyle name="20% - Accent6 2 3 13 3 2 2" xfId="54577"/>
    <cellStyle name="20% - Accent6 2 3 13 3 3" xfId="37530"/>
    <cellStyle name="20% - Accent6 2 3 13 4" xfId="13129"/>
    <cellStyle name="20% - Accent6 2 3 13 4 2" xfId="19944"/>
    <cellStyle name="20% - Accent6 2 3 13 4 2 2" xfId="48805"/>
    <cellStyle name="20% - Accent6 2 3 13 4 3" xfId="41990"/>
    <cellStyle name="20% - Accent6 2 3 13 5" xfId="17264"/>
    <cellStyle name="20% - Accent6 2 3 13 5 2" xfId="46125"/>
    <cellStyle name="20% - Accent6 2 3 13 6" xfId="31489"/>
    <cellStyle name="20% - Accent6 2 3 14" xfId="3040"/>
    <cellStyle name="20% - Accent6 2 3 14 2" xfId="9081"/>
    <cellStyle name="20% - Accent6 2 3 14 2 2" xfId="26128"/>
    <cellStyle name="20% - Accent6 2 3 14 2 2 2" xfId="54989"/>
    <cellStyle name="20% - Accent6 2 3 14 2 3" xfId="37942"/>
    <cellStyle name="20% - Accent6 2 3 14 3" xfId="14218"/>
    <cellStyle name="20% - Accent6 2 3 14 3 2" xfId="20150"/>
    <cellStyle name="20% - Accent6 2 3 14 3 2 2" xfId="49011"/>
    <cellStyle name="20% - Accent6 2 3 14 3 3" xfId="43079"/>
    <cellStyle name="20% - Accent6 2 3 14 4" xfId="14790"/>
    <cellStyle name="20% - Accent6 2 3 14 4 2" xfId="43651"/>
    <cellStyle name="20% - Accent6 2 3 14 5" xfId="31901"/>
    <cellStyle name="20% - Accent6 2 3 15" xfId="2834"/>
    <cellStyle name="20% - Accent6 2 3 15 2" xfId="8875"/>
    <cellStyle name="20% - Accent6 2 3 15 2 2" xfId="25922"/>
    <cellStyle name="20% - Accent6 2 3 15 2 2 2" xfId="54783"/>
    <cellStyle name="20% - Accent6 2 3 15 2 3" xfId="37736"/>
    <cellStyle name="20% - Accent6 2 3 15 3" xfId="17470"/>
    <cellStyle name="20% - Accent6 2 3 15 3 2" xfId="46331"/>
    <cellStyle name="20% - Accent6 2 3 15 4" xfId="31695"/>
    <cellStyle name="20% - Accent6 2 3 16" xfId="5720"/>
    <cellStyle name="20% - Accent6 2 3 16 2" xfId="11761"/>
    <cellStyle name="20% - Accent6 2 3 16 2 2" xfId="28808"/>
    <cellStyle name="20% - Accent6 2 3 16 2 2 2" xfId="57669"/>
    <cellStyle name="20% - Accent6 2 3 16 2 3" xfId="40622"/>
    <cellStyle name="20% - Accent6 2 3 16 3" xfId="22830"/>
    <cellStyle name="20% - Accent6 2 3 16 3 2" xfId="51691"/>
    <cellStyle name="20% - Accent6 2 3 16 4" xfId="34581"/>
    <cellStyle name="20% - Accent6 2 3 17" xfId="5937"/>
    <cellStyle name="20% - Accent6 2 3 17 2" xfId="23036"/>
    <cellStyle name="20% - Accent6 2 3 17 2 2" xfId="51897"/>
    <cellStyle name="20% - Accent6 2 3 17 3" xfId="34798"/>
    <cellStyle name="20% - Accent6 2 3 18" xfId="6195"/>
    <cellStyle name="20% - Accent6 2 3 18 2" xfId="23242"/>
    <cellStyle name="20% - Accent6 2 3 18 2 2" xfId="52103"/>
    <cellStyle name="20% - Accent6 2 3 18 3" xfId="35056"/>
    <cellStyle name="20% - Accent6 2 3 19" xfId="14584"/>
    <cellStyle name="20% - Accent6 2 3 19 2" xfId="43445"/>
    <cellStyle name="20% - Accent6 2 3 2" xfId="359"/>
    <cellStyle name="20% - Accent6 2 3 2 10" xfId="2522"/>
    <cellStyle name="20% - Accent6 2 3 2 10 2" xfId="5409"/>
    <cellStyle name="20% - Accent6 2 3 2 10 2 2" xfId="11450"/>
    <cellStyle name="20% - Accent6 2 3 2 10 2 2 2" xfId="28497"/>
    <cellStyle name="20% - Accent6 2 3 2 10 2 2 2 2" xfId="57358"/>
    <cellStyle name="20% - Accent6 2 3 2 10 2 2 3" xfId="40311"/>
    <cellStyle name="20% - Accent6 2 3 2 10 2 3" xfId="22519"/>
    <cellStyle name="20% - Accent6 2 3 2 10 2 3 2" xfId="51380"/>
    <cellStyle name="20% - Accent6 2 3 2 10 2 4" xfId="34270"/>
    <cellStyle name="20% - Accent6 2 3 2 10 3" xfId="8564"/>
    <cellStyle name="20% - Accent6 2 3 2 10 3 2" xfId="25611"/>
    <cellStyle name="20% - Accent6 2 3 2 10 3 2 2" xfId="54472"/>
    <cellStyle name="20% - Accent6 2 3 2 10 3 3" xfId="37425"/>
    <cellStyle name="20% - Accent6 2 3 2 10 4" xfId="14366"/>
    <cellStyle name="20% - Accent6 2 3 2 10 4 2" xfId="19839"/>
    <cellStyle name="20% - Accent6 2 3 2 10 4 2 2" xfId="48700"/>
    <cellStyle name="20% - Accent6 2 3 2 10 4 3" xfId="43227"/>
    <cellStyle name="20% - Accent6 2 3 2 10 5" xfId="17159"/>
    <cellStyle name="20% - Accent6 2 3 2 10 5 2" xfId="46020"/>
    <cellStyle name="20% - Accent6 2 3 2 10 6" xfId="31384"/>
    <cellStyle name="20% - Accent6 2 3 2 11" xfId="2731"/>
    <cellStyle name="20% - Accent6 2 3 2 11 2" xfId="5617"/>
    <cellStyle name="20% - Accent6 2 3 2 11 2 2" xfId="11658"/>
    <cellStyle name="20% - Accent6 2 3 2 11 2 2 2" xfId="28705"/>
    <cellStyle name="20% - Accent6 2 3 2 11 2 2 2 2" xfId="57566"/>
    <cellStyle name="20% - Accent6 2 3 2 11 2 2 3" xfId="40519"/>
    <cellStyle name="20% - Accent6 2 3 2 11 2 3" xfId="22727"/>
    <cellStyle name="20% - Accent6 2 3 2 11 2 3 2" xfId="51588"/>
    <cellStyle name="20% - Accent6 2 3 2 11 2 4" xfId="34478"/>
    <cellStyle name="20% - Accent6 2 3 2 11 3" xfId="8772"/>
    <cellStyle name="20% - Accent6 2 3 2 11 3 2" xfId="25819"/>
    <cellStyle name="20% - Accent6 2 3 2 11 3 2 2" xfId="54680"/>
    <cellStyle name="20% - Accent6 2 3 2 11 3 3" xfId="37633"/>
    <cellStyle name="20% - Accent6 2 3 2 11 4" xfId="13796"/>
    <cellStyle name="20% - Accent6 2 3 2 11 4 2" xfId="20047"/>
    <cellStyle name="20% - Accent6 2 3 2 11 4 2 2" xfId="48908"/>
    <cellStyle name="20% - Accent6 2 3 2 11 4 3" xfId="42657"/>
    <cellStyle name="20% - Accent6 2 3 2 11 5" xfId="17367"/>
    <cellStyle name="20% - Accent6 2 3 2 11 5 2" xfId="46228"/>
    <cellStyle name="20% - Accent6 2 3 2 11 6" xfId="31592"/>
    <cellStyle name="20% - Accent6 2 3 2 12" xfId="3246"/>
    <cellStyle name="20% - Accent6 2 3 2 12 2" xfId="9287"/>
    <cellStyle name="20% - Accent6 2 3 2 12 2 2" xfId="26334"/>
    <cellStyle name="20% - Accent6 2 3 2 12 2 2 2" xfId="55195"/>
    <cellStyle name="20% - Accent6 2 3 2 12 2 3" xfId="38148"/>
    <cellStyle name="20% - Accent6 2 3 2 12 3" xfId="13791"/>
    <cellStyle name="20% - Accent6 2 3 2 12 3 2" xfId="20356"/>
    <cellStyle name="20% - Accent6 2 3 2 12 3 2 2" xfId="49217"/>
    <cellStyle name="20% - Accent6 2 3 2 12 3 3" xfId="42652"/>
    <cellStyle name="20% - Accent6 2 3 2 12 4" xfId="14996"/>
    <cellStyle name="20% - Accent6 2 3 2 12 4 2" xfId="43857"/>
    <cellStyle name="20% - Accent6 2 3 2 12 5" xfId="32107"/>
    <cellStyle name="20% - Accent6 2 3 2 13" xfId="2937"/>
    <cellStyle name="20% - Accent6 2 3 2 13 2" xfId="8978"/>
    <cellStyle name="20% - Accent6 2 3 2 13 2 2" xfId="26025"/>
    <cellStyle name="20% - Accent6 2 3 2 13 2 2 2" xfId="54886"/>
    <cellStyle name="20% - Accent6 2 3 2 13 2 3" xfId="37839"/>
    <cellStyle name="20% - Accent6 2 3 2 13 3" xfId="17573"/>
    <cellStyle name="20% - Accent6 2 3 2 13 3 2" xfId="46434"/>
    <cellStyle name="20% - Accent6 2 3 2 13 4" xfId="31798"/>
    <cellStyle name="20% - Accent6 2 3 2 14" xfId="5823"/>
    <cellStyle name="20% - Accent6 2 3 2 14 2" xfId="11864"/>
    <cellStyle name="20% - Accent6 2 3 2 14 2 2" xfId="28911"/>
    <cellStyle name="20% - Accent6 2 3 2 14 2 2 2" xfId="57772"/>
    <cellStyle name="20% - Accent6 2 3 2 14 2 3" xfId="40725"/>
    <cellStyle name="20% - Accent6 2 3 2 14 3" xfId="22933"/>
    <cellStyle name="20% - Accent6 2 3 2 14 3 2" xfId="51794"/>
    <cellStyle name="20% - Accent6 2 3 2 14 4" xfId="34684"/>
    <cellStyle name="20% - Accent6 2 3 2 15" xfId="6040"/>
    <cellStyle name="20% - Accent6 2 3 2 15 2" xfId="23139"/>
    <cellStyle name="20% - Accent6 2 3 2 15 2 2" xfId="52000"/>
    <cellStyle name="20% - Accent6 2 3 2 15 3" xfId="34901"/>
    <cellStyle name="20% - Accent6 2 3 2 16" xfId="6401"/>
    <cellStyle name="20% - Accent6 2 3 2 16 2" xfId="23448"/>
    <cellStyle name="20% - Accent6 2 3 2 16 2 2" xfId="52309"/>
    <cellStyle name="20% - Accent6 2 3 2 16 3" xfId="35262"/>
    <cellStyle name="20% - Accent6 2 3 2 17" xfId="14687"/>
    <cellStyle name="20% - Accent6 2 3 2 17 2" xfId="43548"/>
    <cellStyle name="20% - Accent6 2 3 2 18" xfId="29221"/>
    <cellStyle name="20% - Accent6 2 3 2 2" xfId="565"/>
    <cellStyle name="20% - Accent6 2 3 2 2 2" xfId="2316"/>
    <cellStyle name="20% - Accent6 2 3 2 2 2 2" xfId="5203"/>
    <cellStyle name="20% - Accent6 2 3 2 2 2 2 2" xfId="11244"/>
    <cellStyle name="20% - Accent6 2 3 2 2 2 2 2 2" xfId="28291"/>
    <cellStyle name="20% - Accent6 2 3 2 2 2 2 2 2 2" xfId="57152"/>
    <cellStyle name="20% - Accent6 2 3 2 2 2 2 2 3" xfId="40105"/>
    <cellStyle name="20% - Accent6 2 3 2 2 2 2 3" xfId="22313"/>
    <cellStyle name="20% - Accent6 2 3 2 2 2 2 3 2" xfId="51174"/>
    <cellStyle name="20% - Accent6 2 3 2 2 2 2 4" xfId="34064"/>
    <cellStyle name="20% - Accent6 2 3 2 2 2 3" xfId="8358"/>
    <cellStyle name="20% - Accent6 2 3 2 2 2 3 2" xfId="25405"/>
    <cellStyle name="20% - Accent6 2 3 2 2 2 3 2 2" xfId="54266"/>
    <cellStyle name="20% - Accent6 2 3 2 2 2 3 3" xfId="37219"/>
    <cellStyle name="20% - Accent6 2 3 2 2 2 4" xfId="13384"/>
    <cellStyle name="20% - Accent6 2 3 2 2 2 4 2" xfId="19633"/>
    <cellStyle name="20% - Accent6 2 3 2 2 2 4 2 2" xfId="48494"/>
    <cellStyle name="20% - Accent6 2 3 2 2 2 4 3" xfId="42245"/>
    <cellStyle name="20% - Accent6 2 3 2 2 2 5" xfId="16953"/>
    <cellStyle name="20% - Accent6 2 3 2 2 2 5 2" xfId="45814"/>
    <cellStyle name="20% - Accent6 2 3 2 2 2 6" xfId="31178"/>
    <cellStyle name="20% - Accent6 2 3 2 2 3" xfId="3452"/>
    <cellStyle name="20% - Accent6 2 3 2 2 3 2" xfId="9493"/>
    <cellStyle name="20% - Accent6 2 3 2 2 3 2 2" xfId="26540"/>
    <cellStyle name="20% - Accent6 2 3 2 2 3 2 2 2" xfId="55401"/>
    <cellStyle name="20% - Accent6 2 3 2 2 3 2 3" xfId="38354"/>
    <cellStyle name="20% - Accent6 2 3 2 2 3 3" xfId="20562"/>
    <cellStyle name="20% - Accent6 2 3 2 2 3 3 2" xfId="49423"/>
    <cellStyle name="20% - Accent6 2 3 2 2 3 4" xfId="32313"/>
    <cellStyle name="20% - Accent6 2 3 2 2 4" xfId="6607"/>
    <cellStyle name="20% - Accent6 2 3 2 2 4 2" xfId="23654"/>
    <cellStyle name="20% - Accent6 2 3 2 2 4 2 2" xfId="52515"/>
    <cellStyle name="20% - Accent6 2 3 2 2 4 3" xfId="35468"/>
    <cellStyle name="20% - Accent6 2 3 2 2 5" xfId="12820"/>
    <cellStyle name="20% - Accent6 2 3 2 2 5 2" xfId="17882"/>
    <cellStyle name="20% - Accent6 2 3 2 2 5 2 2" xfId="46743"/>
    <cellStyle name="20% - Accent6 2 3 2 2 5 3" xfId="41681"/>
    <cellStyle name="20% - Accent6 2 3 2 2 6" xfId="15202"/>
    <cellStyle name="20% - Accent6 2 3 2 2 6 2" xfId="44063"/>
    <cellStyle name="20% - Accent6 2 3 2 2 7" xfId="29427"/>
    <cellStyle name="20% - Accent6 2 3 2 3" xfId="874"/>
    <cellStyle name="20% - Accent6 2 3 2 3 2" xfId="3761"/>
    <cellStyle name="20% - Accent6 2 3 2 3 2 2" xfId="9802"/>
    <cellStyle name="20% - Accent6 2 3 2 3 2 2 2" xfId="26849"/>
    <cellStyle name="20% - Accent6 2 3 2 3 2 2 2 2" xfId="55710"/>
    <cellStyle name="20% - Accent6 2 3 2 3 2 2 3" xfId="38663"/>
    <cellStyle name="20% - Accent6 2 3 2 3 2 3" xfId="20871"/>
    <cellStyle name="20% - Accent6 2 3 2 3 2 3 2" xfId="49732"/>
    <cellStyle name="20% - Accent6 2 3 2 3 2 4" xfId="32622"/>
    <cellStyle name="20% - Accent6 2 3 2 3 3" xfId="6916"/>
    <cellStyle name="20% - Accent6 2 3 2 3 3 2" xfId="23963"/>
    <cellStyle name="20% - Accent6 2 3 2 3 3 2 2" xfId="52824"/>
    <cellStyle name="20% - Accent6 2 3 2 3 3 3" xfId="35777"/>
    <cellStyle name="20% - Accent6 2 3 2 3 4" xfId="13944"/>
    <cellStyle name="20% - Accent6 2 3 2 3 4 2" xfId="18191"/>
    <cellStyle name="20% - Accent6 2 3 2 3 4 2 2" xfId="47052"/>
    <cellStyle name="20% - Accent6 2 3 2 3 4 3" xfId="42805"/>
    <cellStyle name="20% - Accent6 2 3 2 3 5" xfId="15511"/>
    <cellStyle name="20% - Accent6 2 3 2 3 5 2" xfId="44372"/>
    <cellStyle name="20% - Accent6 2 3 2 3 6" xfId="29736"/>
    <cellStyle name="20% - Accent6 2 3 2 4" xfId="1080"/>
    <cellStyle name="20% - Accent6 2 3 2 4 2" xfId="3967"/>
    <cellStyle name="20% - Accent6 2 3 2 4 2 2" xfId="10008"/>
    <cellStyle name="20% - Accent6 2 3 2 4 2 2 2" xfId="27055"/>
    <cellStyle name="20% - Accent6 2 3 2 4 2 2 2 2" xfId="55916"/>
    <cellStyle name="20% - Accent6 2 3 2 4 2 2 3" xfId="38869"/>
    <cellStyle name="20% - Accent6 2 3 2 4 2 3" xfId="21077"/>
    <cellStyle name="20% - Accent6 2 3 2 4 2 3 2" xfId="49938"/>
    <cellStyle name="20% - Accent6 2 3 2 4 2 4" xfId="32828"/>
    <cellStyle name="20% - Accent6 2 3 2 4 3" xfId="7122"/>
    <cellStyle name="20% - Accent6 2 3 2 4 3 2" xfId="24169"/>
    <cellStyle name="20% - Accent6 2 3 2 4 3 2 2" xfId="53030"/>
    <cellStyle name="20% - Accent6 2 3 2 4 3 3" xfId="35983"/>
    <cellStyle name="20% - Accent6 2 3 2 4 4" xfId="12885"/>
    <cellStyle name="20% - Accent6 2 3 2 4 4 2" xfId="18397"/>
    <cellStyle name="20% - Accent6 2 3 2 4 4 2 2" xfId="47258"/>
    <cellStyle name="20% - Accent6 2 3 2 4 4 3" xfId="41746"/>
    <cellStyle name="20% - Accent6 2 3 2 4 5" xfId="15717"/>
    <cellStyle name="20% - Accent6 2 3 2 4 5 2" xfId="44578"/>
    <cellStyle name="20% - Accent6 2 3 2 4 6" xfId="29942"/>
    <cellStyle name="20% - Accent6 2 3 2 5" xfId="1286"/>
    <cellStyle name="20% - Accent6 2 3 2 5 2" xfId="4173"/>
    <cellStyle name="20% - Accent6 2 3 2 5 2 2" xfId="10214"/>
    <cellStyle name="20% - Accent6 2 3 2 5 2 2 2" xfId="27261"/>
    <cellStyle name="20% - Accent6 2 3 2 5 2 2 2 2" xfId="56122"/>
    <cellStyle name="20% - Accent6 2 3 2 5 2 2 3" xfId="39075"/>
    <cellStyle name="20% - Accent6 2 3 2 5 2 3" xfId="21283"/>
    <cellStyle name="20% - Accent6 2 3 2 5 2 3 2" xfId="50144"/>
    <cellStyle name="20% - Accent6 2 3 2 5 2 4" xfId="33034"/>
    <cellStyle name="20% - Accent6 2 3 2 5 3" xfId="7328"/>
    <cellStyle name="20% - Accent6 2 3 2 5 3 2" xfId="24375"/>
    <cellStyle name="20% - Accent6 2 3 2 5 3 2 2" xfId="53236"/>
    <cellStyle name="20% - Accent6 2 3 2 5 3 3" xfId="36189"/>
    <cellStyle name="20% - Accent6 2 3 2 5 4" xfId="12019"/>
    <cellStyle name="20% - Accent6 2 3 2 5 4 2" xfId="18603"/>
    <cellStyle name="20% - Accent6 2 3 2 5 4 2 2" xfId="47464"/>
    <cellStyle name="20% - Accent6 2 3 2 5 4 3" xfId="40880"/>
    <cellStyle name="20% - Accent6 2 3 2 5 5" xfId="15923"/>
    <cellStyle name="20% - Accent6 2 3 2 5 5 2" xfId="44784"/>
    <cellStyle name="20% - Accent6 2 3 2 5 6" xfId="30148"/>
    <cellStyle name="20% - Accent6 2 3 2 6" xfId="1492"/>
    <cellStyle name="20% - Accent6 2 3 2 6 2" xfId="4379"/>
    <cellStyle name="20% - Accent6 2 3 2 6 2 2" xfId="10420"/>
    <cellStyle name="20% - Accent6 2 3 2 6 2 2 2" xfId="27467"/>
    <cellStyle name="20% - Accent6 2 3 2 6 2 2 2 2" xfId="56328"/>
    <cellStyle name="20% - Accent6 2 3 2 6 2 2 3" xfId="39281"/>
    <cellStyle name="20% - Accent6 2 3 2 6 2 3" xfId="21489"/>
    <cellStyle name="20% - Accent6 2 3 2 6 2 3 2" xfId="50350"/>
    <cellStyle name="20% - Accent6 2 3 2 6 2 4" xfId="33240"/>
    <cellStyle name="20% - Accent6 2 3 2 6 3" xfId="7534"/>
    <cellStyle name="20% - Accent6 2 3 2 6 3 2" xfId="24581"/>
    <cellStyle name="20% - Accent6 2 3 2 6 3 2 2" xfId="53442"/>
    <cellStyle name="20% - Accent6 2 3 2 6 3 3" xfId="36395"/>
    <cellStyle name="20% - Accent6 2 3 2 6 4" xfId="14243"/>
    <cellStyle name="20% - Accent6 2 3 2 6 4 2" xfId="18809"/>
    <cellStyle name="20% - Accent6 2 3 2 6 4 2 2" xfId="47670"/>
    <cellStyle name="20% - Accent6 2 3 2 6 4 3" xfId="43104"/>
    <cellStyle name="20% - Accent6 2 3 2 6 5" xfId="16129"/>
    <cellStyle name="20% - Accent6 2 3 2 6 5 2" xfId="44990"/>
    <cellStyle name="20% - Accent6 2 3 2 6 6" xfId="30354"/>
    <cellStyle name="20% - Accent6 2 3 2 7" xfId="1698"/>
    <cellStyle name="20% - Accent6 2 3 2 7 2" xfId="4585"/>
    <cellStyle name="20% - Accent6 2 3 2 7 2 2" xfId="10626"/>
    <cellStyle name="20% - Accent6 2 3 2 7 2 2 2" xfId="27673"/>
    <cellStyle name="20% - Accent6 2 3 2 7 2 2 2 2" xfId="56534"/>
    <cellStyle name="20% - Accent6 2 3 2 7 2 2 3" xfId="39487"/>
    <cellStyle name="20% - Accent6 2 3 2 7 2 3" xfId="21695"/>
    <cellStyle name="20% - Accent6 2 3 2 7 2 3 2" xfId="50556"/>
    <cellStyle name="20% - Accent6 2 3 2 7 2 4" xfId="33446"/>
    <cellStyle name="20% - Accent6 2 3 2 7 3" xfId="7740"/>
    <cellStyle name="20% - Accent6 2 3 2 7 3 2" xfId="24787"/>
    <cellStyle name="20% - Accent6 2 3 2 7 3 2 2" xfId="53648"/>
    <cellStyle name="20% - Accent6 2 3 2 7 3 3" xfId="36601"/>
    <cellStyle name="20% - Accent6 2 3 2 7 4" xfId="13148"/>
    <cellStyle name="20% - Accent6 2 3 2 7 4 2" xfId="19015"/>
    <cellStyle name="20% - Accent6 2 3 2 7 4 2 2" xfId="47876"/>
    <cellStyle name="20% - Accent6 2 3 2 7 4 3" xfId="42009"/>
    <cellStyle name="20% - Accent6 2 3 2 7 5" xfId="16335"/>
    <cellStyle name="20% - Accent6 2 3 2 7 5 2" xfId="45196"/>
    <cellStyle name="20% - Accent6 2 3 2 7 6" xfId="30560"/>
    <cellStyle name="20% - Accent6 2 3 2 8" xfId="1904"/>
    <cellStyle name="20% - Accent6 2 3 2 8 2" xfId="4791"/>
    <cellStyle name="20% - Accent6 2 3 2 8 2 2" xfId="10832"/>
    <cellStyle name="20% - Accent6 2 3 2 8 2 2 2" xfId="27879"/>
    <cellStyle name="20% - Accent6 2 3 2 8 2 2 2 2" xfId="56740"/>
    <cellStyle name="20% - Accent6 2 3 2 8 2 2 3" xfId="39693"/>
    <cellStyle name="20% - Accent6 2 3 2 8 2 3" xfId="21901"/>
    <cellStyle name="20% - Accent6 2 3 2 8 2 3 2" xfId="50762"/>
    <cellStyle name="20% - Accent6 2 3 2 8 2 4" xfId="33652"/>
    <cellStyle name="20% - Accent6 2 3 2 8 3" xfId="7946"/>
    <cellStyle name="20% - Accent6 2 3 2 8 3 2" xfId="24993"/>
    <cellStyle name="20% - Accent6 2 3 2 8 3 2 2" xfId="53854"/>
    <cellStyle name="20% - Accent6 2 3 2 8 3 3" xfId="36807"/>
    <cellStyle name="20% - Accent6 2 3 2 8 4" xfId="12268"/>
    <cellStyle name="20% - Accent6 2 3 2 8 4 2" xfId="19221"/>
    <cellStyle name="20% - Accent6 2 3 2 8 4 2 2" xfId="48082"/>
    <cellStyle name="20% - Accent6 2 3 2 8 4 3" xfId="41129"/>
    <cellStyle name="20% - Accent6 2 3 2 8 5" xfId="16541"/>
    <cellStyle name="20% - Accent6 2 3 2 8 5 2" xfId="45402"/>
    <cellStyle name="20% - Accent6 2 3 2 8 6" xfId="30766"/>
    <cellStyle name="20% - Accent6 2 3 2 9" xfId="2110"/>
    <cellStyle name="20% - Accent6 2 3 2 9 2" xfId="4997"/>
    <cellStyle name="20% - Accent6 2 3 2 9 2 2" xfId="11038"/>
    <cellStyle name="20% - Accent6 2 3 2 9 2 2 2" xfId="28085"/>
    <cellStyle name="20% - Accent6 2 3 2 9 2 2 2 2" xfId="56946"/>
    <cellStyle name="20% - Accent6 2 3 2 9 2 2 3" xfId="39899"/>
    <cellStyle name="20% - Accent6 2 3 2 9 2 3" xfId="22107"/>
    <cellStyle name="20% - Accent6 2 3 2 9 2 3 2" xfId="50968"/>
    <cellStyle name="20% - Accent6 2 3 2 9 2 4" xfId="33858"/>
    <cellStyle name="20% - Accent6 2 3 2 9 3" xfId="8152"/>
    <cellStyle name="20% - Accent6 2 3 2 9 3 2" xfId="25199"/>
    <cellStyle name="20% - Accent6 2 3 2 9 3 2 2" xfId="54060"/>
    <cellStyle name="20% - Accent6 2 3 2 9 3 3" xfId="37013"/>
    <cellStyle name="20% - Accent6 2 3 2 9 4" xfId="14178"/>
    <cellStyle name="20% - Accent6 2 3 2 9 4 2" xfId="19427"/>
    <cellStyle name="20% - Accent6 2 3 2 9 4 2 2" xfId="48288"/>
    <cellStyle name="20% - Accent6 2 3 2 9 4 3" xfId="43039"/>
    <cellStyle name="20% - Accent6 2 3 2 9 5" xfId="16747"/>
    <cellStyle name="20% - Accent6 2 3 2 9 5 2" xfId="45608"/>
    <cellStyle name="20% - Accent6 2 3 2 9 6" xfId="30972"/>
    <cellStyle name="20% - Accent6 2 3 20" xfId="29015"/>
    <cellStyle name="20% - Accent6 2 3 3" xfId="256"/>
    <cellStyle name="20% - Accent6 2 3 3 2" xfId="668"/>
    <cellStyle name="20% - Accent6 2 3 3 2 2" xfId="3555"/>
    <cellStyle name="20% - Accent6 2 3 3 2 2 2" xfId="9596"/>
    <cellStyle name="20% - Accent6 2 3 3 2 2 2 2" xfId="26643"/>
    <cellStyle name="20% - Accent6 2 3 3 2 2 2 2 2" xfId="55504"/>
    <cellStyle name="20% - Accent6 2 3 3 2 2 2 3" xfId="38457"/>
    <cellStyle name="20% - Accent6 2 3 3 2 2 3" xfId="20665"/>
    <cellStyle name="20% - Accent6 2 3 3 2 2 3 2" xfId="49526"/>
    <cellStyle name="20% - Accent6 2 3 3 2 2 4" xfId="32416"/>
    <cellStyle name="20% - Accent6 2 3 3 2 3" xfId="6710"/>
    <cellStyle name="20% - Accent6 2 3 3 2 3 2" xfId="23757"/>
    <cellStyle name="20% - Accent6 2 3 3 2 3 2 2" xfId="52618"/>
    <cellStyle name="20% - Accent6 2 3 3 2 3 3" xfId="35571"/>
    <cellStyle name="20% - Accent6 2 3 3 2 4" xfId="11902"/>
    <cellStyle name="20% - Accent6 2 3 3 2 4 2" xfId="17985"/>
    <cellStyle name="20% - Accent6 2 3 3 2 4 2 2" xfId="46846"/>
    <cellStyle name="20% - Accent6 2 3 3 2 4 3" xfId="40763"/>
    <cellStyle name="20% - Accent6 2 3 3 2 5" xfId="15305"/>
    <cellStyle name="20% - Accent6 2 3 3 2 5 2" xfId="44166"/>
    <cellStyle name="20% - Accent6 2 3 3 2 6" xfId="29530"/>
    <cellStyle name="20% - Accent6 2 3 3 3" xfId="2213"/>
    <cellStyle name="20% - Accent6 2 3 3 3 2" xfId="5100"/>
    <cellStyle name="20% - Accent6 2 3 3 3 2 2" xfId="11141"/>
    <cellStyle name="20% - Accent6 2 3 3 3 2 2 2" xfId="28188"/>
    <cellStyle name="20% - Accent6 2 3 3 3 2 2 2 2" xfId="57049"/>
    <cellStyle name="20% - Accent6 2 3 3 3 2 2 3" xfId="40002"/>
    <cellStyle name="20% - Accent6 2 3 3 3 2 3" xfId="22210"/>
    <cellStyle name="20% - Accent6 2 3 3 3 2 3 2" xfId="51071"/>
    <cellStyle name="20% - Accent6 2 3 3 3 2 4" xfId="33961"/>
    <cellStyle name="20% - Accent6 2 3 3 3 3" xfId="8255"/>
    <cellStyle name="20% - Accent6 2 3 3 3 3 2" xfId="25302"/>
    <cellStyle name="20% - Accent6 2 3 3 3 3 2 2" xfId="54163"/>
    <cellStyle name="20% - Accent6 2 3 3 3 3 3" xfId="37116"/>
    <cellStyle name="20% - Accent6 2 3 3 3 4" xfId="12184"/>
    <cellStyle name="20% - Accent6 2 3 3 3 4 2" xfId="19530"/>
    <cellStyle name="20% - Accent6 2 3 3 3 4 2 2" xfId="48391"/>
    <cellStyle name="20% - Accent6 2 3 3 3 4 3" xfId="41045"/>
    <cellStyle name="20% - Accent6 2 3 3 3 5" xfId="16850"/>
    <cellStyle name="20% - Accent6 2 3 3 3 5 2" xfId="45711"/>
    <cellStyle name="20% - Accent6 2 3 3 3 6" xfId="31075"/>
    <cellStyle name="20% - Accent6 2 3 3 4" xfId="3143"/>
    <cellStyle name="20% - Accent6 2 3 3 4 2" xfId="9184"/>
    <cellStyle name="20% - Accent6 2 3 3 4 2 2" xfId="26231"/>
    <cellStyle name="20% - Accent6 2 3 3 4 2 2 2" xfId="55092"/>
    <cellStyle name="20% - Accent6 2 3 3 4 2 3" xfId="38045"/>
    <cellStyle name="20% - Accent6 2 3 3 4 3" xfId="20253"/>
    <cellStyle name="20% - Accent6 2 3 3 4 3 2" xfId="49114"/>
    <cellStyle name="20% - Accent6 2 3 3 4 4" xfId="32004"/>
    <cellStyle name="20% - Accent6 2 3 3 5" xfId="6298"/>
    <cellStyle name="20% - Accent6 2 3 3 5 2" xfId="23345"/>
    <cellStyle name="20% - Accent6 2 3 3 5 2 2" xfId="52206"/>
    <cellStyle name="20% - Accent6 2 3 3 5 3" xfId="35159"/>
    <cellStyle name="20% - Accent6 2 3 3 6" xfId="13104"/>
    <cellStyle name="20% - Accent6 2 3 3 6 2" xfId="17676"/>
    <cellStyle name="20% - Accent6 2 3 3 6 2 2" xfId="46537"/>
    <cellStyle name="20% - Accent6 2 3 3 6 3" xfId="41965"/>
    <cellStyle name="20% - Accent6 2 3 3 7" xfId="14893"/>
    <cellStyle name="20% - Accent6 2 3 3 7 2" xfId="43754"/>
    <cellStyle name="20% - Accent6 2 3 3 8" xfId="29118"/>
    <cellStyle name="20% - Accent6 2 3 4" xfId="462"/>
    <cellStyle name="20% - Accent6 2 3 4 2" xfId="3349"/>
    <cellStyle name="20% - Accent6 2 3 4 2 2" xfId="9390"/>
    <cellStyle name="20% - Accent6 2 3 4 2 2 2" xfId="26437"/>
    <cellStyle name="20% - Accent6 2 3 4 2 2 2 2" xfId="55298"/>
    <cellStyle name="20% - Accent6 2 3 4 2 2 3" xfId="38251"/>
    <cellStyle name="20% - Accent6 2 3 4 2 3" xfId="20459"/>
    <cellStyle name="20% - Accent6 2 3 4 2 3 2" xfId="49320"/>
    <cellStyle name="20% - Accent6 2 3 4 2 4" xfId="32210"/>
    <cellStyle name="20% - Accent6 2 3 4 3" xfId="6504"/>
    <cellStyle name="20% - Accent6 2 3 4 3 2" xfId="23551"/>
    <cellStyle name="20% - Accent6 2 3 4 3 2 2" xfId="52412"/>
    <cellStyle name="20% - Accent6 2 3 4 3 3" xfId="35365"/>
    <cellStyle name="20% - Accent6 2 3 4 4" xfId="13224"/>
    <cellStyle name="20% - Accent6 2 3 4 4 2" xfId="17779"/>
    <cellStyle name="20% - Accent6 2 3 4 4 2 2" xfId="46640"/>
    <cellStyle name="20% - Accent6 2 3 4 4 3" xfId="42085"/>
    <cellStyle name="20% - Accent6 2 3 4 5" xfId="15099"/>
    <cellStyle name="20% - Accent6 2 3 4 5 2" xfId="43960"/>
    <cellStyle name="20% - Accent6 2 3 4 6" xfId="29324"/>
    <cellStyle name="20% - Accent6 2 3 5" xfId="771"/>
    <cellStyle name="20% - Accent6 2 3 5 2" xfId="3658"/>
    <cellStyle name="20% - Accent6 2 3 5 2 2" xfId="9699"/>
    <cellStyle name="20% - Accent6 2 3 5 2 2 2" xfId="26746"/>
    <cellStyle name="20% - Accent6 2 3 5 2 2 2 2" xfId="55607"/>
    <cellStyle name="20% - Accent6 2 3 5 2 2 3" xfId="38560"/>
    <cellStyle name="20% - Accent6 2 3 5 2 3" xfId="20768"/>
    <cellStyle name="20% - Accent6 2 3 5 2 3 2" xfId="49629"/>
    <cellStyle name="20% - Accent6 2 3 5 2 4" xfId="32519"/>
    <cellStyle name="20% - Accent6 2 3 5 3" xfId="6813"/>
    <cellStyle name="20% - Accent6 2 3 5 3 2" xfId="23860"/>
    <cellStyle name="20% - Accent6 2 3 5 3 2 2" xfId="52721"/>
    <cellStyle name="20% - Accent6 2 3 5 3 3" xfId="35674"/>
    <cellStyle name="20% - Accent6 2 3 5 4" xfId="12726"/>
    <cellStyle name="20% - Accent6 2 3 5 4 2" xfId="18088"/>
    <cellStyle name="20% - Accent6 2 3 5 4 2 2" xfId="46949"/>
    <cellStyle name="20% - Accent6 2 3 5 4 3" xfId="41587"/>
    <cellStyle name="20% - Accent6 2 3 5 5" xfId="15408"/>
    <cellStyle name="20% - Accent6 2 3 5 5 2" xfId="44269"/>
    <cellStyle name="20% - Accent6 2 3 5 6" xfId="29633"/>
    <cellStyle name="20% - Accent6 2 3 6" xfId="977"/>
    <cellStyle name="20% - Accent6 2 3 6 2" xfId="3864"/>
    <cellStyle name="20% - Accent6 2 3 6 2 2" xfId="9905"/>
    <cellStyle name="20% - Accent6 2 3 6 2 2 2" xfId="26952"/>
    <cellStyle name="20% - Accent6 2 3 6 2 2 2 2" xfId="55813"/>
    <cellStyle name="20% - Accent6 2 3 6 2 2 3" xfId="38766"/>
    <cellStyle name="20% - Accent6 2 3 6 2 3" xfId="20974"/>
    <cellStyle name="20% - Accent6 2 3 6 2 3 2" xfId="49835"/>
    <cellStyle name="20% - Accent6 2 3 6 2 4" xfId="32725"/>
    <cellStyle name="20% - Accent6 2 3 6 3" xfId="7019"/>
    <cellStyle name="20% - Accent6 2 3 6 3 2" xfId="24066"/>
    <cellStyle name="20% - Accent6 2 3 6 3 2 2" xfId="52927"/>
    <cellStyle name="20% - Accent6 2 3 6 3 3" xfId="35880"/>
    <cellStyle name="20% - Accent6 2 3 6 4" xfId="12887"/>
    <cellStyle name="20% - Accent6 2 3 6 4 2" xfId="18294"/>
    <cellStyle name="20% - Accent6 2 3 6 4 2 2" xfId="47155"/>
    <cellStyle name="20% - Accent6 2 3 6 4 3" xfId="41748"/>
    <cellStyle name="20% - Accent6 2 3 6 5" xfId="15614"/>
    <cellStyle name="20% - Accent6 2 3 6 5 2" xfId="44475"/>
    <cellStyle name="20% - Accent6 2 3 6 6" xfId="29839"/>
    <cellStyle name="20% - Accent6 2 3 7" xfId="1183"/>
    <cellStyle name="20% - Accent6 2 3 7 2" xfId="4070"/>
    <cellStyle name="20% - Accent6 2 3 7 2 2" xfId="10111"/>
    <cellStyle name="20% - Accent6 2 3 7 2 2 2" xfId="27158"/>
    <cellStyle name="20% - Accent6 2 3 7 2 2 2 2" xfId="56019"/>
    <cellStyle name="20% - Accent6 2 3 7 2 2 3" xfId="38972"/>
    <cellStyle name="20% - Accent6 2 3 7 2 3" xfId="21180"/>
    <cellStyle name="20% - Accent6 2 3 7 2 3 2" xfId="50041"/>
    <cellStyle name="20% - Accent6 2 3 7 2 4" xfId="32931"/>
    <cellStyle name="20% - Accent6 2 3 7 3" xfId="7225"/>
    <cellStyle name="20% - Accent6 2 3 7 3 2" xfId="24272"/>
    <cellStyle name="20% - Accent6 2 3 7 3 2 2" xfId="53133"/>
    <cellStyle name="20% - Accent6 2 3 7 3 3" xfId="36086"/>
    <cellStyle name="20% - Accent6 2 3 7 4" xfId="14255"/>
    <cellStyle name="20% - Accent6 2 3 7 4 2" xfId="18500"/>
    <cellStyle name="20% - Accent6 2 3 7 4 2 2" xfId="47361"/>
    <cellStyle name="20% - Accent6 2 3 7 4 3" xfId="43116"/>
    <cellStyle name="20% - Accent6 2 3 7 5" xfId="15820"/>
    <cellStyle name="20% - Accent6 2 3 7 5 2" xfId="44681"/>
    <cellStyle name="20% - Accent6 2 3 7 6" xfId="30045"/>
    <cellStyle name="20% - Accent6 2 3 8" xfId="1389"/>
    <cellStyle name="20% - Accent6 2 3 8 2" xfId="4276"/>
    <cellStyle name="20% - Accent6 2 3 8 2 2" xfId="10317"/>
    <cellStyle name="20% - Accent6 2 3 8 2 2 2" xfId="27364"/>
    <cellStyle name="20% - Accent6 2 3 8 2 2 2 2" xfId="56225"/>
    <cellStyle name="20% - Accent6 2 3 8 2 2 3" xfId="39178"/>
    <cellStyle name="20% - Accent6 2 3 8 2 3" xfId="21386"/>
    <cellStyle name="20% - Accent6 2 3 8 2 3 2" xfId="50247"/>
    <cellStyle name="20% - Accent6 2 3 8 2 4" xfId="33137"/>
    <cellStyle name="20% - Accent6 2 3 8 3" xfId="7431"/>
    <cellStyle name="20% - Accent6 2 3 8 3 2" xfId="24478"/>
    <cellStyle name="20% - Accent6 2 3 8 3 2 2" xfId="53339"/>
    <cellStyle name="20% - Accent6 2 3 8 3 3" xfId="36292"/>
    <cellStyle name="20% - Accent6 2 3 8 4" xfId="12178"/>
    <cellStyle name="20% - Accent6 2 3 8 4 2" xfId="18706"/>
    <cellStyle name="20% - Accent6 2 3 8 4 2 2" xfId="47567"/>
    <cellStyle name="20% - Accent6 2 3 8 4 3" xfId="41039"/>
    <cellStyle name="20% - Accent6 2 3 8 5" xfId="16026"/>
    <cellStyle name="20% - Accent6 2 3 8 5 2" xfId="44887"/>
    <cellStyle name="20% - Accent6 2 3 8 6" xfId="30251"/>
    <cellStyle name="20% - Accent6 2 3 9" xfId="1595"/>
    <cellStyle name="20% - Accent6 2 3 9 2" xfId="4482"/>
    <cellStyle name="20% - Accent6 2 3 9 2 2" xfId="10523"/>
    <cellStyle name="20% - Accent6 2 3 9 2 2 2" xfId="27570"/>
    <cellStyle name="20% - Accent6 2 3 9 2 2 2 2" xfId="56431"/>
    <cellStyle name="20% - Accent6 2 3 9 2 2 3" xfId="39384"/>
    <cellStyle name="20% - Accent6 2 3 9 2 3" xfId="21592"/>
    <cellStyle name="20% - Accent6 2 3 9 2 3 2" xfId="50453"/>
    <cellStyle name="20% - Accent6 2 3 9 2 4" xfId="33343"/>
    <cellStyle name="20% - Accent6 2 3 9 3" xfId="7637"/>
    <cellStyle name="20% - Accent6 2 3 9 3 2" xfId="24684"/>
    <cellStyle name="20% - Accent6 2 3 9 3 2 2" xfId="53545"/>
    <cellStyle name="20% - Accent6 2 3 9 3 3" xfId="36498"/>
    <cellStyle name="20% - Accent6 2 3 9 4" xfId="14439"/>
    <cellStyle name="20% - Accent6 2 3 9 4 2" xfId="18912"/>
    <cellStyle name="20% - Accent6 2 3 9 4 2 2" xfId="47773"/>
    <cellStyle name="20% - Accent6 2 3 9 4 3" xfId="43300"/>
    <cellStyle name="20% - Accent6 2 3 9 5" xfId="16232"/>
    <cellStyle name="20% - Accent6 2 3 9 5 2" xfId="45093"/>
    <cellStyle name="20% - Accent6 2 3 9 6" xfId="30457"/>
    <cellStyle name="20% - Accent6 2 4" xfId="307"/>
    <cellStyle name="20% - Accent6 2 4 10" xfId="2470"/>
    <cellStyle name="20% - Accent6 2 4 10 2" xfId="5357"/>
    <cellStyle name="20% - Accent6 2 4 10 2 2" xfId="11398"/>
    <cellStyle name="20% - Accent6 2 4 10 2 2 2" xfId="28445"/>
    <cellStyle name="20% - Accent6 2 4 10 2 2 2 2" xfId="57306"/>
    <cellStyle name="20% - Accent6 2 4 10 2 2 3" xfId="40259"/>
    <cellStyle name="20% - Accent6 2 4 10 2 3" xfId="22467"/>
    <cellStyle name="20% - Accent6 2 4 10 2 3 2" xfId="51328"/>
    <cellStyle name="20% - Accent6 2 4 10 2 4" xfId="34218"/>
    <cellStyle name="20% - Accent6 2 4 10 3" xfId="8512"/>
    <cellStyle name="20% - Accent6 2 4 10 3 2" xfId="25559"/>
    <cellStyle name="20% - Accent6 2 4 10 3 2 2" xfId="54420"/>
    <cellStyle name="20% - Accent6 2 4 10 3 3" xfId="37373"/>
    <cellStyle name="20% - Accent6 2 4 10 4" xfId="13731"/>
    <cellStyle name="20% - Accent6 2 4 10 4 2" xfId="19787"/>
    <cellStyle name="20% - Accent6 2 4 10 4 2 2" xfId="48648"/>
    <cellStyle name="20% - Accent6 2 4 10 4 3" xfId="42592"/>
    <cellStyle name="20% - Accent6 2 4 10 5" xfId="17107"/>
    <cellStyle name="20% - Accent6 2 4 10 5 2" xfId="45968"/>
    <cellStyle name="20% - Accent6 2 4 10 6" xfId="31332"/>
    <cellStyle name="20% - Accent6 2 4 11" xfId="2679"/>
    <cellStyle name="20% - Accent6 2 4 11 2" xfId="5565"/>
    <cellStyle name="20% - Accent6 2 4 11 2 2" xfId="11606"/>
    <cellStyle name="20% - Accent6 2 4 11 2 2 2" xfId="28653"/>
    <cellStyle name="20% - Accent6 2 4 11 2 2 2 2" xfId="57514"/>
    <cellStyle name="20% - Accent6 2 4 11 2 2 3" xfId="40467"/>
    <cellStyle name="20% - Accent6 2 4 11 2 3" xfId="22675"/>
    <cellStyle name="20% - Accent6 2 4 11 2 3 2" xfId="51536"/>
    <cellStyle name="20% - Accent6 2 4 11 2 4" xfId="34426"/>
    <cellStyle name="20% - Accent6 2 4 11 3" xfId="8720"/>
    <cellStyle name="20% - Accent6 2 4 11 3 2" xfId="25767"/>
    <cellStyle name="20% - Accent6 2 4 11 3 2 2" xfId="54628"/>
    <cellStyle name="20% - Accent6 2 4 11 3 3" xfId="37581"/>
    <cellStyle name="20% - Accent6 2 4 11 4" xfId="14337"/>
    <cellStyle name="20% - Accent6 2 4 11 4 2" xfId="19995"/>
    <cellStyle name="20% - Accent6 2 4 11 4 2 2" xfId="48856"/>
    <cellStyle name="20% - Accent6 2 4 11 4 3" xfId="43198"/>
    <cellStyle name="20% - Accent6 2 4 11 5" xfId="17315"/>
    <cellStyle name="20% - Accent6 2 4 11 5 2" xfId="46176"/>
    <cellStyle name="20% - Accent6 2 4 11 6" xfId="31540"/>
    <cellStyle name="20% - Accent6 2 4 12" xfId="3194"/>
    <cellStyle name="20% - Accent6 2 4 12 2" xfId="9235"/>
    <cellStyle name="20% - Accent6 2 4 12 2 2" xfId="26282"/>
    <cellStyle name="20% - Accent6 2 4 12 2 2 2" xfId="55143"/>
    <cellStyle name="20% - Accent6 2 4 12 2 3" xfId="38096"/>
    <cellStyle name="20% - Accent6 2 4 12 3" xfId="14479"/>
    <cellStyle name="20% - Accent6 2 4 12 3 2" xfId="20304"/>
    <cellStyle name="20% - Accent6 2 4 12 3 2 2" xfId="49165"/>
    <cellStyle name="20% - Accent6 2 4 12 3 3" xfId="43340"/>
    <cellStyle name="20% - Accent6 2 4 12 4" xfId="14944"/>
    <cellStyle name="20% - Accent6 2 4 12 4 2" xfId="43805"/>
    <cellStyle name="20% - Accent6 2 4 12 5" xfId="32055"/>
    <cellStyle name="20% - Accent6 2 4 13" xfId="2885"/>
    <cellStyle name="20% - Accent6 2 4 13 2" xfId="8926"/>
    <cellStyle name="20% - Accent6 2 4 13 2 2" xfId="25973"/>
    <cellStyle name="20% - Accent6 2 4 13 2 2 2" xfId="54834"/>
    <cellStyle name="20% - Accent6 2 4 13 2 3" xfId="37787"/>
    <cellStyle name="20% - Accent6 2 4 13 3" xfId="17521"/>
    <cellStyle name="20% - Accent6 2 4 13 3 2" xfId="46382"/>
    <cellStyle name="20% - Accent6 2 4 13 4" xfId="31746"/>
    <cellStyle name="20% - Accent6 2 4 14" xfId="5771"/>
    <cellStyle name="20% - Accent6 2 4 14 2" xfId="11812"/>
    <cellStyle name="20% - Accent6 2 4 14 2 2" xfId="28859"/>
    <cellStyle name="20% - Accent6 2 4 14 2 2 2" xfId="57720"/>
    <cellStyle name="20% - Accent6 2 4 14 2 3" xfId="40673"/>
    <cellStyle name="20% - Accent6 2 4 14 3" xfId="22881"/>
    <cellStyle name="20% - Accent6 2 4 14 3 2" xfId="51742"/>
    <cellStyle name="20% - Accent6 2 4 14 4" xfId="34632"/>
    <cellStyle name="20% - Accent6 2 4 15" xfId="5988"/>
    <cellStyle name="20% - Accent6 2 4 15 2" xfId="23087"/>
    <cellStyle name="20% - Accent6 2 4 15 2 2" xfId="51948"/>
    <cellStyle name="20% - Accent6 2 4 15 3" xfId="34849"/>
    <cellStyle name="20% - Accent6 2 4 16" xfId="6349"/>
    <cellStyle name="20% - Accent6 2 4 16 2" xfId="23396"/>
    <cellStyle name="20% - Accent6 2 4 16 2 2" xfId="52257"/>
    <cellStyle name="20% - Accent6 2 4 16 3" xfId="35210"/>
    <cellStyle name="20% - Accent6 2 4 17" xfId="14635"/>
    <cellStyle name="20% - Accent6 2 4 17 2" xfId="43496"/>
    <cellStyle name="20% - Accent6 2 4 18" xfId="29169"/>
    <cellStyle name="20% - Accent6 2 4 2" xfId="513"/>
    <cellStyle name="20% - Accent6 2 4 2 2" xfId="2264"/>
    <cellStyle name="20% - Accent6 2 4 2 2 2" xfId="5151"/>
    <cellStyle name="20% - Accent6 2 4 2 2 2 2" xfId="11192"/>
    <cellStyle name="20% - Accent6 2 4 2 2 2 2 2" xfId="28239"/>
    <cellStyle name="20% - Accent6 2 4 2 2 2 2 2 2" xfId="57100"/>
    <cellStyle name="20% - Accent6 2 4 2 2 2 2 3" xfId="40053"/>
    <cellStyle name="20% - Accent6 2 4 2 2 2 3" xfId="22261"/>
    <cellStyle name="20% - Accent6 2 4 2 2 2 3 2" xfId="51122"/>
    <cellStyle name="20% - Accent6 2 4 2 2 2 4" xfId="34012"/>
    <cellStyle name="20% - Accent6 2 4 2 2 3" xfId="8306"/>
    <cellStyle name="20% - Accent6 2 4 2 2 3 2" xfId="25353"/>
    <cellStyle name="20% - Accent6 2 4 2 2 3 2 2" xfId="54214"/>
    <cellStyle name="20% - Accent6 2 4 2 2 3 3" xfId="37167"/>
    <cellStyle name="20% - Accent6 2 4 2 2 4" xfId="11891"/>
    <cellStyle name="20% - Accent6 2 4 2 2 4 2" xfId="19581"/>
    <cellStyle name="20% - Accent6 2 4 2 2 4 2 2" xfId="48442"/>
    <cellStyle name="20% - Accent6 2 4 2 2 4 3" xfId="40752"/>
    <cellStyle name="20% - Accent6 2 4 2 2 5" xfId="16901"/>
    <cellStyle name="20% - Accent6 2 4 2 2 5 2" xfId="45762"/>
    <cellStyle name="20% - Accent6 2 4 2 2 6" xfId="31126"/>
    <cellStyle name="20% - Accent6 2 4 2 3" xfId="3400"/>
    <cellStyle name="20% - Accent6 2 4 2 3 2" xfId="9441"/>
    <cellStyle name="20% - Accent6 2 4 2 3 2 2" xfId="26488"/>
    <cellStyle name="20% - Accent6 2 4 2 3 2 2 2" xfId="55349"/>
    <cellStyle name="20% - Accent6 2 4 2 3 2 3" xfId="38302"/>
    <cellStyle name="20% - Accent6 2 4 2 3 3" xfId="20510"/>
    <cellStyle name="20% - Accent6 2 4 2 3 3 2" xfId="49371"/>
    <cellStyle name="20% - Accent6 2 4 2 3 4" xfId="32261"/>
    <cellStyle name="20% - Accent6 2 4 2 4" xfId="6555"/>
    <cellStyle name="20% - Accent6 2 4 2 4 2" xfId="23602"/>
    <cellStyle name="20% - Accent6 2 4 2 4 2 2" xfId="52463"/>
    <cellStyle name="20% - Accent6 2 4 2 4 3" xfId="35416"/>
    <cellStyle name="20% - Accent6 2 4 2 5" xfId="14224"/>
    <cellStyle name="20% - Accent6 2 4 2 5 2" xfId="17830"/>
    <cellStyle name="20% - Accent6 2 4 2 5 2 2" xfId="46691"/>
    <cellStyle name="20% - Accent6 2 4 2 5 3" xfId="43085"/>
    <cellStyle name="20% - Accent6 2 4 2 6" xfId="15150"/>
    <cellStyle name="20% - Accent6 2 4 2 6 2" xfId="44011"/>
    <cellStyle name="20% - Accent6 2 4 2 7" xfId="29375"/>
    <cellStyle name="20% - Accent6 2 4 3" xfId="822"/>
    <cellStyle name="20% - Accent6 2 4 3 2" xfId="3709"/>
    <cellStyle name="20% - Accent6 2 4 3 2 2" xfId="9750"/>
    <cellStyle name="20% - Accent6 2 4 3 2 2 2" xfId="26797"/>
    <cellStyle name="20% - Accent6 2 4 3 2 2 2 2" xfId="55658"/>
    <cellStyle name="20% - Accent6 2 4 3 2 2 3" xfId="38611"/>
    <cellStyle name="20% - Accent6 2 4 3 2 3" xfId="20819"/>
    <cellStyle name="20% - Accent6 2 4 3 2 3 2" xfId="49680"/>
    <cellStyle name="20% - Accent6 2 4 3 2 4" xfId="32570"/>
    <cellStyle name="20% - Accent6 2 4 3 3" xfId="6864"/>
    <cellStyle name="20% - Accent6 2 4 3 3 2" xfId="23911"/>
    <cellStyle name="20% - Accent6 2 4 3 3 2 2" xfId="52772"/>
    <cellStyle name="20% - Accent6 2 4 3 3 3" xfId="35725"/>
    <cellStyle name="20% - Accent6 2 4 3 4" xfId="12294"/>
    <cellStyle name="20% - Accent6 2 4 3 4 2" xfId="18139"/>
    <cellStyle name="20% - Accent6 2 4 3 4 2 2" xfId="47000"/>
    <cellStyle name="20% - Accent6 2 4 3 4 3" xfId="41155"/>
    <cellStyle name="20% - Accent6 2 4 3 5" xfId="15459"/>
    <cellStyle name="20% - Accent6 2 4 3 5 2" xfId="44320"/>
    <cellStyle name="20% - Accent6 2 4 3 6" xfId="29684"/>
    <cellStyle name="20% - Accent6 2 4 4" xfId="1028"/>
    <cellStyle name="20% - Accent6 2 4 4 2" xfId="3915"/>
    <cellStyle name="20% - Accent6 2 4 4 2 2" xfId="9956"/>
    <cellStyle name="20% - Accent6 2 4 4 2 2 2" xfId="27003"/>
    <cellStyle name="20% - Accent6 2 4 4 2 2 2 2" xfId="55864"/>
    <cellStyle name="20% - Accent6 2 4 4 2 2 3" xfId="38817"/>
    <cellStyle name="20% - Accent6 2 4 4 2 3" xfId="21025"/>
    <cellStyle name="20% - Accent6 2 4 4 2 3 2" xfId="49886"/>
    <cellStyle name="20% - Accent6 2 4 4 2 4" xfId="32776"/>
    <cellStyle name="20% - Accent6 2 4 4 3" xfId="7070"/>
    <cellStyle name="20% - Accent6 2 4 4 3 2" xfId="24117"/>
    <cellStyle name="20% - Accent6 2 4 4 3 2 2" xfId="52978"/>
    <cellStyle name="20% - Accent6 2 4 4 3 3" xfId="35931"/>
    <cellStyle name="20% - Accent6 2 4 4 4" xfId="12192"/>
    <cellStyle name="20% - Accent6 2 4 4 4 2" xfId="18345"/>
    <cellStyle name="20% - Accent6 2 4 4 4 2 2" xfId="47206"/>
    <cellStyle name="20% - Accent6 2 4 4 4 3" xfId="41053"/>
    <cellStyle name="20% - Accent6 2 4 4 5" xfId="15665"/>
    <cellStyle name="20% - Accent6 2 4 4 5 2" xfId="44526"/>
    <cellStyle name="20% - Accent6 2 4 4 6" xfId="29890"/>
    <cellStyle name="20% - Accent6 2 4 5" xfId="1234"/>
    <cellStyle name="20% - Accent6 2 4 5 2" xfId="4121"/>
    <cellStyle name="20% - Accent6 2 4 5 2 2" xfId="10162"/>
    <cellStyle name="20% - Accent6 2 4 5 2 2 2" xfId="27209"/>
    <cellStyle name="20% - Accent6 2 4 5 2 2 2 2" xfId="56070"/>
    <cellStyle name="20% - Accent6 2 4 5 2 2 3" xfId="39023"/>
    <cellStyle name="20% - Accent6 2 4 5 2 3" xfId="21231"/>
    <cellStyle name="20% - Accent6 2 4 5 2 3 2" xfId="50092"/>
    <cellStyle name="20% - Accent6 2 4 5 2 4" xfId="32982"/>
    <cellStyle name="20% - Accent6 2 4 5 3" xfId="7276"/>
    <cellStyle name="20% - Accent6 2 4 5 3 2" xfId="24323"/>
    <cellStyle name="20% - Accent6 2 4 5 3 2 2" xfId="53184"/>
    <cellStyle name="20% - Accent6 2 4 5 3 3" xfId="36137"/>
    <cellStyle name="20% - Accent6 2 4 5 4" xfId="12650"/>
    <cellStyle name="20% - Accent6 2 4 5 4 2" xfId="18551"/>
    <cellStyle name="20% - Accent6 2 4 5 4 2 2" xfId="47412"/>
    <cellStyle name="20% - Accent6 2 4 5 4 3" xfId="41511"/>
    <cellStyle name="20% - Accent6 2 4 5 5" xfId="15871"/>
    <cellStyle name="20% - Accent6 2 4 5 5 2" xfId="44732"/>
    <cellStyle name="20% - Accent6 2 4 5 6" xfId="30096"/>
    <cellStyle name="20% - Accent6 2 4 6" xfId="1440"/>
    <cellStyle name="20% - Accent6 2 4 6 2" xfId="4327"/>
    <cellStyle name="20% - Accent6 2 4 6 2 2" xfId="10368"/>
    <cellStyle name="20% - Accent6 2 4 6 2 2 2" xfId="27415"/>
    <cellStyle name="20% - Accent6 2 4 6 2 2 2 2" xfId="56276"/>
    <cellStyle name="20% - Accent6 2 4 6 2 2 3" xfId="39229"/>
    <cellStyle name="20% - Accent6 2 4 6 2 3" xfId="21437"/>
    <cellStyle name="20% - Accent6 2 4 6 2 3 2" xfId="50298"/>
    <cellStyle name="20% - Accent6 2 4 6 2 4" xfId="33188"/>
    <cellStyle name="20% - Accent6 2 4 6 3" xfId="7482"/>
    <cellStyle name="20% - Accent6 2 4 6 3 2" xfId="24529"/>
    <cellStyle name="20% - Accent6 2 4 6 3 2 2" xfId="53390"/>
    <cellStyle name="20% - Accent6 2 4 6 3 3" xfId="36343"/>
    <cellStyle name="20% - Accent6 2 4 6 4" xfId="12860"/>
    <cellStyle name="20% - Accent6 2 4 6 4 2" xfId="18757"/>
    <cellStyle name="20% - Accent6 2 4 6 4 2 2" xfId="47618"/>
    <cellStyle name="20% - Accent6 2 4 6 4 3" xfId="41721"/>
    <cellStyle name="20% - Accent6 2 4 6 5" xfId="16077"/>
    <cellStyle name="20% - Accent6 2 4 6 5 2" xfId="44938"/>
    <cellStyle name="20% - Accent6 2 4 6 6" xfId="30302"/>
    <cellStyle name="20% - Accent6 2 4 7" xfId="1646"/>
    <cellStyle name="20% - Accent6 2 4 7 2" xfId="4533"/>
    <cellStyle name="20% - Accent6 2 4 7 2 2" xfId="10574"/>
    <cellStyle name="20% - Accent6 2 4 7 2 2 2" xfId="27621"/>
    <cellStyle name="20% - Accent6 2 4 7 2 2 2 2" xfId="56482"/>
    <cellStyle name="20% - Accent6 2 4 7 2 2 3" xfId="39435"/>
    <cellStyle name="20% - Accent6 2 4 7 2 3" xfId="21643"/>
    <cellStyle name="20% - Accent6 2 4 7 2 3 2" xfId="50504"/>
    <cellStyle name="20% - Accent6 2 4 7 2 4" xfId="33394"/>
    <cellStyle name="20% - Accent6 2 4 7 3" xfId="7688"/>
    <cellStyle name="20% - Accent6 2 4 7 3 2" xfId="24735"/>
    <cellStyle name="20% - Accent6 2 4 7 3 2 2" xfId="53596"/>
    <cellStyle name="20% - Accent6 2 4 7 3 3" xfId="36549"/>
    <cellStyle name="20% - Accent6 2 4 7 4" xfId="12135"/>
    <cellStyle name="20% - Accent6 2 4 7 4 2" xfId="18963"/>
    <cellStyle name="20% - Accent6 2 4 7 4 2 2" xfId="47824"/>
    <cellStyle name="20% - Accent6 2 4 7 4 3" xfId="40996"/>
    <cellStyle name="20% - Accent6 2 4 7 5" xfId="16283"/>
    <cellStyle name="20% - Accent6 2 4 7 5 2" xfId="45144"/>
    <cellStyle name="20% - Accent6 2 4 7 6" xfId="30508"/>
    <cellStyle name="20% - Accent6 2 4 8" xfId="1852"/>
    <cellStyle name="20% - Accent6 2 4 8 2" xfId="4739"/>
    <cellStyle name="20% - Accent6 2 4 8 2 2" xfId="10780"/>
    <cellStyle name="20% - Accent6 2 4 8 2 2 2" xfId="27827"/>
    <cellStyle name="20% - Accent6 2 4 8 2 2 2 2" xfId="56688"/>
    <cellStyle name="20% - Accent6 2 4 8 2 2 3" xfId="39641"/>
    <cellStyle name="20% - Accent6 2 4 8 2 3" xfId="21849"/>
    <cellStyle name="20% - Accent6 2 4 8 2 3 2" xfId="50710"/>
    <cellStyle name="20% - Accent6 2 4 8 2 4" xfId="33600"/>
    <cellStyle name="20% - Accent6 2 4 8 3" xfId="7894"/>
    <cellStyle name="20% - Accent6 2 4 8 3 2" xfId="24941"/>
    <cellStyle name="20% - Accent6 2 4 8 3 2 2" xfId="53802"/>
    <cellStyle name="20% - Accent6 2 4 8 3 3" xfId="36755"/>
    <cellStyle name="20% - Accent6 2 4 8 4" xfId="13790"/>
    <cellStyle name="20% - Accent6 2 4 8 4 2" xfId="19169"/>
    <cellStyle name="20% - Accent6 2 4 8 4 2 2" xfId="48030"/>
    <cellStyle name="20% - Accent6 2 4 8 4 3" xfId="42651"/>
    <cellStyle name="20% - Accent6 2 4 8 5" xfId="16489"/>
    <cellStyle name="20% - Accent6 2 4 8 5 2" xfId="45350"/>
    <cellStyle name="20% - Accent6 2 4 8 6" xfId="30714"/>
    <cellStyle name="20% - Accent6 2 4 9" xfId="2058"/>
    <cellStyle name="20% - Accent6 2 4 9 2" xfId="4945"/>
    <cellStyle name="20% - Accent6 2 4 9 2 2" xfId="10986"/>
    <cellStyle name="20% - Accent6 2 4 9 2 2 2" xfId="28033"/>
    <cellStyle name="20% - Accent6 2 4 9 2 2 2 2" xfId="56894"/>
    <cellStyle name="20% - Accent6 2 4 9 2 2 3" xfId="39847"/>
    <cellStyle name="20% - Accent6 2 4 9 2 3" xfId="22055"/>
    <cellStyle name="20% - Accent6 2 4 9 2 3 2" xfId="50916"/>
    <cellStyle name="20% - Accent6 2 4 9 2 4" xfId="33806"/>
    <cellStyle name="20% - Accent6 2 4 9 3" xfId="8100"/>
    <cellStyle name="20% - Accent6 2 4 9 3 2" xfId="25147"/>
    <cellStyle name="20% - Accent6 2 4 9 3 2 2" xfId="54008"/>
    <cellStyle name="20% - Accent6 2 4 9 3 3" xfId="36961"/>
    <cellStyle name="20% - Accent6 2 4 9 4" xfId="13819"/>
    <cellStyle name="20% - Accent6 2 4 9 4 2" xfId="19375"/>
    <cellStyle name="20% - Accent6 2 4 9 4 2 2" xfId="48236"/>
    <cellStyle name="20% - Accent6 2 4 9 4 3" xfId="42680"/>
    <cellStyle name="20% - Accent6 2 4 9 5" xfId="16695"/>
    <cellStyle name="20% - Accent6 2 4 9 5 2" xfId="45556"/>
    <cellStyle name="20% - Accent6 2 4 9 6" xfId="30920"/>
    <cellStyle name="20% - Accent6 2 5" xfId="204"/>
    <cellStyle name="20% - Accent6 2 5 2" xfId="616"/>
    <cellStyle name="20% - Accent6 2 5 2 2" xfId="3503"/>
    <cellStyle name="20% - Accent6 2 5 2 2 2" xfId="9544"/>
    <cellStyle name="20% - Accent6 2 5 2 2 2 2" xfId="26591"/>
    <cellStyle name="20% - Accent6 2 5 2 2 2 2 2" xfId="55452"/>
    <cellStyle name="20% - Accent6 2 5 2 2 2 3" xfId="38405"/>
    <cellStyle name="20% - Accent6 2 5 2 2 3" xfId="20613"/>
    <cellStyle name="20% - Accent6 2 5 2 2 3 2" xfId="49474"/>
    <cellStyle name="20% - Accent6 2 5 2 2 4" xfId="32364"/>
    <cellStyle name="20% - Accent6 2 5 2 3" xfId="6658"/>
    <cellStyle name="20% - Accent6 2 5 2 3 2" xfId="23705"/>
    <cellStyle name="20% - Accent6 2 5 2 3 2 2" xfId="52566"/>
    <cellStyle name="20% - Accent6 2 5 2 3 3" xfId="35519"/>
    <cellStyle name="20% - Accent6 2 5 2 4" xfId="13270"/>
    <cellStyle name="20% - Accent6 2 5 2 4 2" xfId="17933"/>
    <cellStyle name="20% - Accent6 2 5 2 4 2 2" xfId="46794"/>
    <cellStyle name="20% - Accent6 2 5 2 4 3" xfId="42131"/>
    <cellStyle name="20% - Accent6 2 5 2 5" xfId="15253"/>
    <cellStyle name="20% - Accent6 2 5 2 5 2" xfId="44114"/>
    <cellStyle name="20% - Accent6 2 5 2 6" xfId="29478"/>
    <cellStyle name="20% - Accent6 2 5 3" xfId="2161"/>
    <cellStyle name="20% - Accent6 2 5 3 2" xfId="5048"/>
    <cellStyle name="20% - Accent6 2 5 3 2 2" xfId="11089"/>
    <cellStyle name="20% - Accent6 2 5 3 2 2 2" xfId="28136"/>
    <cellStyle name="20% - Accent6 2 5 3 2 2 2 2" xfId="56997"/>
    <cellStyle name="20% - Accent6 2 5 3 2 2 3" xfId="39950"/>
    <cellStyle name="20% - Accent6 2 5 3 2 3" xfId="22158"/>
    <cellStyle name="20% - Accent6 2 5 3 2 3 2" xfId="51019"/>
    <cellStyle name="20% - Accent6 2 5 3 2 4" xfId="33909"/>
    <cellStyle name="20% - Accent6 2 5 3 3" xfId="8203"/>
    <cellStyle name="20% - Accent6 2 5 3 3 2" xfId="25250"/>
    <cellStyle name="20% - Accent6 2 5 3 3 2 2" xfId="54111"/>
    <cellStyle name="20% - Accent6 2 5 3 3 3" xfId="37064"/>
    <cellStyle name="20% - Accent6 2 5 3 4" xfId="14477"/>
    <cellStyle name="20% - Accent6 2 5 3 4 2" xfId="19478"/>
    <cellStyle name="20% - Accent6 2 5 3 4 2 2" xfId="48339"/>
    <cellStyle name="20% - Accent6 2 5 3 4 3" xfId="43338"/>
    <cellStyle name="20% - Accent6 2 5 3 5" xfId="16798"/>
    <cellStyle name="20% - Accent6 2 5 3 5 2" xfId="45659"/>
    <cellStyle name="20% - Accent6 2 5 3 6" xfId="31023"/>
    <cellStyle name="20% - Accent6 2 5 4" xfId="3091"/>
    <cellStyle name="20% - Accent6 2 5 4 2" xfId="9132"/>
    <cellStyle name="20% - Accent6 2 5 4 2 2" xfId="26179"/>
    <cellStyle name="20% - Accent6 2 5 4 2 2 2" xfId="55040"/>
    <cellStyle name="20% - Accent6 2 5 4 2 3" xfId="37993"/>
    <cellStyle name="20% - Accent6 2 5 4 3" xfId="20201"/>
    <cellStyle name="20% - Accent6 2 5 4 3 2" xfId="49062"/>
    <cellStyle name="20% - Accent6 2 5 4 4" xfId="31952"/>
    <cellStyle name="20% - Accent6 2 5 5" xfId="6246"/>
    <cellStyle name="20% - Accent6 2 5 5 2" xfId="23293"/>
    <cellStyle name="20% - Accent6 2 5 5 2 2" xfId="52154"/>
    <cellStyle name="20% - Accent6 2 5 5 3" xfId="35107"/>
    <cellStyle name="20% - Accent6 2 5 6" xfId="6061"/>
    <cellStyle name="20% - Accent6 2 5 6 2" xfId="17624"/>
    <cellStyle name="20% - Accent6 2 5 6 2 2" xfId="46485"/>
    <cellStyle name="20% - Accent6 2 5 6 3" xfId="34922"/>
    <cellStyle name="20% - Accent6 2 5 7" xfId="14841"/>
    <cellStyle name="20% - Accent6 2 5 7 2" xfId="43702"/>
    <cellStyle name="20% - Accent6 2 5 8" xfId="29066"/>
    <cellStyle name="20% - Accent6 2 6" xfId="410"/>
    <cellStyle name="20% - Accent6 2 6 2" xfId="3297"/>
    <cellStyle name="20% - Accent6 2 6 2 2" xfId="9338"/>
    <cellStyle name="20% - Accent6 2 6 2 2 2" xfId="26385"/>
    <cellStyle name="20% - Accent6 2 6 2 2 2 2" xfId="55246"/>
    <cellStyle name="20% - Accent6 2 6 2 2 3" xfId="38199"/>
    <cellStyle name="20% - Accent6 2 6 2 3" xfId="20407"/>
    <cellStyle name="20% - Accent6 2 6 2 3 2" xfId="49268"/>
    <cellStyle name="20% - Accent6 2 6 2 4" xfId="32158"/>
    <cellStyle name="20% - Accent6 2 6 3" xfId="6452"/>
    <cellStyle name="20% - Accent6 2 6 3 2" xfId="23499"/>
    <cellStyle name="20% - Accent6 2 6 3 2 2" xfId="52360"/>
    <cellStyle name="20% - Accent6 2 6 3 3" xfId="35313"/>
    <cellStyle name="20% - Accent6 2 6 4" xfId="13422"/>
    <cellStyle name="20% - Accent6 2 6 4 2" xfId="17727"/>
    <cellStyle name="20% - Accent6 2 6 4 2 2" xfId="46588"/>
    <cellStyle name="20% - Accent6 2 6 4 3" xfId="42283"/>
    <cellStyle name="20% - Accent6 2 6 5" xfId="15047"/>
    <cellStyle name="20% - Accent6 2 6 5 2" xfId="43908"/>
    <cellStyle name="20% - Accent6 2 6 6" xfId="29272"/>
    <cellStyle name="20% - Accent6 2 7" xfId="719"/>
    <cellStyle name="20% - Accent6 2 7 2" xfId="3606"/>
    <cellStyle name="20% - Accent6 2 7 2 2" xfId="9647"/>
    <cellStyle name="20% - Accent6 2 7 2 2 2" xfId="26694"/>
    <cellStyle name="20% - Accent6 2 7 2 2 2 2" xfId="55555"/>
    <cellStyle name="20% - Accent6 2 7 2 2 3" xfId="38508"/>
    <cellStyle name="20% - Accent6 2 7 2 3" xfId="20716"/>
    <cellStyle name="20% - Accent6 2 7 2 3 2" xfId="49577"/>
    <cellStyle name="20% - Accent6 2 7 2 4" xfId="32467"/>
    <cellStyle name="20% - Accent6 2 7 3" xfId="6761"/>
    <cellStyle name="20% - Accent6 2 7 3 2" xfId="23808"/>
    <cellStyle name="20% - Accent6 2 7 3 2 2" xfId="52669"/>
    <cellStyle name="20% - Accent6 2 7 3 3" xfId="35622"/>
    <cellStyle name="20% - Accent6 2 7 4" xfId="13648"/>
    <cellStyle name="20% - Accent6 2 7 4 2" xfId="18036"/>
    <cellStyle name="20% - Accent6 2 7 4 2 2" xfId="46897"/>
    <cellStyle name="20% - Accent6 2 7 4 3" xfId="42509"/>
    <cellStyle name="20% - Accent6 2 7 5" xfId="15356"/>
    <cellStyle name="20% - Accent6 2 7 5 2" xfId="44217"/>
    <cellStyle name="20% - Accent6 2 7 6" xfId="29581"/>
    <cellStyle name="20% - Accent6 2 8" xfId="925"/>
    <cellStyle name="20% - Accent6 2 8 2" xfId="3812"/>
    <cellStyle name="20% - Accent6 2 8 2 2" xfId="9853"/>
    <cellStyle name="20% - Accent6 2 8 2 2 2" xfId="26900"/>
    <cellStyle name="20% - Accent6 2 8 2 2 2 2" xfId="55761"/>
    <cellStyle name="20% - Accent6 2 8 2 2 3" xfId="38714"/>
    <cellStyle name="20% - Accent6 2 8 2 3" xfId="20922"/>
    <cellStyle name="20% - Accent6 2 8 2 3 2" xfId="49783"/>
    <cellStyle name="20% - Accent6 2 8 2 4" xfId="32673"/>
    <cellStyle name="20% - Accent6 2 8 3" xfId="6967"/>
    <cellStyle name="20% - Accent6 2 8 3 2" xfId="24014"/>
    <cellStyle name="20% - Accent6 2 8 3 2 2" xfId="52875"/>
    <cellStyle name="20% - Accent6 2 8 3 3" xfId="35828"/>
    <cellStyle name="20% - Accent6 2 8 4" xfId="14257"/>
    <cellStyle name="20% - Accent6 2 8 4 2" xfId="18242"/>
    <cellStyle name="20% - Accent6 2 8 4 2 2" xfId="47103"/>
    <cellStyle name="20% - Accent6 2 8 4 3" xfId="43118"/>
    <cellStyle name="20% - Accent6 2 8 5" xfId="15562"/>
    <cellStyle name="20% - Accent6 2 8 5 2" xfId="44423"/>
    <cellStyle name="20% - Accent6 2 8 6" xfId="29787"/>
    <cellStyle name="20% - Accent6 2 9" xfId="1131"/>
    <cellStyle name="20% - Accent6 2 9 2" xfId="4018"/>
    <cellStyle name="20% - Accent6 2 9 2 2" xfId="10059"/>
    <cellStyle name="20% - Accent6 2 9 2 2 2" xfId="27106"/>
    <cellStyle name="20% - Accent6 2 9 2 2 2 2" xfId="55967"/>
    <cellStyle name="20% - Accent6 2 9 2 2 3" xfId="38920"/>
    <cellStyle name="20% - Accent6 2 9 2 3" xfId="21128"/>
    <cellStyle name="20% - Accent6 2 9 2 3 2" xfId="49989"/>
    <cellStyle name="20% - Accent6 2 9 2 4" xfId="32879"/>
    <cellStyle name="20% - Accent6 2 9 3" xfId="7173"/>
    <cellStyle name="20% - Accent6 2 9 3 2" xfId="24220"/>
    <cellStyle name="20% - Accent6 2 9 3 2 2" xfId="53081"/>
    <cellStyle name="20% - Accent6 2 9 3 3" xfId="36034"/>
    <cellStyle name="20% - Accent6 2 9 4" xfId="6053"/>
    <cellStyle name="20% - Accent6 2 9 4 2" xfId="18448"/>
    <cellStyle name="20% - Accent6 2 9 4 2 2" xfId="47309"/>
    <cellStyle name="20% - Accent6 2 9 4 3" xfId="34914"/>
    <cellStyle name="20% - Accent6 2 9 5" xfId="15768"/>
    <cellStyle name="20% - Accent6 2 9 5 2" xfId="44629"/>
    <cellStyle name="20% - Accent6 2 9 6" xfId="29993"/>
    <cellStyle name="20% - Accent6 20" xfId="5871"/>
    <cellStyle name="20% - Accent6 20 2" xfId="22970"/>
    <cellStyle name="20% - Accent6 20 2 2" xfId="51831"/>
    <cellStyle name="20% - Accent6 20 3" xfId="34732"/>
    <cellStyle name="20% - Accent6 21" xfId="6129"/>
    <cellStyle name="20% - Accent6 21 2" xfId="23176"/>
    <cellStyle name="20% - Accent6 21 2 2" xfId="52037"/>
    <cellStyle name="20% - Accent6 21 3" xfId="34990"/>
    <cellStyle name="20% - Accent6 22" xfId="14518"/>
    <cellStyle name="20% - Accent6 22 2" xfId="43379"/>
    <cellStyle name="20% - Accent6 23" xfId="28949"/>
    <cellStyle name="20% - Accent6 3" xfId="114"/>
    <cellStyle name="20% - Accent6 3 10" xfId="1762"/>
    <cellStyle name="20% - Accent6 3 10 2" xfId="4649"/>
    <cellStyle name="20% - Accent6 3 10 2 2" xfId="10690"/>
    <cellStyle name="20% - Accent6 3 10 2 2 2" xfId="27737"/>
    <cellStyle name="20% - Accent6 3 10 2 2 2 2" xfId="56598"/>
    <cellStyle name="20% - Accent6 3 10 2 2 3" xfId="39551"/>
    <cellStyle name="20% - Accent6 3 10 2 3" xfId="21759"/>
    <cellStyle name="20% - Accent6 3 10 2 3 2" xfId="50620"/>
    <cellStyle name="20% - Accent6 3 10 2 4" xfId="33510"/>
    <cellStyle name="20% - Accent6 3 10 3" xfId="7804"/>
    <cellStyle name="20% - Accent6 3 10 3 2" xfId="24851"/>
    <cellStyle name="20% - Accent6 3 10 3 2 2" xfId="53712"/>
    <cellStyle name="20% - Accent6 3 10 3 3" xfId="36665"/>
    <cellStyle name="20% - Accent6 3 10 4" xfId="12383"/>
    <cellStyle name="20% - Accent6 3 10 4 2" xfId="19079"/>
    <cellStyle name="20% - Accent6 3 10 4 2 2" xfId="47940"/>
    <cellStyle name="20% - Accent6 3 10 4 3" xfId="41244"/>
    <cellStyle name="20% - Accent6 3 10 5" xfId="16399"/>
    <cellStyle name="20% - Accent6 3 10 5 2" xfId="45260"/>
    <cellStyle name="20% - Accent6 3 10 6" xfId="30624"/>
    <cellStyle name="20% - Accent6 3 11" xfId="1968"/>
    <cellStyle name="20% - Accent6 3 11 2" xfId="4855"/>
    <cellStyle name="20% - Accent6 3 11 2 2" xfId="10896"/>
    <cellStyle name="20% - Accent6 3 11 2 2 2" xfId="27943"/>
    <cellStyle name="20% - Accent6 3 11 2 2 2 2" xfId="56804"/>
    <cellStyle name="20% - Accent6 3 11 2 2 3" xfId="39757"/>
    <cellStyle name="20% - Accent6 3 11 2 3" xfId="21965"/>
    <cellStyle name="20% - Accent6 3 11 2 3 2" xfId="50826"/>
    <cellStyle name="20% - Accent6 3 11 2 4" xfId="33716"/>
    <cellStyle name="20% - Accent6 3 11 3" xfId="8010"/>
    <cellStyle name="20% - Accent6 3 11 3 2" xfId="25057"/>
    <cellStyle name="20% - Accent6 3 11 3 2 2" xfId="53918"/>
    <cellStyle name="20% - Accent6 3 11 3 3" xfId="36871"/>
    <cellStyle name="20% - Accent6 3 11 4" xfId="13472"/>
    <cellStyle name="20% - Accent6 3 11 4 2" xfId="19285"/>
    <cellStyle name="20% - Accent6 3 11 4 2 2" xfId="48146"/>
    <cellStyle name="20% - Accent6 3 11 4 3" xfId="42333"/>
    <cellStyle name="20% - Accent6 3 11 5" xfId="16605"/>
    <cellStyle name="20% - Accent6 3 11 5 2" xfId="45466"/>
    <cellStyle name="20% - Accent6 3 11 6" xfId="30830"/>
    <cellStyle name="20% - Accent6 3 12" xfId="2380"/>
    <cellStyle name="20% - Accent6 3 12 2" xfId="5267"/>
    <cellStyle name="20% - Accent6 3 12 2 2" xfId="11308"/>
    <cellStyle name="20% - Accent6 3 12 2 2 2" xfId="28355"/>
    <cellStyle name="20% - Accent6 3 12 2 2 2 2" xfId="57216"/>
    <cellStyle name="20% - Accent6 3 12 2 2 3" xfId="40169"/>
    <cellStyle name="20% - Accent6 3 12 2 3" xfId="22377"/>
    <cellStyle name="20% - Accent6 3 12 2 3 2" xfId="51238"/>
    <cellStyle name="20% - Accent6 3 12 2 4" xfId="34128"/>
    <cellStyle name="20% - Accent6 3 12 3" xfId="8422"/>
    <cellStyle name="20% - Accent6 3 12 3 2" xfId="25469"/>
    <cellStyle name="20% - Accent6 3 12 3 2 2" xfId="54330"/>
    <cellStyle name="20% - Accent6 3 12 3 3" xfId="37283"/>
    <cellStyle name="20% - Accent6 3 12 4" xfId="13339"/>
    <cellStyle name="20% - Accent6 3 12 4 2" xfId="19697"/>
    <cellStyle name="20% - Accent6 3 12 4 2 2" xfId="48558"/>
    <cellStyle name="20% - Accent6 3 12 4 3" xfId="42200"/>
    <cellStyle name="20% - Accent6 3 12 5" xfId="17017"/>
    <cellStyle name="20% - Accent6 3 12 5 2" xfId="45878"/>
    <cellStyle name="20% - Accent6 3 12 6" xfId="31242"/>
    <cellStyle name="20% - Accent6 3 13" xfId="2589"/>
    <cellStyle name="20% - Accent6 3 13 2" xfId="5475"/>
    <cellStyle name="20% - Accent6 3 13 2 2" xfId="11516"/>
    <cellStyle name="20% - Accent6 3 13 2 2 2" xfId="28563"/>
    <cellStyle name="20% - Accent6 3 13 2 2 2 2" xfId="57424"/>
    <cellStyle name="20% - Accent6 3 13 2 2 3" xfId="40377"/>
    <cellStyle name="20% - Accent6 3 13 2 3" xfId="22585"/>
    <cellStyle name="20% - Accent6 3 13 2 3 2" xfId="51446"/>
    <cellStyle name="20% - Accent6 3 13 2 4" xfId="34336"/>
    <cellStyle name="20% - Accent6 3 13 3" xfId="8630"/>
    <cellStyle name="20% - Accent6 3 13 3 2" xfId="25677"/>
    <cellStyle name="20% - Accent6 3 13 3 2 2" xfId="54538"/>
    <cellStyle name="20% - Accent6 3 13 3 3" xfId="37491"/>
    <cellStyle name="20% - Accent6 3 13 4" xfId="13494"/>
    <cellStyle name="20% - Accent6 3 13 4 2" xfId="19905"/>
    <cellStyle name="20% - Accent6 3 13 4 2 2" xfId="48766"/>
    <cellStyle name="20% - Accent6 3 13 4 3" xfId="42355"/>
    <cellStyle name="20% - Accent6 3 13 5" xfId="17225"/>
    <cellStyle name="20% - Accent6 3 13 5 2" xfId="46086"/>
    <cellStyle name="20% - Accent6 3 13 6" xfId="31450"/>
    <cellStyle name="20% - Accent6 3 14" xfId="3001"/>
    <cellStyle name="20% - Accent6 3 14 2" xfId="9042"/>
    <cellStyle name="20% - Accent6 3 14 2 2" xfId="26089"/>
    <cellStyle name="20% - Accent6 3 14 2 2 2" xfId="54950"/>
    <cellStyle name="20% - Accent6 3 14 2 3" xfId="37903"/>
    <cellStyle name="20% - Accent6 3 14 3" xfId="12373"/>
    <cellStyle name="20% - Accent6 3 14 3 2" xfId="20111"/>
    <cellStyle name="20% - Accent6 3 14 3 2 2" xfId="48972"/>
    <cellStyle name="20% - Accent6 3 14 3 3" xfId="41234"/>
    <cellStyle name="20% - Accent6 3 14 4" xfId="14751"/>
    <cellStyle name="20% - Accent6 3 14 4 2" xfId="43612"/>
    <cellStyle name="20% - Accent6 3 14 5" xfId="31862"/>
    <cellStyle name="20% - Accent6 3 15" xfId="2795"/>
    <cellStyle name="20% - Accent6 3 15 2" xfId="8836"/>
    <cellStyle name="20% - Accent6 3 15 2 2" xfId="25883"/>
    <cellStyle name="20% - Accent6 3 15 2 2 2" xfId="54744"/>
    <cellStyle name="20% - Accent6 3 15 2 3" xfId="37697"/>
    <cellStyle name="20% - Accent6 3 15 3" xfId="17431"/>
    <cellStyle name="20% - Accent6 3 15 3 2" xfId="46292"/>
    <cellStyle name="20% - Accent6 3 15 4" xfId="31656"/>
    <cellStyle name="20% - Accent6 3 16" xfId="5681"/>
    <cellStyle name="20% - Accent6 3 16 2" xfId="11722"/>
    <cellStyle name="20% - Accent6 3 16 2 2" xfId="28769"/>
    <cellStyle name="20% - Accent6 3 16 2 2 2" xfId="57630"/>
    <cellStyle name="20% - Accent6 3 16 2 3" xfId="40583"/>
    <cellStyle name="20% - Accent6 3 16 3" xfId="22791"/>
    <cellStyle name="20% - Accent6 3 16 3 2" xfId="51652"/>
    <cellStyle name="20% - Accent6 3 16 4" xfId="34542"/>
    <cellStyle name="20% - Accent6 3 17" xfId="5898"/>
    <cellStyle name="20% - Accent6 3 17 2" xfId="22997"/>
    <cellStyle name="20% - Accent6 3 17 2 2" xfId="51858"/>
    <cellStyle name="20% - Accent6 3 17 3" xfId="34759"/>
    <cellStyle name="20% - Accent6 3 18" xfId="6156"/>
    <cellStyle name="20% - Accent6 3 18 2" xfId="23203"/>
    <cellStyle name="20% - Accent6 3 18 2 2" xfId="52064"/>
    <cellStyle name="20% - Accent6 3 18 3" xfId="35017"/>
    <cellStyle name="20% - Accent6 3 19" xfId="14545"/>
    <cellStyle name="20% - Accent6 3 19 2" xfId="43406"/>
    <cellStyle name="20% - Accent6 3 2" xfId="320"/>
    <cellStyle name="20% - Accent6 3 2 10" xfId="2483"/>
    <cellStyle name="20% - Accent6 3 2 10 2" xfId="5370"/>
    <cellStyle name="20% - Accent6 3 2 10 2 2" xfId="11411"/>
    <cellStyle name="20% - Accent6 3 2 10 2 2 2" xfId="28458"/>
    <cellStyle name="20% - Accent6 3 2 10 2 2 2 2" xfId="57319"/>
    <cellStyle name="20% - Accent6 3 2 10 2 2 3" xfId="40272"/>
    <cellStyle name="20% - Accent6 3 2 10 2 3" xfId="22480"/>
    <cellStyle name="20% - Accent6 3 2 10 2 3 2" xfId="51341"/>
    <cellStyle name="20% - Accent6 3 2 10 2 4" xfId="34231"/>
    <cellStyle name="20% - Accent6 3 2 10 3" xfId="8525"/>
    <cellStyle name="20% - Accent6 3 2 10 3 2" xfId="25572"/>
    <cellStyle name="20% - Accent6 3 2 10 3 2 2" xfId="54433"/>
    <cellStyle name="20% - Accent6 3 2 10 3 3" xfId="37386"/>
    <cellStyle name="20% - Accent6 3 2 10 4" xfId="12508"/>
    <cellStyle name="20% - Accent6 3 2 10 4 2" xfId="19800"/>
    <cellStyle name="20% - Accent6 3 2 10 4 2 2" xfId="48661"/>
    <cellStyle name="20% - Accent6 3 2 10 4 3" xfId="41369"/>
    <cellStyle name="20% - Accent6 3 2 10 5" xfId="17120"/>
    <cellStyle name="20% - Accent6 3 2 10 5 2" xfId="45981"/>
    <cellStyle name="20% - Accent6 3 2 10 6" xfId="31345"/>
    <cellStyle name="20% - Accent6 3 2 11" xfId="2692"/>
    <cellStyle name="20% - Accent6 3 2 11 2" xfId="5578"/>
    <cellStyle name="20% - Accent6 3 2 11 2 2" xfId="11619"/>
    <cellStyle name="20% - Accent6 3 2 11 2 2 2" xfId="28666"/>
    <cellStyle name="20% - Accent6 3 2 11 2 2 2 2" xfId="57527"/>
    <cellStyle name="20% - Accent6 3 2 11 2 2 3" xfId="40480"/>
    <cellStyle name="20% - Accent6 3 2 11 2 3" xfId="22688"/>
    <cellStyle name="20% - Accent6 3 2 11 2 3 2" xfId="51549"/>
    <cellStyle name="20% - Accent6 3 2 11 2 4" xfId="34439"/>
    <cellStyle name="20% - Accent6 3 2 11 3" xfId="8733"/>
    <cellStyle name="20% - Accent6 3 2 11 3 2" xfId="25780"/>
    <cellStyle name="20% - Accent6 3 2 11 3 2 2" xfId="54641"/>
    <cellStyle name="20% - Accent6 3 2 11 3 3" xfId="37594"/>
    <cellStyle name="20% - Accent6 3 2 11 4" xfId="13309"/>
    <cellStyle name="20% - Accent6 3 2 11 4 2" xfId="20008"/>
    <cellStyle name="20% - Accent6 3 2 11 4 2 2" xfId="48869"/>
    <cellStyle name="20% - Accent6 3 2 11 4 3" xfId="42170"/>
    <cellStyle name="20% - Accent6 3 2 11 5" xfId="17328"/>
    <cellStyle name="20% - Accent6 3 2 11 5 2" xfId="46189"/>
    <cellStyle name="20% - Accent6 3 2 11 6" xfId="31553"/>
    <cellStyle name="20% - Accent6 3 2 12" xfId="3207"/>
    <cellStyle name="20% - Accent6 3 2 12 2" xfId="9248"/>
    <cellStyle name="20% - Accent6 3 2 12 2 2" xfId="26295"/>
    <cellStyle name="20% - Accent6 3 2 12 2 2 2" xfId="55156"/>
    <cellStyle name="20% - Accent6 3 2 12 2 3" xfId="38109"/>
    <cellStyle name="20% - Accent6 3 2 12 3" xfId="13409"/>
    <cellStyle name="20% - Accent6 3 2 12 3 2" xfId="20317"/>
    <cellStyle name="20% - Accent6 3 2 12 3 2 2" xfId="49178"/>
    <cellStyle name="20% - Accent6 3 2 12 3 3" xfId="42270"/>
    <cellStyle name="20% - Accent6 3 2 12 4" xfId="14957"/>
    <cellStyle name="20% - Accent6 3 2 12 4 2" xfId="43818"/>
    <cellStyle name="20% - Accent6 3 2 12 5" xfId="32068"/>
    <cellStyle name="20% - Accent6 3 2 13" xfId="2898"/>
    <cellStyle name="20% - Accent6 3 2 13 2" xfId="8939"/>
    <cellStyle name="20% - Accent6 3 2 13 2 2" xfId="25986"/>
    <cellStyle name="20% - Accent6 3 2 13 2 2 2" xfId="54847"/>
    <cellStyle name="20% - Accent6 3 2 13 2 3" xfId="37800"/>
    <cellStyle name="20% - Accent6 3 2 13 3" xfId="17534"/>
    <cellStyle name="20% - Accent6 3 2 13 3 2" xfId="46395"/>
    <cellStyle name="20% - Accent6 3 2 13 4" xfId="31759"/>
    <cellStyle name="20% - Accent6 3 2 14" xfId="5784"/>
    <cellStyle name="20% - Accent6 3 2 14 2" xfId="11825"/>
    <cellStyle name="20% - Accent6 3 2 14 2 2" xfId="28872"/>
    <cellStyle name="20% - Accent6 3 2 14 2 2 2" xfId="57733"/>
    <cellStyle name="20% - Accent6 3 2 14 2 3" xfId="40686"/>
    <cellStyle name="20% - Accent6 3 2 14 3" xfId="22894"/>
    <cellStyle name="20% - Accent6 3 2 14 3 2" xfId="51755"/>
    <cellStyle name="20% - Accent6 3 2 14 4" xfId="34645"/>
    <cellStyle name="20% - Accent6 3 2 15" xfId="6001"/>
    <cellStyle name="20% - Accent6 3 2 15 2" xfId="23100"/>
    <cellStyle name="20% - Accent6 3 2 15 2 2" xfId="51961"/>
    <cellStyle name="20% - Accent6 3 2 15 3" xfId="34862"/>
    <cellStyle name="20% - Accent6 3 2 16" xfId="6362"/>
    <cellStyle name="20% - Accent6 3 2 16 2" xfId="23409"/>
    <cellStyle name="20% - Accent6 3 2 16 2 2" xfId="52270"/>
    <cellStyle name="20% - Accent6 3 2 16 3" xfId="35223"/>
    <cellStyle name="20% - Accent6 3 2 17" xfId="14648"/>
    <cellStyle name="20% - Accent6 3 2 17 2" xfId="43509"/>
    <cellStyle name="20% - Accent6 3 2 18" xfId="29182"/>
    <cellStyle name="20% - Accent6 3 2 2" xfId="526"/>
    <cellStyle name="20% - Accent6 3 2 2 2" xfId="2277"/>
    <cellStyle name="20% - Accent6 3 2 2 2 2" xfId="5164"/>
    <cellStyle name="20% - Accent6 3 2 2 2 2 2" xfId="11205"/>
    <cellStyle name="20% - Accent6 3 2 2 2 2 2 2" xfId="28252"/>
    <cellStyle name="20% - Accent6 3 2 2 2 2 2 2 2" xfId="57113"/>
    <cellStyle name="20% - Accent6 3 2 2 2 2 2 3" xfId="40066"/>
    <cellStyle name="20% - Accent6 3 2 2 2 2 3" xfId="22274"/>
    <cellStyle name="20% - Accent6 3 2 2 2 2 3 2" xfId="51135"/>
    <cellStyle name="20% - Accent6 3 2 2 2 2 4" xfId="34025"/>
    <cellStyle name="20% - Accent6 3 2 2 2 3" xfId="8319"/>
    <cellStyle name="20% - Accent6 3 2 2 2 3 2" xfId="25366"/>
    <cellStyle name="20% - Accent6 3 2 2 2 3 2 2" xfId="54227"/>
    <cellStyle name="20% - Accent6 3 2 2 2 3 3" xfId="37180"/>
    <cellStyle name="20% - Accent6 3 2 2 2 4" xfId="12200"/>
    <cellStyle name="20% - Accent6 3 2 2 2 4 2" xfId="19594"/>
    <cellStyle name="20% - Accent6 3 2 2 2 4 2 2" xfId="48455"/>
    <cellStyle name="20% - Accent6 3 2 2 2 4 3" xfId="41061"/>
    <cellStyle name="20% - Accent6 3 2 2 2 5" xfId="16914"/>
    <cellStyle name="20% - Accent6 3 2 2 2 5 2" xfId="45775"/>
    <cellStyle name="20% - Accent6 3 2 2 2 6" xfId="31139"/>
    <cellStyle name="20% - Accent6 3 2 2 3" xfId="3413"/>
    <cellStyle name="20% - Accent6 3 2 2 3 2" xfId="9454"/>
    <cellStyle name="20% - Accent6 3 2 2 3 2 2" xfId="26501"/>
    <cellStyle name="20% - Accent6 3 2 2 3 2 2 2" xfId="55362"/>
    <cellStyle name="20% - Accent6 3 2 2 3 2 3" xfId="38315"/>
    <cellStyle name="20% - Accent6 3 2 2 3 3" xfId="20523"/>
    <cellStyle name="20% - Accent6 3 2 2 3 3 2" xfId="49384"/>
    <cellStyle name="20% - Accent6 3 2 2 3 4" xfId="32274"/>
    <cellStyle name="20% - Accent6 3 2 2 4" xfId="6568"/>
    <cellStyle name="20% - Accent6 3 2 2 4 2" xfId="23615"/>
    <cellStyle name="20% - Accent6 3 2 2 4 2 2" xfId="52476"/>
    <cellStyle name="20% - Accent6 3 2 2 4 3" xfId="35429"/>
    <cellStyle name="20% - Accent6 3 2 2 5" xfId="13052"/>
    <cellStyle name="20% - Accent6 3 2 2 5 2" xfId="17843"/>
    <cellStyle name="20% - Accent6 3 2 2 5 2 2" xfId="46704"/>
    <cellStyle name="20% - Accent6 3 2 2 5 3" xfId="41913"/>
    <cellStyle name="20% - Accent6 3 2 2 6" xfId="15163"/>
    <cellStyle name="20% - Accent6 3 2 2 6 2" xfId="44024"/>
    <cellStyle name="20% - Accent6 3 2 2 7" xfId="29388"/>
    <cellStyle name="20% - Accent6 3 2 3" xfId="835"/>
    <cellStyle name="20% - Accent6 3 2 3 2" xfId="3722"/>
    <cellStyle name="20% - Accent6 3 2 3 2 2" xfId="9763"/>
    <cellStyle name="20% - Accent6 3 2 3 2 2 2" xfId="26810"/>
    <cellStyle name="20% - Accent6 3 2 3 2 2 2 2" xfId="55671"/>
    <cellStyle name="20% - Accent6 3 2 3 2 2 3" xfId="38624"/>
    <cellStyle name="20% - Accent6 3 2 3 2 3" xfId="20832"/>
    <cellStyle name="20% - Accent6 3 2 3 2 3 2" xfId="49693"/>
    <cellStyle name="20% - Accent6 3 2 3 2 4" xfId="32583"/>
    <cellStyle name="20% - Accent6 3 2 3 3" xfId="6877"/>
    <cellStyle name="20% - Accent6 3 2 3 3 2" xfId="23924"/>
    <cellStyle name="20% - Accent6 3 2 3 3 2 2" xfId="52785"/>
    <cellStyle name="20% - Accent6 3 2 3 3 3" xfId="35738"/>
    <cellStyle name="20% - Accent6 3 2 3 4" xfId="12892"/>
    <cellStyle name="20% - Accent6 3 2 3 4 2" xfId="18152"/>
    <cellStyle name="20% - Accent6 3 2 3 4 2 2" xfId="47013"/>
    <cellStyle name="20% - Accent6 3 2 3 4 3" xfId="41753"/>
    <cellStyle name="20% - Accent6 3 2 3 5" xfId="15472"/>
    <cellStyle name="20% - Accent6 3 2 3 5 2" xfId="44333"/>
    <cellStyle name="20% - Accent6 3 2 3 6" xfId="29697"/>
    <cellStyle name="20% - Accent6 3 2 4" xfId="1041"/>
    <cellStyle name="20% - Accent6 3 2 4 2" xfId="3928"/>
    <cellStyle name="20% - Accent6 3 2 4 2 2" xfId="9969"/>
    <cellStyle name="20% - Accent6 3 2 4 2 2 2" xfId="27016"/>
    <cellStyle name="20% - Accent6 3 2 4 2 2 2 2" xfId="55877"/>
    <cellStyle name="20% - Accent6 3 2 4 2 2 3" xfId="38830"/>
    <cellStyle name="20% - Accent6 3 2 4 2 3" xfId="21038"/>
    <cellStyle name="20% - Accent6 3 2 4 2 3 2" xfId="49899"/>
    <cellStyle name="20% - Accent6 3 2 4 2 4" xfId="32789"/>
    <cellStyle name="20% - Accent6 3 2 4 3" xfId="7083"/>
    <cellStyle name="20% - Accent6 3 2 4 3 2" xfId="24130"/>
    <cellStyle name="20% - Accent6 3 2 4 3 2 2" xfId="52991"/>
    <cellStyle name="20% - Accent6 3 2 4 3 3" xfId="35944"/>
    <cellStyle name="20% - Accent6 3 2 4 4" xfId="13414"/>
    <cellStyle name="20% - Accent6 3 2 4 4 2" xfId="18358"/>
    <cellStyle name="20% - Accent6 3 2 4 4 2 2" xfId="47219"/>
    <cellStyle name="20% - Accent6 3 2 4 4 3" xfId="42275"/>
    <cellStyle name="20% - Accent6 3 2 4 5" xfId="15678"/>
    <cellStyle name="20% - Accent6 3 2 4 5 2" xfId="44539"/>
    <cellStyle name="20% - Accent6 3 2 4 6" xfId="29903"/>
    <cellStyle name="20% - Accent6 3 2 5" xfId="1247"/>
    <cellStyle name="20% - Accent6 3 2 5 2" xfId="4134"/>
    <cellStyle name="20% - Accent6 3 2 5 2 2" xfId="10175"/>
    <cellStyle name="20% - Accent6 3 2 5 2 2 2" xfId="27222"/>
    <cellStyle name="20% - Accent6 3 2 5 2 2 2 2" xfId="56083"/>
    <cellStyle name="20% - Accent6 3 2 5 2 2 3" xfId="39036"/>
    <cellStyle name="20% - Accent6 3 2 5 2 3" xfId="21244"/>
    <cellStyle name="20% - Accent6 3 2 5 2 3 2" xfId="50105"/>
    <cellStyle name="20% - Accent6 3 2 5 2 4" xfId="32995"/>
    <cellStyle name="20% - Accent6 3 2 5 3" xfId="7289"/>
    <cellStyle name="20% - Accent6 3 2 5 3 2" xfId="24336"/>
    <cellStyle name="20% - Accent6 3 2 5 3 2 2" xfId="53197"/>
    <cellStyle name="20% - Accent6 3 2 5 3 3" xfId="36150"/>
    <cellStyle name="20% - Accent6 3 2 5 4" xfId="13151"/>
    <cellStyle name="20% - Accent6 3 2 5 4 2" xfId="18564"/>
    <cellStyle name="20% - Accent6 3 2 5 4 2 2" xfId="47425"/>
    <cellStyle name="20% - Accent6 3 2 5 4 3" xfId="42012"/>
    <cellStyle name="20% - Accent6 3 2 5 5" xfId="15884"/>
    <cellStyle name="20% - Accent6 3 2 5 5 2" xfId="44745"/>
    <cellStyle name="20% - Accent6 3 2 5 6" xfId="30109"/>
    <cellStyle name="20% - Accent6 3 2 6" xfId="1453"/>
    <cellStyle name="20% - Accent6 3 2 6 2" xfId="4340"/>
    <cellStyle name="20% - Accent6 3 2 6 2 2" xfId="10381"/>
    <cellStyle name="20% - Accent6 3 2 6 2 2 2" xfId="27428"/>
    <cellStyle name="20% - Accent6 3 2 6 2 2 2 2" xfId="56289"/>
    <cellStyle name="20% - Accent6 3 2 6 2 2 3" xfId="39242"/>
    <cellStyle name="20% - Accent6 3 2 6 2 3" xfId="21450"/>
    <cellStyle name="20% - Accent6 3 2 6 2 3 2" xfId="50311"/>
    <cellStyle name="20% - Accent6 3 2 6 2 4" xfId="33201"/>
    <cellStyle name="20% - Accent6 3 2 6 3" xfId="7495"/>
    <cellStyle name="20% - Accent6 3 2 6 3 2" xfId="24542"/>
    <cellStyle name="20% - Accent6 3 2 6 3 2 2" xfId="53403"/>
    <cellStyle name="20% - Accent6 3 2 6 3 3" xfId="36356"/>
    <cellStyle name="20% - Accent6 3 2 6 4" xfId="13722"/>
    <cellStyle name="20% - Accent6 3 2 6 4 2" xfId="18770"/>
    <cellStyle name="20% - Accent6 3 2 6 4 2 2" xfId="47631"/>
    <cellStyle name="20% - Accent6 3 2 6 4 3" xfId="42583"/>
    <cellStyle name="20% - Accent6 3 2 6 5" xfId="16090"/>
    <cellStyle name="20% - Accent6 3 2 6 5 2" xfId="44951"/>
    <cellStyle name="20% - Accent6 3 2 6 6" xfId="30315"/>
    <cellStyle name="20% - Accent6 3 2 7" xfId="1659"/>
    <cellStyle name="20% - Accent6 3 2 7 2" xfId="4546"/>
    <cellStyle name="20% - Accent6 3 2 7 2 2" xfId="10587"/>
    <cellStyle name="20% - Accent6 3 2 7 2 2 2" xfId="27634"/>
    <cellStyle name="20% - Accent6 3 2 7 2 2 2 2" xfId="56495"/>
    <cellStyle name="20% - Accent6 3 2 7 2 2 3" xfId="39448"/>
    <cellStyle name="20% - Accent6 3 2 7 2 3" xfId="21656"/>
    <cellStyle name="20% - Accent6 3 2 7 2 3 2" xfId="50517"/>
    <cellStyle name="20% - Accent6 3 2 7 2 4" xfId="33407"/>
    <cellStyle name="20% - Accent6 3 2 7 3" xfId="7701"/>
    <cellStyle name="20% - Accent6 3 2 7 3 2" xfId="24748"/>
    <cellStyle name="20% - Accent6 3 2 7 3 2 2" xfId="53609"/>
    <cellStyle name="20% - Accent6 3 2 7 3 3" xfId="36562"/>
    <cellStyle name="20% - Accent6 3 2 7 4" xfId="14265"/>
    <cellStyle name="20% - Accent6 3 2 7 4 2" xfId="18976"/>
    <cellStyle name="20% - Accent6 3 2 7 4 2 2" xfId="47837"/>
    <cellStyle name="20% - Accent6 3 2 7 4 3" xfId="43126"/>
    <cellStyle name="20% - Accent6 3 2 7 5" xfId="16296"/>
    <cellStyle name="20% - Accent6 3 2 7 5 2" xfId="45157"/>
    <cellStyle name="20% - Accent6 3 2 7 6" xfId="30521"/>
    <cellStyle name="20% - Accent6 3 2 8" xfId="1865"/>
    <cellStyle name="20% - Accent6 3 2 8 2" xfId="4752"/>
    <cellStyle name="20% - Accent6 3 2 8 2 2" xfId="10793"/>
    <cellStyle name="20% - Accent6 3 2 8 2 2 2" xfId="27840"/>
    <cellStyle name="20% - Accent6 3 2 8 2 2 2 2" xfId="56701"/>
    <cellStyle name="20% - Accent6 3 2 8 2 2 3" xfId="39654"/>
    <cellStyle name="20% - Accent6 3 2 8 2 3" xfId="21862"/>
    <cellStyle name="20% - Accent6 3 2 8 2 3 2" xfId="50723"/>
    <cellStyle name="20% - Accent6 3 2 8 2 4" xfId="33613"/>
    <cellStyle name="20% - Accent6 3 2 8 3" xfId="7907"/>
    <cellStyle name="20% - Accent6 3 2 8 3 2" xfId="24954"/>
    <cellStyle name="20% - Accent6 3 2 8 3 2 2" xfId="53815"/>
    <cellStyle name="20% - Accent6 3 2 8 3 3" xfId="36768"/>
    <cellStyle name="20% - Accent6 3 2 8 4" xfId="12761"/>
    <cellStyle name="20% - Accent6 3 2 8 4 2" xfId="19182"/>
    <cellStyle name="20% - Accent6 3 2 8 4 2 2" xfId="48043"/>
    <cellStyle name="20% - Accent6 3 2 8 4 3" xfId="41622"/>
    <cellStyle name="20% - Accent6 3 2 8 5" xfId="16502"/>
    <cellStyle name="20% - Accent6 3 2 8 5 2" xfId="45363"/>
    <cellStyle name="20% - Accent6 3 2 8 6" xfId="30727"/>
    <cellStyle name="20% - Accent6 3 2 9" xfId="2071"/>
    <cellStyle name="20% - Accent6 3 2 9 2" xfId="4958"/>
    <cellStyle name="20% - Accent6 3 2 9 2 2" xfId="10999"/>
    <cellStyle name="20% - Accent6 3 2 9 2 2 2" xfId="28046"/>
    <cellStyle name="20% - Accent6 3 2 9 2 2 2 2" xfId="56907"/>
    <cellStyle name="20% - Accent6 3 2 9 2 2 3" xfId="39860"/>
    <cellStyle name="20% - Accent6 3 2 9 2 3" xfId="22068"/>
    <cellStyle name="20% - Accent6 3 2 9 2 3 2" xfId="50929"/>
    <cellStyle name="20% - Accent6 3 2 9 2 4" xfId="33819"/>
    <cellStyle name="20% - Accent6 3 2 9 3" xfId="8113"/>
    <cellStyle name="20% - Accent6 3 2 9 3 2" xfId="25160"/>
    <cellStyle name="20% - Accent6 3 2 9 3 2 2" xfId="54021"/>
    <cellStyle name="20% - Accent6 3 2 9 3 3" xfId="36974"/>
    <cellStyle name="20% - Accent6 3 2 9 4" xfId="13018"/>
    <cellStyle name="20% - Accent6 3 2 9 4 2" xfId="19388"/>
    <cellStyle name="20% - Accent6 3 2 9 4 2 2" xfId="48249"/>
    <cellStyle name="20% - Accent6 3 2 9 4 3" xfId="41879"/>
    <cellStyle name="20% - Accent6 3 2 9 5" xfId="16708"/>
    <cellStyle name="20% - Accent6 3 2 9 5 2" xfId="45569"/>
    <cellStyle name="20% - Accent6 3 2 9 6" xfId="30933"/>
    <cellStyle name="20% - Accent6 3 20" xfId="28976"/>
    <cellStyle name="20% - Accent6 3 3" xfId="217"/>
    <cellStyle name="20% - Accent6 3 3 2" xfId="629"/>
    <cellStyle name="20% - Accent6 3 3 2 2" xfId="3516"/>
    <cellStyle name="20% - Accent6 3 3 2 2 2" xfId="9557"/>
    <cellStyle name="20% - Accent6 3 3 2 2 2 2" xfId="26604"/>
    <cellStyle name="20% - Accent6 3 3 2 2 2 2 2" xfId="55465"/>
    <cellStyle name="20% - Accent6 3 3 2 2 2 3" xfId="38418"/>
    <cellStyle name="20% - Accent6 3 3 2 2 3" xfId="20626"/>
    <cellStyle name="20% - Accent6 3 3 2 2 3 2" xfId="49487"/>
    <cellStyle name="20% - Accent6 3 3 2 2 4" xfId="32377"/>
    <cellStyle name="20% - Accent6 3 3 2 3" xfId="6671"/>
    <cellStyle name="20% - Accent6 3 3 2 3 2" xfId="23718"/>
    <cellStyle name="20% - Accent6 3 3 2 3 2 2" xfId="52579"/>
    <cellStyle name="20% - Accent6 3 3 2 3 3" xfId="35532"/>
    <cellStyle name="20% - Accent6 3 3 2 4" xfId="13716"/>
    <cellStyle name="20% - Accent6 3 3 2 4 2" xfId="17946"/>
    <cellStyle name="20% - Accent6 3 3 2 4 2 2" xfId="46807"/>
    <cellStyle name="20% - Accent6 3 3 2 4 3" xfId="42577"/>
    <cellStyle name="20% - Accent6 3 3 2 5" xfId="15266"/>
    <cellStyle name="20% - Accent6 3 3 2 5 2" xfId="44127"/>
    <cellStyle name="20% - Accent6 3 3 2 6" xfId="29491"/>
    <cellStyle name="20% - Accent6 3 3 3" xfId="2174"/>
    <cellStyle name="20% - Accent6 3 3 3 2" xfId="5061"/>
    <cellStyle name="20% - Accent6 3 3 3 2 2" xfId="11102"/>
    <cellStyle name="20% - Accent6 3 3 3 2 2 2" xfId="28149"/>
    <cellStyle name="20% - Accent6 3 3 3 2 2 2 2" xfId="57010"/>
    <cellStyle name="20% - Accent6 3 3 3 2 2 3" xfId="39963"/>
    <cellStyle name="20% - Accent6 3 3 3 2 3" xfId="22171"/>
    <cellStyle name="20% - Accent6 3 3 3 2 3 2" xfId="51032"/>
    <cellStyle name="20% - Accent6 3 3 3 2 4" xfId="33922"/>
    <cellStyle name="20% - Accent6 3 3 3 3" xfId="8216"/>
    <cellStyle name="20% - Accent6 3 3 3 3 2" xfId="25263"/>
    <cellStyle name="20% - Accent6 3 3 3 3 2 2" xfId="54124"/>
    <cellStyle name="20% - Accent6 3 3 3 3 3" xfId="37077"/>
    <cellStyle name="20% - Accent6 3 3 3 4" xfId="13394"/>
    <cellStyle name="20% - Accent6 3 3 3 4 2" xfId="19491"/>
    <cellStyle name="20% - Accent6 3 3 3 4 2 2" xfId="48352"/>
    <cellStyle name="20% - Accent6 3 3 3 4 3" xfId="42255"/>
    <cellStyle name="20% - Accent6 3 3 3 5" xfId="16811"/>
    <cellStyle name="20% - Accent6 3 3 3 5 2" xfId="45672"/>
    <cellStyle name="20% - Accent6 3 3 3 6" xfId="31036"/>
    <cellStyle name="20% - Accent6 3 3 4" xfId="3104"/>
    <cellStyle name="20% - Accent6 3 3 4 2" xfId="9145"/>
    <cellStyle name="20% - Accent6 3 3 4 2 2" xfId="26192"/>
    <cellStyle name="20% - Accent6 3 3 4 2 2 2" xfId="55053"/>
    <cellStyle name="20% - Accent6 3 3 4 2 3" xfId="38006"/>
    <cellStyle name="20% - Accent6 3 3 4 3" xfId="20214"/>
    <cellStyle name="20% - Accent6 3 3 4 3 2" xfId="49075"/>
    <cellStyle name="20% - Accent6 3 3 4 4" xfId="31965"/>
    <cellStyle name="20% - Accent6 3 3 5" xfId="6259"/>
    <cellStyle name="20% - Accent6 3 3 5 2" xfId="23306"/>
    <cellStyle name="20% - Accent6 3 3 5 2 2" xfId="52167"/>
    <cellStyle name="20% - Accent6 3 3 5 3" xfId="35120"/>
    <cellStyle name="20% - Accent6 3 3 6" xfId="11983"/>
    <cellStyle name="20% - Accent6 3 3 6 2" xfId="17637"/>
    <cellStyle name="20% - Accent6 3 3 6 2 2" xfId="46498"/>
    <cellStyle name="20% - Accent6 3 3 6 3" xfId="40844"/>
    <cellStyle name="20% - Accent6 3 3 7" xfId="14854"/>
    <cellStyle name="20% - Accent6 3 3 7 2" xfId="43715"/>
    <cellStyle name="20% - Accent6 3 3 8" xfId="29079"/>
    <cellStyle name="20% - Accent6 3 4" xfId="423"/>
    <cellStyle name="20% - Accent6 3 4 2" xfId="3310"/>
    <cellStyle name="20% - Accent6 3 4 2 2" xfId="9351"/>
    <cellStyle name="20% - Accent6 3 4 2 2 2" xfId="26398"/>
    <cellStyle name="20% - Accent6 3 4 2 2 2 2" xfId="55259"/>
    <cellStyle name="20% - Accent6 3 4 2 2 3" xfId="38212"/>
    <cellStyle name="20% - Accent6 3 4 2 3" xfId="20420"/>
    <cellStyle name="20% - Accent6 3 4 2 3 2" xfId="49281"/>
    <cellStyle name="20% - Accent6 3 4 2 4" xfId="32171"/>
    <cellStyle name="20% - Accent6 3 4 3" xfId="6465"/>
    <cellStyle name="20% - Accent6 3 4 3 2" xfId="23512"/>
    <cellStyle name="20% - Accent6 3 4 3 2 2" xfId="52373"/>
    <cellStyle name="20% - Accent6 3 4 3 3" xfId="35326"/>
    <cellStyle name="20% - Accent6 3 4 4" xfId="13823"/>
    <cellStyle name="20% - Accent6 3 4 4 2" xfId="17740"/>
    <cellStyle name="20% - Accent6 3 4 4 2 2" xfId="46601"/>
    <cellStyle name="20% - Accent6 3 4 4 3" xfId="42684"/>
    <cellStyle name="20% - Accent6 3 4 5" xfId="15060"/>
    <cellStyle name="20% - Accent6 3 4 5 2" xfId="43921"/>
    <cellStyle name="20% - Accent6 3 4 6" xfId="29285"/>
    <cellStyle name="20% - Accent6 3 5" xfId="732"/>
    <cellStyle name="20% - Accent6 3 5 2" xfId="3619"/>
    <cellStyle name="20% - Accent6 3 5 2 2" xfId="9660"/>
    <cellStyle name="20% - Accent6 3 5 2 2 2" xfId="26707"/>
    <cellStyle name="20% - Accent6 3 5 2 2 2 2" xfId="55568"/>
    <cellStyle name="20% - Accent6 3 5 2 2 3" xfId="38521"/>
    <cellStyle name="20% - Accent6 3 5 2 3" xfId="20729"/>
    <cellStyle name="20% - Accent6 3 5 2 3 2" xfId="49590"/>
    <cellStyle name="20% - Accent6 3 5 2 4" xfId="32480"/>
    <cellStyle name="20% - Accent6 3 5 3" xfId="6774"/>
    <cellStyle name="20% - Accent6 3 5 3 2" xfId="23821"/>
    <cellStyle name="20% - Accent6 3 5 3 2 2" xfId="52682"/>
    <cellStyle name="20% - Accent6 3 5 3 3" xfId="35635"/>
    <cellStyle name="20% - Accent6 3 5 4" xfId="14269"/>
    <cellStyle name="20% - Accent6 3 5 4 2" xfId="18049"/>
    <cellStyle name="20% - Accent6 3 5 4 2 2" xfId="46910"/>
    <cellStyle name="20% - Accent6 3 5 4 3" xfId="43130"/>
    <cellStyle name="20% - Accent6 3 5 5" xfId="15369"/>
    <cellStyle name="20% - Accent6 3 5 5 2" xfId="44230"/>
    <cellStyle name="20% - Accent6 3 5 6" xfId="29594"/>
    <cellStyle name="20% - Accent6 3 6" xfId="938"/>
    <cellStyle name="20% - Accent6 3 6 2" xfId="3825"/>
    <cellStyle name="20% - Accent6 3 6 2 2" xfId="9866"/>
    <cellStyle name="20% - Accent6 3 6 2 2 2" xfId="26913"/>
    <cellStyle name="20% - Accent6 3 6 2 2 2 2" xfId="55774"/>
    <cellStyle name="20% - Accent6 3 6 2 2 3" xfId="38727"/>
    <cellStyle name="20% - Accent6 3 6 2 3" xfId="20935"/>
    <cellStyle name="20% - Accent6 3 6 2 3 2" xfId="49796"/>
    <cellStyle name="20% - Accent6 3 6 2 4" xfId="32686"/>
    <cellStyle name="20% - Accent6 3 6 3" xfId="6980"/>
    <cellStyle name="20% - Accent6 3 6 3 2" xfId="24027"/>
    <cellStyle name="20% - Accent6 3 6 3 2 2" xfId="52888"/>
    <cellStyle name="20% - Accent6 3 6 3 3" xfId="35841"/>
    <cellStyle name="20% - Accent6 3 6 4" xfId="13453"/>
    <cellStyle name="20% - Accent6 3 6 4 2" xfId="18255"/>
    <cellStyle name="20% - Accent6 3 6 4 2 2" xfId="47116"/>
    <cellStyle name="20% - Accent6 3 6 4 3" xfId="42314"/>
    <cellStyle name="20% - Accent6 3 6 5" xfId="15575"/>
    <cellStyle name="20% - Accent6 3 6 5 2" xfId="44436"/>
    <cellStyle name="20% - Accent6 3 6 6" xfId="29800"/>
    <cellStyle name="20% - Accent6 3 7" xfId="1144"/>
    <cellStyle name="20% - Accent6 3 7 2" xfId="4031"/>
    <cellStyle name="20% - Accent6 3 7 2 2" xfId="10072"/>
    <cellStyle name="20% - Accent6 3 7 2 2 2" xfId="27119"/>
    <cellStyle name="20% - Accent6 3 7 2 2 2 2" xfId="55980"/>
    <cellStyle name="20% - Accent6 3 7 2 2 3" xfId="38933"/>
    <cellStyle name="20% - Accent6 3 7 2 3" xfId="21141"/>
    <cellStyle name="20% - Accent6 3 7 2 3 2" xfId="50002"/>
    <cellStyle name="20% - Accent6 3 7 2 4" xfId="32892"/>
    <cellStyle name="20% - Accent6 3 7 3" xfId="7186"/>
    <cellStyle name="20% - Accent6 3 7 3 2" xfId="24233"/>
    <cellStyle name="20% - Accent6 3 7 3 2 2" xfId="53094"/>
    <cellStyle name="20% - Accent6 3 7 3 3" xfId="36047"/>
    <cellStyle name="20% - Accent6 3 7 4" xfId="13274"/>
    <cellStyle name="20% - Accent6 3 7 4 2" xfId="18461"/>
    <cellStyle name="20% - Accent6 3 7 4 2 2" xfId="47322"/>
    <cellStyle name="20% - Accent6 3 7 4 3" xfId="42135"/>
    <cellStyle name="20% - Accent6 3 7 5" xfId="15781"/>
    <cellStyle name="20% - Accent6 3 7 5 2" xfId="44642"/>
    <cellStyle name="20% - Accent6 3 7 6" xfId="30006"/>
    <cellStyle name="20% - Accent6 3 8" xfId="1350"/>
    <cellStyle name="20% - Accent6 3 8 2" xfId="4237"/>
    <cellStyle name="20% - Accent6 3 8 2 2" xfId="10278"/>
    <cellStyle name="20% - Accent6 3 8 2 2 2" xfId="27325"/>
    <cellStyle name="20% - Accent6 3 8 2 2 2 2" xfId="56186"/>
    <cellStyle name="20% - Accent6 3 8 2 2 3" xfId="39139"/>
    <cellStyle name="20% - Accent6 3 8 2 3" xfId="21347"/>
    <cellStyle name="20% - Accent6 3 8 2 3 2" xfId="50208"/>
    <cellStyle name="20% - Accent6 3 8 2 4" xfId="33098"/>
    <cellStyle name="20% - Accent6 3 8 3" xfId="7392"/>
    <cellStyle name="20% - Accent6 3 8 3 2" xfId="24439"/>
    <cellStyle name="20% - Accent6 3 8 3 2 2" xfId="53300"/>
    <cellStyle name="20% - Accent6 3 8 3 3" xfId="36253"/>
    <cellStyle name="20% - Accent6 3 8 4" xfId="12851"/>
    <cellStyle name="20% - Accent6 3 8 4 2" xfId="18667"/>
    <cellStyle name="20% - Accent6 3 8 4 2 2" xfId="47528"/>
    <cellStyle name="20% - Accent6 3 8 4 3" xfId="41712"/>
    <cellStyle name="20% - Accent6 3 8 5" xfId="15987"/>
    <cellStyle name="20% - Accent6 3 8 5 2" xfId="44848"/>
    <cellStyle name="20% - Accent6 3 8 6" xfId="30212"/>
    <cellStyle name="20% - Accent6 3 9" xfId="1556"/>
    <cellStyle name="20% - Accent6 3 9 2" xfId="4443"/>
    <cellStyle name="20% - Accent6 3 9 2 2" xfId="10484"/>
    <cellStyle name="20% - Accent6 3 9 2 2 2" xfId="27531"/>
    <cellStyle name="20% - Accent6 3 9 2 2 2 2" xfId="56392"/>
    <cellStyle name="20% - Accent6 3 9 2 2 3" xfId="39345"/>
    <cellStyle name="20% - Accent6 3 9 2 3" xfId="21553"/>
    <cellStyle name="20% - Accent6 3 9 2 3 2" xfId="50414"/>
    <cellStyle name="20% - Accent6 3 9 2 4" xfId="33304"/>
    <cellStyle name="20% - Accent6 3 9 3" xfId="7598"/>
    <cellStyle name="20% - Accent6 3 9 3 2" xfId="24645"/>
    <cellStyle name="20% - Accent6 3 9 3 2 2" xfId="53506"/>
    <cellStyle name="20% - Accent6 3 9 3 3" xfId="36459"/>
    <cellStyle name="20% - Accent6 3 9 4" xfId="13623"/>
    <cellStyle name="20% - Accent6 3 9 4 2" xfId="18873"/>
    <cellStyle name="20% - Accent6 3 9 4 2 2" xfId="47734"/>
    <cellStyle name="20% - Accent6 3 9 4 3" xfId="42484"/>
    <cellStyle name="20% - Accent6 3 9 5" xfId="16193"/>
    <cellStyle name="20% - Accent6 3 9 5 2" xfId="45054"/>
    <cellStyle name="20% - Accent6 3 9 6" xfId="30418"/>
    <cellStyle name="20% - Accent6 4" xfId="140"/>
    <cellStyle name="20% - Accent6 4 10" xfId="1788"/>
    <cellStyle name="20% - Accent6 4 10 2" xfId="4675"/>
    <cellStyle name="20% - Accent6 4 10 2 2" xfId="10716"/>
    <cellStyle name="20% - Accent6 4 10 2 2 2" xfId="27763"/>
    <cellStyle name="20% - Accent6 4 10 2 2 2 2" xfId="56624"/>
    <cellStyle name="20% - Accent6 4 10 2 2 3" xfId="39577"/>
    <cellStyle name="20% - Accent6 4 10 2 3" xfId="21785"/>
    <cellStyle name="20% - Accent6 4 10 2 3 2" xfId="50646"/>
    <cellStyle name="20% - Accent6 4 10 2 4" xfId="33536"/>
    <cellStyle name="20% - Accent6 4 10 3" xfId="7830"/>
    <cellStyle name="20% - Accent6 4 10 3 2" xfId="24877"/>
    <cellStyle name="20% - Accent6 4 10 3 2 2" xfId="53738"/>
    <cellStyle name="20% - Accent6 4 10 3 3" xfId="36691"/>
    <cellStyle name="20% - Accent6 4 10 4" xfId="13705"/>
    <cellStyle name="20% - Accent6 4 10 4 2" xfId="19105"/>
    <cellStyle name="20% - Accent6 4 10 4 2 2" xfId="47966"/>
    <cellStyle name="20% - Accent6 4 10 4 3" xfId="42566"/>
    <cellStyle name="20% - Accent6 4 10 5" xfId="16425"/>
    <cellStyle name="20% - Accent6 4 10 5 2" xfId="45286"/>
    <cellStyle name="20% - Accent6 4 10 6" xfId="30650"/>
    <cellStyle name="20% - Accent6 4 11" xfId="1994"/>
    <cellStyle name="20% - Accent6 4 11 2" xfId="4881"/>
    <cellStyle name="20% - Accent6 4 11 2 2" xfId="10922"/>
    <cellStyle name="20% - Accent6 4 11 2 2 2" xfId="27969"/>
    <cellStyle name="20% - Accent6 4 11 2 2 2 2" xfId="56830"/>
    <cellStyle name="20% - Accent6 4 11 2 2 3" xfId="39783"/>
    <cellStyle name="20% - Accent6 4 11 2 3" xfId="21991"/>
    <cellStyle name="20% - Accent6 4 11 2 3 2" xfId="50852"/>
    <cellStyle name="20% - Accent6 4 11 2 4" xfId="33742"/>
    <cellStyle name="20% - Accent6 4 11 3" xfId="8036"/>
    <cellStyle name="20% - Accent6 4 11 3 2" xfId="25083"/>
    <cellStyle name="20% - Accent6 4 11 3 2 2" xfId="53944"/>
    <cellStyle name="20% - Accent6 4 11 3 3" xfId="36897"/>
    <cellStyle name="20% - Accent6 4 11 4" xfId="12228"/>
    <cellStyle name="20% - Accent6 4 11 4 2" xfId="19311"/>
    <cellStyle name="20% - Accent6 4 11 4 2 2" xfId="48172"/>
    <cellStyle name="20% - Accent6 4 11 4 3" xfId="41089"/>
    <cellStyle name="20% - Accent6 4 11 5" xfId="16631"/>
    <cellStyle name="20% - Accent6 4 11 5 2" xfId="45492"/>
    <cellStyle name="20% - Accent6 4 11 6" xfId="30856"/>
    <cellStyle name="20% - Accent6 4 12" xfId="2406"/>
    <cellStyle name="20% - Accent6 4 12 2" xfId="5293"/>
    <cellStyle name="20% - Accent6 4 12 2 2" xfId="11334"/>
    <cellStyle name="20% - Accent6 4 12 2 2 2" xfId="28381"/>
    <cellStyle name="20% - Accent6 4 12 2 2 2 2" xfId="57242"/>
    <cellStyle name="20% - Accent6 4 12 2 2 3" xfId="40195"/>
    <cellStyle name="20% - Accent6 4 12 2 3" xfId="22403"/>
    <cellStyle name="20% - Accent6 4 12 2 3 2" xfId="51264"/>
    <cellStyle name="20% - Accent6 4 12 2 4" xfId="34154"/>
    <cellStyle name="20% - Accent6 4 12 3" xfId="8448"/>
    <cellStyle name="20% - Accent6 4 12 3 2" xfId="25495"/>
    <cellStyle name="20% - Accent6 4 12 3 2 2" xfId="54356"/>
    <cellStyle name="20% - Accent6 4 12 3 3" xfId="37309"/>
    <cellStyle name="20% - Accent6 4 12 4" xfId="12738"/>
    <cellStyle name="20% - Accent6 4 12 4 2" xfId="19723"/>
    <cellStyle name="20% - Accent6 4 12 4 2 2" xfId="48584"/>
    <cellStyle name="20% - Accent6 4 12 4 3" xfId="41599"/>
    <cellStyle name="20% - Accent6 4 12 5" xfId="17043"/>
    <cellStyle name="20% - Accent6 4 12 5 2" xfId="45904"/>
    <cellStyle name="20% - Accent6 4 12 6" xfId="31268"/>
    <cellStyle name="20% - Accent6 4 13" xfId="2615"/>
    <cellStyle name="20% - Accent6 4 13 2" xfId="5501"/>
    <cellStyle name="20% - Accent6 4 13 2 2" xfId="11542"/>
    <cellStyle name="20% - Accent6 4 13 2 2 2" xfId="28589"/>
    <cellStyle name="20% - Accent6 4 13 2 2 2 2" xfId="57450"/>
    <cellStyle name="20% - Accent6 4 13 2 2 3" xfId="40403"/>
    <cellStyle name="20% - Accent6 4 13 2 3" xfId="22611"/>
    <cellStyle name="20% - Accent6 4 13 2 3 2" xfId="51472"/>
    <cellStyle name="20% - Accent6 4 13 2 4" xfId="34362"/>
    <cellStyle name="20% - Accent6 4 13 3" xfId="8656"/>
    <cellStyle name="20% - Accent6 4 13 3 2" xfId="25703"/>
    <cellStyle name="20% - Accent6 4 13 3 2 2" xfId="54564"/>
    <cellStyle name="20% - Accent6 4 13 3 3" xfId="37517"/>
    <cellStyle name="20% - Accent6 4 13 4" xfId="12332"/>
    <cellStyle name="20% - Accent6 4 13 4 2" xfId="19931"/>
    <cellStyle name="20% - Accent6 4 13 4 2 2" xfId="48792"/>
    <cellStyle name="20% - Accent6 4 13 4 3" xfId="41193"/>
    <cellStyle name="20% - Accent6 4 13 5" xfId="17251"/>
    <cellStyle name="20% - Accent6 4 13 5 2" xfId="46112"/>
    <cellStyle name="20% - Accent6 4 13 6" xfId="31476"/>
    <cellStyle name="20% - Accent6 4 14" xfId="3027"/>
    <cellStyle name="20% - Accent6 4 14 2" xfId="9068"/>
    <cellStyle name="20% - Accent6 4 14 2 2" xfId="26115"/>
    <cellStyle name="20% - Accent6 4 14 2 2 2" xfId="54976"/>
    <cellStyle name="20% - Accent6 4 14 2 3" xfId="37929"/>
    <cellStyle name="20% - Accent6 4 14 3" xfId="14001"/>
    <cellStyle name="20% - Accent6 4 14 3 2" xfId="20137"/>
    <cellStyle name="20% - Accent6 4 14 3 2 2" xfId="48998"/>
    <cellStyle name="20% - Accent6 4 14 3 3" xfId="42862"/>
    <cellStyle name="20% - Accent6 4 14 4" xfId="14777"/>
    <cellStyle name="20% - Accent6 4 14 4 2" xfId="43638"/>
    <cellStyle name="20% - Accent6 4 14 5" xfId="31888"/>
    <cellStyle name="20% - Accent6 4 15" xfId="2821"/>
    <cellStyle name="20% - Accent6 4 15 2" xfId="8862"/>
    <cellStyle name="20% - Accent6 4 15 2 2" xfId="25909"/>
    <cellStyle name="20% - Accent6 4 15 2 2 2" xfId="54770"/>
    <cellStyle name="20% - Accent6 4 15 2 3" xfId="37723"/>
    <cellStyle name="20% - Accent6 4 15 3" xfId="17457"/>
    <cellStyle name="20% - Accent6 4 15 3 2" xfId="46318"/>
    <cellStyle name="20% - Accent6 4 15 4" xfId="31682"/>
    <cellStyle name="20% - Accent6 4 16" xfId="5707"/>
    <cellStyle name="20% - Accent6 4 16 2" xfId="11748"/>
    <cellStyle name="20% - Accent6 4 16 2 2" xfId="28795"/>
    <cellStyle name="20% - Accent6 4 16 2 2 2" xfId="57656"/>
    <cellStyle name="20% - Accent6 4 16 2 3" xfId="40609"/>
    <cellStyle name="20% - Accent6 4 16 3" xfId="22817"/>
    <cellStyle name="20% - Accent6 4 16 3 2" xfId="51678"/>
    <cellStyle name="20% - Accent6 4 16 4" xfId="34568"/>
    <cellStyle name="20% - Accent6 4 17" xfId="5924"/>
    <cellStyle name="20% - Accent6 4 17 2" xfId="23023"/>
    <cellStyle name="20% - Accent6 4 17 2 2" xfId="51884"/>
    <cellStyle name="20% - Accent6 4 17 3" xfId="34785"/>
    <cellStyle name="20% - Accent6 4 18" xfId="6182"/>
    <cellStyle name="20% - Accent6 4 18 2" xfId="23229"/>
    <cellStyle name="20% - Accent6 4 18 2 2" xfId="52090"/>
    <cellStyle name="20% - Accent6 4 18 3" xfId="35043"/>
    <cellStyle name="20% - Accent6 4 19" xfId="14571"/>
    <cellStyle name="20% - Accent6 4 19 2" xfId="43432"/>
    <cellStyle name="20% - Accent6 4 2" xfId="346"/>
    <cellStyle name="20% - Accent6 4 2 10" xfId="2509"/>
    <cellStyle name="20% - Accent6 4 2 10 2" xfId="5396"/>
    <cellStyle name="20% - Accent6 4 2 10 2 2" xfId="11437"/>
    <cellStyle name="20% - Accent6 4 2 10 2 2 2" xfId="28484"/>
    <cellStyle name="20% - Accent6 4 2 10 2 2 2 2" xfId="57345"/>
    <cellStyle name="20% - Accent6 4 2 10 2 2 3" xfId="40298"/>
    <cellStyle name="20% - Accent6 4 2 10 2 3" xfId="22506"/>
    <cellStyle name="20% - Accent6 4 2 10 2 3 2" xfId="51367"/>
    <cellStyle name="20% - Accent6 4 2 10 2 4" xfId="34257"/>
    <cellStyle name="20% - Accent6 4 2 10 3" xfId="8551"/>
    <cellStyle name="20% - Accent6 4 2 10 3 2" xfId="25598"/>
    <cellStyle name="20% - Accent6 4 2 10 3 2 2" xfId="54459"/>
    <cellStyle name="20% - Accent6 4 2 10 3 3" xfId="37412"/>
    <cellStyle name="20% - Accent6 4 2 10 4" xfId="12521"/>
    <cellStyle name="20% - Accent6 4 2 10 4 2" xfId="19826"/>
    <cellStyle name="20% - Accent6 4 2 10 4 2 2" xfId="48687"/>
    <cellStyle name="20% - Accent6 4 2 10 4 3" xfId="41382"/>
    <cellStyle name="20% - Accent6 4 2 10 5" xfId="17146"/>
    <cellStyle name="20% - Accent6 4 2 10 5 2" xfId="46007"/>
    <cellStyle name="20% - Accent6 4 2 10 6" xfId="31371"/>
    <cellStyle name="20% - Accent6 4 2 11" xfId="2718"/>
    <cellStyle name="20% - Accent6 4 2 11 2" xfId="5604"/>
    <cellStyle name="20% - Accent6 4 2 11 2 2" xfId="11645"/>
    <cellStyle name="20% - Accent6 4 2 11 2 2 2" xfId="28692"/>
    <cellStyle name="20% - Accent6 4 2 11 2 2 2 2" xfId="57553"/>
    <cellStyle name="20% - Accent6 4 2 11 2 2 3" xfId="40506"/>
    <cellStyle name="20% - Accent6 4 2 11 2 3" xfId="22714"/>
    <cellStyle name="20% - Accent6 4 2 11 2 3 2" xfId="51575"/>
    <cellStyle name="20% - Accent6 4 2 11 2 4" xfId="34465"/>
    <cellStyle name="20% - Accent6 4 2 11 3" xfId="8759"/>
    <cellStyle name="20% - Accent6 4 2 11 3 2" xfId="25806"/>
    <cellStyle name="20% - Accent6 4 2 11 3 2 2" xfId="54667"/>
    <cellStyle name="20% - Accent6 4 2 11 3 3" xfId="37620"/>
    <cellStyle name="20% - Accent6 4 2 11 4" xfId="13889"/>
    <cellStyle name="20% - Accent6 4 2 11 4 2" xfId="20034"/>
    <cellStyle name="20% - Accent6 4 2 11 4 2 2" xfId="48895"/>
    <cellStyle name="20% - Accent6 4 2 11 4 3" xfId="42750"/>
    <cellStyle name="20% - Accent6 4 2 11 5" xfId="17354"/>
    <cellStyle name="20% - Accent6 4 2 11 5 2" xfId="46215"/>
    <cellStyle name="20% - Accent6 4 2 11 6" xfId="31579"/>
    <cellStyle name="20% - Accent6 4 2 12" xfId="3233"/>
    <cellStyle name="20% - Accent6 4 2 12 2" xfId="9274"/>
    <cellStyle name="20% - Accent6 4 2 12 2 2" xfId="26321"/>
    <cellStyle name="20% - Accent6 4 2 12 2 2 2" xfId="55182"/>
    <cellStyle name="20% - Accent6 4 2 12 2 3" xfId="38135"/>
    <cellStyle name="20% - Accent6 4 2 12 3" xfId="13088"/>
    <cellStyle name="20% - Accent6 4 2 12 3 2" xfId="20343"/>
    <cellStyle name="20% - Accent6 4 2 12 3 2 2" xfId="49204"/>
    <cellStyle name="20% - Accent6 4 2 12 3 3" xfId="41949"/>
    <cellStyle name="20% - Accent6 4 2 12 4" xfId="14983"/>
    <cellStyle name="20% - Accent6 4 2 12 4 2" xfId="43844"/>
    <cellStyle name="20% - Accent6 4 2 12 5" xfId="32094"/>
    <cellStyle name="20% - Accent6 4 2 13" xfId="2924"/>
    <cellStyle name="20% - Accent6 4 2 13 2" xfId="8965"/>
    <cellStyle name="20% - Accent6 4 2 13 2 2" xfId="26012"/>
    <cellStyle name="20% - Accent6 4 2 13 2 2 2" xfId="54873"/>
    <cellStyle name="20% - Accent6 4 2 13 2 3" xfId="37826"/>
    <cellStyle name="20% - Accent6 4 2 13 3" xfId="17560"/>
    <cellStyle name="20% - Accent6 4 2 13 3 2" xfId="46421"/>
    <cellStyle name="20% - Accent6 4 2 13 4" xfId="31785"/>
    <cellStyle name="20% - Accent6 4 2 14" xfId="5810"/>
    <cellStyle name="20% - Accent6 4 2 14 2" xfId="11851"/>
    <cellStyle name="20% - Accent6 4 2 14 2 2" xfId="28898"/>
    <cellStyle name="20% - Accent6 4 2 14 2 2 2" xfId="57759"/>
    <cellStyle name="20% - Accent6 4 2 14 2 3" xfId="40712"/>
    <cellStyle name="20% - Accent6 4 2 14 3" xfId="22920"/>
    <cellStyle name="20% - Accent6 4 2 14 3 2" xfId="51781"/>
    <cellStyle name="20% - Accent6 4 2 14 4" xfId="34671"/>
    <cellStyle name="20% - Accent6 4 2 15" xfId="6027"/>
    <cellStyle name="20% - Accent6 4 2 15 2" xfId="23126"/>
    <cellStyle name="20% - Accent6 4 2 15 2 2" xfId="51987"/>
    <cellStyle name="20% - Accent6 4 2 15 3" xfId="34888"/>
    <cellStyle name="20% - Accent6 4 2 16" xfId="6388"/>
    <cellStyle name="20% - Accent6 4 2 16 2" xfId="23435"/>
    <cellStyle name="20% - Accent6 4 2 16 2 2" xfId="52296"/>
    <cellStyle name="20% - Accent6 4 2 16 3" xfId="35249"/>
    <cellStyle name="20% - Accent6 4 2 17" xfId="14674"/>
    <cellStyle name="20% - Accent6 4 2 17 2" xfId="43535"/>
    <cellStyle name="20% - Accent6 4 2 18" xfId="29208"/>
    <cellStyle name="20% - Accent6 4 2 2" xfId="552"/>
    <cellStyle name="20% - Accent6 4 2 2 2" xfId="2303"/>
    <cellStyle name="20% - Accent6 4 2 2 2 2" xfId="5190"/>
    <cellStyle name="20% - Accent6 4 2 2 2 2 2" xfId="11231"/>
    <cellStyle name="20% - Accent6 4 2 2 2 2 2 2" xfId="28278"/>
    <cellStyle name="20% - Accent6 4 2 2 2 2 2 2 2" xfId="57139"/>
    <cellStyle name="20% - Accent6 4 2 2 2 2 2 3" xfId="40092"/>
    <cellStyle name="20% - Accent6 4 2 2 2 2 3" xfId="22300"/>
    <cellStyle name="20% - Accent6 4 2 2 2 2 3 2" xfId="51161"/>
    <cellStyle name="20% - Accent6 4 2 2 2 2 4" xfId="34051"/>
    <cellStyle name="20% - Accent6 4 2 2 2 3" xfId="8345"/>
    <cellStyle name="20% - Accent6 4 2 2 2 3 2" xfId="25392"/>
    <cellStyle name="20% - Accent6 4 2 2 2 3 2 2" xfId="54253"/>
    <cellStyle name="20% - Accent6 4 2 2 2 3 3" xfId="37206"/>
    <cellStyle name="20% - Accent6 4 2 2 2 4" xfId="12033"/>
    <cellStyle name="20% - Accent6 4 2 2 2 4 2" xfId="19620"/>
    <cellStyle name="20% - Accent6 4 2 2 2 4 2 2" xfId="48481"/>
    <cellStyle name="20% - Accent6 4 2 2 2 4 3" xfId="40894"/>
    <cellStyle name="20% - Accent6 4 2 2 2 5" xfId="16940"/>
    <cellStyle name="20% - Accent6 4 2 2 2 5 2" xfId="45801"/>
    <cellStyle name="20% - Accent6 4 2 2 2 6" xfId="31165"/>
    <cellStyle name="20% - Accent6 4 2 2 3" xfId="3439"/>
    <cellStyle name="20% - Accent6 4 2 2 3 2" xfId="9480"/>
    <cellStyle name="20% - Accent6 4 2 2 3 2 2" xfId="26527"/>
    <cellStyle name="20% - Accent6 4 2 2 3 2 2 2" xfId="55388"/>
    <cellStyle name="20% - Accent6 4 2 2 3 2 3" xfId="38341"/>
    <cellStyle name="20% - Accent6 4 2 2 3 3" xfId="20549"/>
    <cellStyle name="20% - Accent6 4 2 2 3 3 2" xfId="49410"/>
    <cellStyle name="20% - Accent6 4 2 2 3 4" xfId="32300"/>
    <cellStyle name="20% - Accent6 4 2 2 4" xfId="6594"/>
    <cellStyle name="20% - Accent6 4 2 2 4 2" xfId="23641"/>
    <cellStyle name="20% - Accent6 4 2 2 4 2 2" xfId="52502"/>
    <cellStyle name="20% - Accent6 4 2 2 4 3" xfId="35455"/>
    <cellStyle name="20% - Accent6 4 2 2 5" xfId="12720"/>
    <cellStyle name="20% - Accent6 4 2 2 5 2" xfId="17869"/>
    <cellStyle name="20% - Accent6 4 2 2 5 2 2" xfId="46730"/>
    <cellStyle name="20% - Accent6 4 2 2 5 3" xfId="41581"/>
    <cellStyle name="20% - Accent6 4 2 2 6" xfId="15189"/>
    <cellStyle name="20% - Accent6 4 2 2 6 2" xfId="44050"/>
    <cellStyle name="20% - Accent6 4 2 2 7" xfId="29414"/>
    <cellStyle name="20% - Accent6 4 2 3" xfId="861"/>
    <cellStyle name="20% - Accent6 4 2 3 2" xfId="3748"/>
    <cellStyle name="20% - Accent6 4 2 3 2 2" xfId="9789"/>
    <cellStyle name="20% - Accent6 4 2 3 2 2 2" xfId="26836"/>
    <cellStyle name="20% - Accent6 4 2 3 2 2 2 2" xfId="55697"/>
    <cellStyle name="20% - Accent6 4 2 3 2 2 3" xfId="38650"/>
    <cellStyle name="20% - Accent6 4 2 3 2 3" xfId="20858"/>
    <cellStyle name="20% - Accent6 4 2 3 2 3 2" xfId="49719"/>
    <cellStyle name="20% - Accent6 4 2 3 2 4" xfId="32609"/>
    <cellStyle name="20% - Accent6 4 2 3 3" xfId="6903"/>
    <cellStyle name="20% - Accent6 4 2 3 3 2" xfId="23950"/>
    <cellStyle name="20% - Accent6 4 2 3 3 2 2" xfId="52811"/>
    <cellStyle name="20% - Accent6 4 2 3 3 3" xfId="35764"/>
    <cellStyle name="20% - Accent6 4 2 3 4" xfId="14294"/>
    <cellStyle name="20% - Accent6 4 2 3 4 2" xfId="18178"/>
    <cellStyle name="20% - Accent6 4 2 3 4 2 2" xfId="47039"/>
    <cellStyle name="20% - Accent6 4 2 3 4 3" xfId="43155"/>
    <cellStyle name="20% - Accent6 4 2 3 5" xfId="15498"/>
    <cellStyle name="20% - Accent6 4 2 3 5 2" xfId="44359"/>
    <cellStyle name="20% - Accent6 4 2 3 6" xfId="29723"/>
    <cellStyle name="20% - Accent6 4 2 4" xfId="1067"/>
    <cellStyle name="20% - Accent6 4 2 4 2" xfId="3954"/>
    <cellStyle name="20% - Accent6 4 2 4 2 2" xfId="9995"/>
    <cellStyle name="20% - Accent6 4 2 4 2 2 2" xfId="27042"/>
    <cellStyle name="20% - Accent6 4 2 4 2 2 2 2" xfId="55903"/>
    <cellStyle name="20% - Accent6 4 2 4 2 2 3" xfId="38856"/>
    <cellStyle name="20% - Accent6 4 2 4 2 3" xfId="21064"/>
    <cellStyle name="20% - Accent6 4 2 4 2 3 2" xfId="49925"/>
    <cellStyle name="20% - Accent6 4 2 4 2 4" xfId="32815"/>
    <cellStyle name="20% - Accent6 4 2 4 3" xfId="7109"/>
    <cellStyle name="20% - Accent6 4 2 4 3 2" xfId="24156"/>
    <cellStyle name="20% - Accent6 4 2 4 3 2 2" xfId="53017"/>
    <cellStyle name="20% - Accent6 4 2 4 3 3" xfId="35970"/>
    <cellStyle name="20% - Accent6 4 2 4 4" xfId="11881"/>
    <cellStyle name="20% - Accent6 4 2 4 4 2" xfId="18384"/>
    <cellStyle name="20% - Accent6 4 2 4 4 2 2" xfId="47245"/>
    <cellStyle name="20% - Accent6 4 2 4 4 3" xfId="40742"/>
    <cellStyle name="20% - Accent6 4 2 4 5" xfId="15704"/>
    <cellStyle name="20% - Accent6 4 2 4 5 2" xfId="44565"/>
    <cellStyle name="20% - Accent6 4 2 4 6" xfId="29929"/>
    <cellStyle name="20% - Accent6 4 2 5" xfId="1273"/>
    <cellStyle name="20% - Accent6 4 2 5 2" xfId="4160"/>
    <cellStyle name="20% - Accent6 4 2 5 2 2" xfId="10201"/>
    <cellStyle name="20% - Accent6 4 2 5 2 2 2" xfId="27248"/>
    <cellStyle name="20% - Accent6 4 2 5 2 2 2 2" xfId="56109"/>
    <cellStyle name="20% - Accent6 4 2 5 2 2 3" xfId="39062"/>
    <cellStyle name="20% - Accent6 4 2 5 2 3" xfId="21270"/>
    <cellStyle name="20% - Accent6 4 2 5 2 3 2" xfId="50131"/>
    <cellStyle name="20% - Accent6 4 2 5 2 4" xfId="33021"/>
    <cellStyle name="20% - Accent6 4 2 5 3" xfId="7315"/>
    <cellStyle name="20% - Accent6 4 2 5 3 2" xfId="24362"/>
    <cellStyle name="20% - Accent6 4 2 5 3 2 2" xfId="53223"/>
    <cellStyle name="20% - Accent6 4 2 5 3 3" xfId="36176"/>
    <cellStyle name="20% - Accent6 4 2 5 4" xfId="13069"/>
    <cellStyle name="20% - Accent6 4 2 5 4 2" xfId="18590"/>
    <cellStyle name="20% - Accent6 4 2 5 4 2 2" xfId="47451"/>
    <cellStyle name="20% - Accent6 4 2 5 4 3" xfId="41930"/>
    <cellStyle name="20% - Accent6 4 2 5 5" xfId="15910"/>
    <cellStyle name="20% - Accent6 4 2 5 5 2" xfId="44771"/>
    <cellStyle name="20% - Accent6 4 2 5 6" xfId="30135"/>
    <cellStyle name="20% - Accent6 4 2 6" xfId="1479"/>
    <cellStyle name="20% - Accent6 4 2 6 2" xfId="4366"/>
    <cellStyle name="20% - Accent6 4 2 6 2 2" xfId="10407"/>
    <cellStyle name="20% - Accent6 4 2 6 2 2 2" xfId="27454"/>
    <cellStyle name="20% - Accent6 4 2 6 2 2 2 2" xfId="56315"/>
    <cellStyle name="20% - Accent6 4 2 6 2 2 3" xfId="39268"/>
    <cellStyle name="20% - Accent6 4 2 6 2 3" xfId="21476"/>
    <cellStyle name="20% - Accent6 4 2 6 2 3 2" xfId="50337"/>
    <cellStyle name="20% - Accent6 4 2 6 2 4" xfId="33227"/>
    <cellStyle name="20% - Accent6 4 2 6 3" xfId="7521"/>
    <cellStyle name="20% - Accent6 4 2 6 3 2" xfId="24568"/>
    <cellStyle name="20% - Accent6 4 2 6 3 2 2" xfId="53429"/>
    <cellStyle name="20% - Accent6 4 2 6 3 3" xfId="36382"/>
    <cellStyle name="20% - Accent6 4 2 6 4" xfId="13554"/>
    <cellStyle name="20% - Accent6 4 2 6 4 2" xfId="18796"/>
    <cellStyle name="20% - Accent6 4 2 6 4 2 2" xfId="47657"/>
    <cellStyle name="20% - Accent6 4 2 6 4 3" xfId="42415"/>
    <cellStyle name="20% - Accent6 4 2 6 5" xfId="16116"/>
    <cellStyle name="20% - Accent6 4 2 6 5 2" xfId="44977"/>
    <cellStyle name="20% - Accent6 4 2 6 6" xfId="30341"/>
    <cellStyle name="20% - Accent6 4 2 7" xfId="1685"/>
    <cellStyle name="20% - Accent6 4 2 7 2" xfId="4572"/>
    <cellStyle name="20% - Accent6 4 2 7 2 2" xfId="10613"/>
    <cellStyle name="20% - Accent6 4 2 7 2 2 2" xfId="27660"/>
    <cellStyle name="20% - Accent6 4 2 7 2 2 2 2" xfId="56521"/>
    <cellStyle name="20% - Accent6 4 2 7 2 2 3" xfId="39474"/>
    <cellStyle name="20% - Accent6 4 2 7 2 3" xfId="21682"/>
    <cellStyle name="20% - Accent6 4 2 7 2 3 2" xfId="50543"/>
    <cellStyle name="20% - Accent6 4 2 7 2 4" xfId="33433"/>
    <cellStyle name="20% - Accent6 4 2 7 3" xfId="7727"/>
    <cellStyle name="20% - Accent6 4 2 7 3 2" xfId="24774"/>
    <cellStyle name="20% - Accent6 4 2 7 3 2 2" xfId="53635"/>
    <cellStyle name="20% - Accent6 4 2 7 3 3" xfId="36588"/>
    <cellStyle name="20% - Accent6 4 2 7 4" xfId="13275"/>
    <cellStyle name="20% - Accent6 4 2 7 4 2" xfId="19002"/>
    <cellStyle name="20% - Accent6 4 2 7 4 2 2" xfId="47863"/>
    <cellStyle name="20% - Accent6 4 2 7 4 3" xfId="42136"/>
    <cellStyle name="20% - Accent6 4 2 7 5" xfId="16322"/>
    <cellStyle name="20% - Accent6 4 2 7 5 2" xfId="45183"/>
    <cellStyle name="20% - Accent6 4 2 7 6" xfId="30547"/>
    <cellStyle name="20% - Accent6 4 2 8" xfId="1891"/>
    <cellStyle name="20% - Accent6 4 2 8 2" xfId="4778"/>
    <cellStyle name="20% - Accent6 4 2 8 2 2" xfId="10819"/>
    <cellStyle name="20% - Accent6 4 2 8 2 2 2" xfId="27866"/>
    <cellStyle name="20% - Accent6 4 2 8 2 2 2 2" xfId="56727"/>
    <cellStyle name="20% - Accent6 4 2 8 2 2 3" xfId="39680"/>
    <cellStyle name="20% - Accent6 4 2 8 2 3" xfId="21888"/>
    <cellStyle name="20% - Accent6 4 2 8 2 3 2" xfId="50749"/>
    <cellStyle name="20% - Accent6 4 2 8 2 4" xfId="33639"/>
    <cellStyle name="20% - Accent6 4 2 8 3" xfId="7933"/>
    <cellStyle name="20% - Accent6 4 2 8 3 2" xfId="24980"/>
    <cellStyle name="20% - Accent6 4 2 8 3 2 2" xfId="53841"/>
    <cellStyle name="20% - Accent6 4 2 8 3 3" xfId="36794"/>
    <cellStyle name="20% - Accent6 4 2 8 4" xfId="12370"/>
    <cellStyle name="20% - Accent6 4 2 8 4 2" xfId="19208"/>
    <cellStyle name="20% - Accent6 4 2 8 4 2 2" xfId="48069"/>
    <cellStyle name="20% - Accent6 4 2 8 4 3" xfId="41231"/>
    <cellStyle name="20% - Accent6 4 2 8 5" xfId="16528"/>
    <cellStyle name="20% - Accent6 4 2 8 5 2" xfId="45389"/>
    <cellStyle name="20% - Accent6 4 2 8 6" xfId="30753"/>
    <cellStyle name="20% - Accent6 4 2 9" xfId="2097"/>
    <cellStyle name="20% - Accent6 4 2 9 2" xfId="4984"/>
    <cellStyle name="20% - Accent6 4 2 9 2 2" xfId="11025"/>
    <cellStyle name="20% - Accent6 4 2 9 2 2 2" xfId="28072"/>
    <cellStyle name="20% - Accent6 4 2 9 2 2 2 2" xfId="56933"/>
    <cellStyle name="20% - Accent6 4 2 9 2 2 3" xfId="39886"/>
    <cellStyle name="20% - Accent6 4 2 9 2 3" xfId="22094"/>
    <cellStyle name="20% - Accent6 4 2 9 2 3 2" xfId="50955"/>
    <cellStyle name="20% - Accent6 4 2 9 2 4" xfId="33845"/>
    <cellStyle name="20% - Accent6 4 2 9 3" xfId="8139"/>
    <cellStyle name="20% - Accent6 4 2 9 3 2" xfId="25186"/>
    <cellStyle name="20% - Accent6 4 2 9 3 2 2" xfId="54047"/>
    <cellStyle name="20% - Accent6 4 2 9 3 3" xfId="37000"/>
    <cellStyle name="20% - Accent6 4 2 9 4" xfId="12318"/>
    <cellStyle name="20% - Accent6 4 2 9 4 2" xfId="19414"/>
    <cellStyle name="20% - Accent6 4 2 9 4 2 2" xfId="48275"/>
    <cellStyle name="20% - Accent6 4 2 9 4 3" xfId="41179"/>
    <cellStyle name="20% - Accent6 4 2 9 5" xfId="16734"/>
    <cellStyle name="20% - Accent6 4 2 9 5 2" xfId="45595"/>
    <cellStyle name="20% - Accent6 4 2 9 6" xfId="30959"/>
    <cellStyle name="20% - Accent6 4 20" xfId="29002"/>
    <cellStyle name="20% - Accent6 4 3" xfId="243"/>
    <cellStyle name="20% - Accent6 4 3 2" xfId="655"/>
    <cellStyle name="20% - Accent6 4 3 2 2" xfId="3542"/>
    <cellStyle name="20% - Accent6 4 3 2 2 2" xfId="9583"/>
    <cellStyle name="20% - Accent6 4 3 2 2 2 2" xfId="26630"/>
    <cellStyle name="20% - Accent6 4 3 2 2 2 2 2" xfId="55491"/>
    <cellStyle name="20% - Accent6 4 3 2 2 2 3" xfId="38444"/>
    <cellStyle name="20% - Accent6 4 3 2 2 3" xfId="20652"/>
    <cellStyle name="20% - Accent6 4 3 2 2 3 2" xfId="49513"/>
    <cellStyle name="20% - Accent6 4 3 2 2 4" xfId="32403"/>
    <cellStyle name="20% - Accent6 4 3 2 3" xfId="6697"/>
    <cellStyle name="20% - Accent6 4 3 2 3 2" xfId="23744"/>
    <cellStyle name="20% - Accent6 4 3 2 3 2 2" xfId="52605"/>
    <cellStyle name="20% - Accent6 4 3 2 3 3" xfId="35558"/>
    <cellStyle name="20% - Accent6 4 3 2 4" xfId="12796"/>
    <cellStyle name="20% - Accent6 4 3 2 4 2" xfId="17972"/>
    <cellStyle name="20% - Accent6 4 3 2 4 2 2" xfId="46833"/>
    <cellStyle name="20% - Accent6 4 3 2 4 3" xfId="41657"/>
    <cellStyle name="20% - Accent6 4 3 2 5" xfId="15292"/>
    <cellStyle name="20% - Accent6 4 3 2 5 2" xfId="44153"/>
    <cellStyle name="20% - Accent6 4 3 2 6" xfId="29517"/>
    <cellStyle name="20% - Accent6 4 3 3" xfId="2200"/>
    <cellStyle name="20% - Accent6 4 3 3 2" xfId="5087"/>
    <cellStyle name="20% - Accent6 4 3 3 2 2" xfId="11128"/>
    <cellStyle name="20% - Accent6 4 3 3 2 2 2" xfId="28175"/>
    <cellStyle name="20% - Accent6 4 3 3 2 2 2 2" xfId="57036"/>
    <cellStyle name="20% - Accent6 4 3 3 2 2 3" xfId="39989"/>
    <cellStyle name="20% - Accent6 4 3 3 2 3" xfId="22197"/>
    <cellStyle name="20% - Accent6 4 3 3 2 3 2" xfId="51058"/>
    <cellStyle name="20% - Accent6 4 3 3 2 4" xfId="33948"/>
    <cellStyle name="20% - Accent6 4 3 3 3" xfId="8242"/>
    <cellStyle name="20% - Accent6 4 3 3 3 2" xfId="25289"/>
    <cellStyle name="20% - Accent6 4 3 3 3 2 2" xfId="54150"/>
    <cellStyle name="20% - Accent6 4 3 3 3 3" xfId="37103"/>
    <cellStyle name="20% - Accent6 4 3 3 4" xfId="11894"/>
    <cellStyle name="20% - Accent6 4 3 3 4 2" xfId="19517"/>
    <cellStyle name="20% - Accent6 4 3 3 4 2 2" xfId="48378"/>
    <cellStyle name="20% - Accent6 4 3 3 4 3" xfId="40755"/>
    <cellStyle name="20% - Accent6 4 3 3 5" xfId="16837"/>
    <cellStyle name="20% - Accent6 4 3 3 5 2" xfId="45698"/>
    <cellStyle name="20% - Accent6 4 3 3 6" xfId="31062"/>
    <cellStyle name="20% - Accent6 4 3 4" xfId="3130"/>
    <cellStyle name="20% - Accent6 4 3 4 2" xfId="9171"/>
    <cellStyle name="20% - Accent6 4 3 4 2 2" xfId="26218"/>
    <cellStyle name="20% - Accent6 4 3 4 2 2 2" xfId="55079"/>
    <cellStyle name="20% - Accent6 4 3 4 2 3" xfId="38032"/>
    <cellStyle name="20% - Accent6 4 3 4 3" xfId="20240"/>
    <cellStyle name="20% - Accent6 4 3 4 3 2" xfId="49101"/>
    <cellStyle name="20% - Accent6 4 3 4 4" xfId="31991"/>
    <cellStyle name="20% - Accent6 4 3 5" xfId="6285"/>
    <cellStyle name="20% - Accent6 4 3 5 2" xfId="23332"/>
    <cellStyle name="20% - Accent6 4 3 5 2 2" xfId="52193"/>
    <cellStyle name="20% - Accent6 4 3 5 3" xfId="35146"/>
    <cellStyle name="20% - Accent6 4 3 6" xfId="13585"/>
    <cellStyle name="20% - Accent6 4 3 6 2" xfId="17663"/>
    <cellStyle name="20% - Accent6 4 3 6 2 2" xfId="46524"/>
    <cellStyle name="20% - Accent6 4 3 6 3" xfId="42446"/>
    <cellStyle name="20% - Accent6 4 3 7" xfId="14880"/>
    <cellStyle name="20% - Accent6 4 3 7 2" xfId="43741"/>
    <cellStyle name="20% - Accent6 4 3 8" xfId="29105"/>
    <cellStyle name="20% - Accent6 4 4" xfId="449"/>
    <cellStyle name="20% - Accent6 4 4 2" xfId="3336"/>
    <cellStyle name="20% - Accent6 4 4 2 2" xfId="9377"/>
    <cellStyle name="20% - Accent6 4 4 2 2 2" xfId="26424"/>
    <cellStyle name="20% - Accent6 4 4 2 2 2 2" xfId="55285"/>
    <cellStyle name="20% - Accent6 4 4 2 2 3" xfId="38238"/>
    <cellStyle name="20% - Accent6 4 4 2 3" xfId="20446"/>
    <cellStyle name="20% - Accent6 4 4 2 3 2" xfId="49307"/>
    <cellStyle name="20% - Accent6 4 4 2 4" xfId="32197"/>
    <cellStyle name="20% - Accent6 4 4 3" xfId="6491"/>
    <cellStyle name="20% - Accent6 4 4 3 2" xfId="23538"/>
    <cellStyle name="20% - Accent6 4 4 3 2 2" xfId="52399"/>
    <cellStyle name="20% - Accent6 4 4 3 3" xfId="35352"/>
    <cellStyle name="20% - Accent6 4 4 4" xfId="12817"/>
    <cellStyle name="20% - Accent6 4 4 4 2" xfId="17766"/>
    <cellStyle name="20% - Accent6 4 4 4 2 2" xfId="46627"/>
    <cellStyle name="20% - Accent6 4 4 4 3" xfId="41678"/>
    <cellStyle name="20% - Accent6 4 4 5" xfId="15086"/>
    <cellStyle name="20% - Accent6 4 4 5 2" xfId="43947"/>
    <cellStyle name="20% - Accent6 4 4 6" xfId="29311"/>
    <cellStyle name="20% - Accent6 4 5" xfId="758"/>
    <cellStyle name="20% - Accent6 4 5 2" xfId="3645"/>
    <cellStyle name="20% - Accent6 4 5 2 2" xfId="9686"/>
    <cellStyle name="20% - Accent6 4 5 2 2 2" xfId="26733"/>
    <cellStyle name="20% - Accent6 4 5 2 2 2 2" xfId="55594"/>
    <cellStyle name="20% - Accent6 4 5 2 2 3" xfId="38547"/>
    <cellStyle name="20% - Accent6 4 5 2 3" xfId="20755"/>
    <cellStyle name="20% - Accent6 4 5 2 3 2" xfId="49616"/>
    <cellStyle name="20% - Accent6 4 5 2 4" xfId="32506"/>
    <cellStyle name="20% - Accent6 4 5 3" xfId="6800"/>
    <cellStyle name="20% - Accent6 4 5 3 2" xfId="23847"/>
    <cellStyle name="20% - Accent6 4 5 3 2 2" xfId="52708"/>
    <cellStyle name="20% - Accent6 4 5 3 3" xfId="35661"/>
    <cellStyle name="20% - Accent6 4 5 4" xfId="12861"/>
    <cellStyle name="20% - Accent6 4 5 4 2" xfId="18075"/>
    <cellStyle name="20% - Accent6 4 5 4 2 2" xfId="46936"/>
    <cellStyle name="20% - Accent6 4 5 4 3" xfId="41722"/>
    <cellStyle name="20% - Accent6 4 5 5" xfId="15395"/>
    <cellStyle name="20% - Accent6 4 5 5 2" xfId="44256"/>
    <cellStyle name="20% - Accent6 4 5 6" xfId="29620"/>
    <cellStyle name="20% - Accent6 4 6" xfId="964"/>
    <cellStyle name="20% - Accent6 4 6 2" xfId="3851"/>
    <cellStyle name="20% - Accent6 4 6 2 2" xfId="9892"/>
    <cellStyle name="20% - Accent6 4 6 2 2 2" xfId="26939"/>
    <cellStyle name="20% - Accent6 4 6 2 2 2 2" xfId="55800"/>
    <cellStyle name="20% - Accent6 4 6 2 2 3" xfId="38753"/>
    <cellStyle name="20% - Accent6 4 6 2 3" xfId="20961"/>
    <cellStyle name="20% - Accent6 4 6 2 3 2" xfId="49822"/>
    <cellStyle name="20% - Accent6 4 6 2 4" xfId="32712"/>
    <cellStyle name="20% - Accent6 4 6 3" xfId="7006"/>
    <cellStyle name="20% - Accent6 4 6 3 2" xfId="24053"/>
    <cellStyle name="20% - Accent6 4 6 3 2 2" xfId="52914"/>
    <cellStyle name="20% - Accent6 4 6 3 3" xfId="35867"/>
    <cellStyle name="20% - Accent6 4 6 4" xfId="6069"/>
    <cellStyle name="20% - Accent6 4 6 4 2" xfId="18281"/>
    <cellStyle name="20% - Accent6 4 6 4 2 2" xfId="47142"/>
    <cellStyle name="20% - Accent6 4 6 4 3" xfId="34930"/>
    <cellStyle name="20% - Accent6 4 6 5" xfId="15601"/>
    <cellStyle name="20% - Accent6 4 6 5 2" xfId="44462"/>
    <cellStyle name="20% - Accent6 4 6 6" xfId="29826"/>
    <cellStyle name="20% - Accent6 4 7" xfId="1170"/>
    <cellStyle name="20% - Accent6 4 7 2" xfId="4057"/>
    <cellStyle name="20% - Accent6 4 7 2 2" xfId="10098"/>
    <cellStyle name="20% - Accent6 4 7 2 2 2" xfId="27145"/>
    <cellStyle name="20% - Accent6 4 7 2 2 2 2" xfId="56006"/>
    <cellStyle name="20% - Accent6 4 7 2 2 3" xfId="38959"/>
    <cellStyle name="20% - Accent6 4 7 2 3" xfId="21167"/>
    <cellStyle name="20% - Accent6 4 7 2 3 2" xfId="50028"/>
    <cellStyle name="20% - Accent6 4 7 2 4" xfId="32918"/>
    <cellStyle name="20% - Accent6 4 7 3" xfId="7212"/>
    <cellStyle name="20% - Accent6 4 7 3 2" xfId="24259"/>
    <cellStyle name="20% - Accent6 4 7 3 2 2" xfId="53120"/>
    <cellStyle name="20% - Accent6 4 7 3 3" xfId="36073"/>
    <cellStyle name="20% - Accent6 4 7 4" xfId="12346"/>
    <cellStyle name="20% - Accent6 4 7 4 2" xfId="18487"/>
    <cellStyle name="20% - Accent6 4 7 4 2 2" xfId="47348"/>
    <cellStyle name="20% - Accent6 4 7 4 3" xfId="41207"/>
    <cellStyle name="20% - Accent6 4 7 5" xfId="15807"/>
    <cellStyle name="20% - Accent6 4 7 5 2" xfId="44668"/>
    <cellStyle name="20% - Accent6 4 7 6" xfId="30032"/>
    <cellStyle name="20% - Accent6 4 8" xfId="1376"/>
    <cellStyle name="20% - Accent6 4 8 2" xfId="4263"/>
    <cellStyle name="20% - Accent6 4 8 2 2" xfId="10304"/>
    <cellStyle name="20% - Accent6 4 8 2 2 2" xfId="27351"/>
    <cellStyle name="20% - Accent6 4 8 2 2 2 2" xfId="56212"/>
    <cellStyle name="20% - Accent6 4 8 2 2 3" xfId="39165"/>
    <cellStyle name="20% - Accent6 4 8 2 3" xfId="21373"/>
    <cellStyle name="20% - Accent6 4 8 2 3 2" xfId="50234"/>
    <cellStyle name="20% - Accent6 4 8 2 4" xfId="33124"/>
    <cellStyle name="20% - Accent6 4 8 3" xfId="7418"/>
    <cellStyle name="20% - Accent6 4 8 3 2" xfId="24465"/>
    <cellStyle name="20% - Accent6 4 8 3 2 2" xfId="53326"/>
    <cellStyle name="20% - Accent6 4 8 3 3" xfId="36279"/>
    <cellStyle name="20% - Accent6 4 8 4" xfId="12372"/>
    <cellStyle name="20% - Accent6 4 8 4 2" xfId="18693"/>
    <cellStyle name="20% - Accent6 4 8 4 2 2" xfId="47554"/>
    <cellStyle name="20% - Accent6 4 8 4 3" xfId="41233"/>
    <cellStyle name="20% - Accent6 4 8 5" xfId="16013"/>
    <cellStyle name="20% - Accent6 4 8 5 2" xfId="44874"/>
    <cellStyle name="20% - Accent6 4 8 6" xfId="30238"/>
    <cellStyle name="20% - Accent6 4 9" xfId="1582"/>
    <cellStyle name="20% - Accent6 4 9 2" xfId="4469"/>
    <cellStyle name="20% - Accent6 4 9 2 2" xfId="10510"/>
    <cellStyle name="20% - Accent6 4 9 2 2 2" xfId="27557"/>
    <cellStyle name="20% - Accent6 4 9 2 2 2 2" xfId="56418"/>
    <cellStyle name="20% - Accent6 4 9 2 2 3" xfId="39371"/>
    <cellStyle name="20% - Accent6 4 9 2 3" xfId="21579"/>
    <cellStyle name="20% - Accent6 4 9 2 3 2" xfId="50440"/>
    <cellStyle name="20% - Accent6 4 9 2 4" xfId="33330"/>
    <cellStyle name="20% - Accent6 4 9 3" xfId="7624"/>
    <cellStyle name="20% - Accent6 4 9 3 2" xfId="24671"/>
    <cellStyle name="20% - Accent6 4 9 3 2 2" xfId="53532"/>
    <cellStyle name="20% - Accent6 4 9 3 3" xfId="36485"/>
    <cellStyle name="20% - Accent6 4 9 4" xfId="12428"/>
    <cellStyle name="20% - Accent6 4 9 4 2" xfId="18899"/>
    <cellStyle name="20% - Accent6 4 9 4 2 2" xfId="47760"/>
    <cellStyle name="20% - Accent6 4 9 4 3" xfId="41289"/>
    <cellStyle name="20% - Accent6 4 9 5" xfId="16219"/>
    <cellStyle name="20% - Accent6 4 9 5 2" xfId="45080"/>
    <cellStyle name="20% - Accent6 4 9 6" xfId="30444"/>
    <cellStyle name="20% - Accent6 5" xfId="293"/>
    <cellStyle name="20% - Accent6 5 10" xfId="2456"/>
    <cellStyle name="20% - Accent6 5 10 2" xfId="5343"/>
    <cellStyle name="20% - Accent6 5 10 2 2" xfId="11384"/>
    <cellStyle name="20% - Accent6 5 10 2 2 2" xfId="28431"/>
    <cellStyle name="20% - Accent6 5 10 2 2 2 2" xfId="57292"/>
    <cellStyle name="20% - Accent6 5 10 2 2 3" xfId="40245"/>
    <cellStyle name="20% - Accent6 5 10 2 3" xfId="22453"/>
    <cellStyle name="20% - Accent6 5 10 2 3 2" xfId="51314"/>
    <cellStyle name="20% - Accent6 5 10 2 4" xfId="34204"/>
    <cellStyle name="20% - Accent6 5 10 3" xfId="8498"/>
    <cellStyle name="20% - Accent6 5 10 3 2" xfId="25545"/>
    <cellStyle name="20% - Accent6 5 10 3 2 2" xfId="54406"/>
    <cellStyle name="20% - Accent6 5 10 3 3" xfId="37359"/>
    <cellStyle name="20% - Accent6 5 10 4" xfId="12775"/>
    <cellStyle name="20% - Accent6 5 10 4 2" xfId="19773"/>
    <cellStyle name="20% - Accent6 5 10 4 2 2" xfId="48634"/>
    <cellStyle name="20% - Accent6 5 10 4 3" xfId="41636"/>
    <cellStyle name="20% - Accent6 5 10 5" xfId="17093"/>
    <cellStyle name="20% - Accent6 5 10 5 2" xfId="45954"/>
    <cellStyle name="20% - Accent6 5 10 6" xfId="31318"/>
    <cellStyle name="20% - Accent6 5 11" xfId="2665"/>
    <cellStyle name="20% - Accent6 5 11 2" xfId="5551"/>
    <cellStyle name="20% - Accent6 5 11 2 2" xfId="11592"/>
    <cellStyle name="20% - Accent6 5 11 2 2 2" xfId="28639"/>
    <cellStyle name="20% - Accent6 5 11 2 2 2 2" xfId="57500"/>
    <cellStyle name="20% - Accent6 5 11 2 2 3" xfId="40453"/>
    <cellStyle name="20% - Accent6 5 11 2 3" xfId="22661"/>
    <cellStyle name="20% - Accent6 5 11 2 3 2" xfId="51522"/>
    <cellStyle name="20% - Accent6 5 11 2 4" xfId="34412"/>
    <cellStyle name="20% - Accent6 5 11 3" xfId="8706"/>
    <cellStyle name="20% - Accent6 5 11 3 2" xfId="25753"/>
    <cellStyle name="20% - Accent6 5 11 3 2 2" xfId="54614"/>
    <cellStyle name="20% - Accent6 5 11 3 3" xfId="37567"/>
    <cellStyle name="20% - Accent6 5 11 4" xfId="14485"/>
    <cellStyle name="20% - Accent6 5 11 4 2" xfId="19981"/>
    <cellStyle name="20% - Accent6 5 11 4 2 2" xfId="48842"/>
    <cellStyle name="20% - Accent6 5 11 4 3" xfId="43346"/>
    <cellStyle name="20% - Accent6 5 11 5" xfId="17301"/>
    <cellStyle name="20% - Accent6 5 11 5 2" xfId="46162"/>
    <cellStyle name="20% - Accent6 5 11 6" xfId="31526"/>
    <cellStyle name="20% - Accent6 5 12" xfId="3180"/>
    <cellStyle name="20% - Accent6 5 12 2" xfId="9221"/>
    <cellStyle name="20% - Accent6 5 12 2 2" xfId="26268"/>
    <cellStyle name="20% - Accent6 5 12 2 2 2" xfId="55129"/>
    <cellStyle name="20% - Accent6 5 12 2 3" xfId="38082"/>
    <cellStyle name="20% - Accent6 5 12 3" xfId="13921"/>
    <cellStyle name="20% - Accent6 5 12 3 2" xfId="20290"/>
    <cellStyle name="20% - Accent6 5 12 3 2 2" xfId="49151"/>
    <cellStyle name="20% - Accent6 5 12 3 3" xfId="42782"/>
    <cellStyle name="20% - Accent6 5 12 4" xfId="14930"/>
    <cellStyle name="20% - Accent6 5 12 4 2" xfId="43791"/>
    <cellStyle name="20% - Accent6 5 12 5" xfId="32041"/>
    <cellStyle name="20% - Accent6 5 13" xfId="2871"/>
    <cellStyle name="20% - Accent6 5 13 2" xfId="8912"/>
    <cellStyle name="20% - Accent6 5 13 2 2" xfId="25959"/>
    <cellStyle name="20% - Accent6 5 13 2 2 2" xfId="54820"/>
    <cellStyle name="20% - Accent6 5 13 2 3" xfId="37773"/>
    <cellStyle name="20% - Accent6 5 13 3" xfId="17507"/>
    <cellStyle name="20% - Accent6 5 13 3 2" xfId="46368"/>
    <cellStyle name="20% - Accent6 5 13 4" xfId="31732"/>
    <cellStyle name="20% - Accent6 5 14" xfId="5757"/>
    <cellStyle name="20% - Accent6 5 14 2" xfId="11798"/>
    <cellStyle name="20% - Accent6 5 14 2 2" xfId="28845"/>
    <cellStyle name="20% - Accent6 5 14 2 2 2" xfId="57706"/>
    <cellStyle name="20% - Accent6 5 14 2 3" xfId="40659"/>
    <cellStyle name="20% - Accent6 5 14 3" xfId="22867"/>
    <cellStyle name="20% - Accent6 5 14 3 2" xfId="51728"/>
    <cellStyle name="20% - Accent6 5 14 4" xfId="34618"/>
    <cellStyle name="20% - Accent6 5 15" xfId="5974"/>
    <cellStyle name="20% - Accent6 5 15 2" xfId="23073"/>
    <cellStyle name="20% - Accent6 5 15 2 2" xfId="51934"/>
    <cellStyle name="20% - Accent6 5 15 3" xfId="34835"/>
    <cellStyle name="20% - Accent6 5 16" xfId="6335"/>
    <cellStyle name="20% - Accent6 5 16 2" xfId="23382"/>
    <cellStyle name="20% - Accent6 5 16 2 2" xfId="52243"/>
    <cellStyle name="20% - Accent6 5 16 3" xfId="35196"/>
    <cellStyle name="20% - Accent6 5 17" xfId="14621"/>
    <cellStyle name="20% - Accent6 5 17 2" xfId="43482"/>
    <cellStyle name="20% - Accent6 5 18" xfId="29155"/>
    <cellStyle name="20% - Accent6 5 2" xfId="499"/>
    <cellStyle name="20% - Accent6 5 2 2" xfId="2250"/>
    <cellStyle name="20% - Accent6 5 2 2 2" xfId="5137"/>
    <cellStyle name="20% - Accent6 5 2 2 2 2" xfId="11178"/>
    <cellStyle name="20% - Accent6 5 2 2 2 2 2" xfId="28225"/>
    <cellStyle name="20% - Accent6 5 2 2 2 2 2 2" xfId="57086"/>
    <cellStyle name="20% - Accent6 5 2 2 2 2 3" xfId="40039"/>
    <cellStyle name="20% - Accent6 5 2 2 2 3" xfId="22247"/>
    <cellStyle name="20% - Accent6 5 2 2 2 3 2" xfId="51108"/>
    <cellStyle name="20% - Accent6 5 2 2 2 4" xfId="33998"/>
    <cellStyle name="20% - Accent6 5 2 2 3" xfId="8292"/>
    <cellStyle name="20% - Accent6 5 2 2 3 2" xfId="25339"/>
    <cellStyle name="20% - Accent6 5 2 2 3 2 2" xfId="54200"/>
    <cellStyle name="20% - Accent6 5 2 2 3 3" xfId="37153"/>
    <cellStyle name="20% - Accent6 5 2 2 4" xfId="14342"/>
    <cellStyle name="20% - Accent6 5 2 2 4 2" xfId="19567"/>
    <cellStyle name="20% - Accent6 5 2 2 4 2 2" xfId="48428"/>
    <cellStyle name="20% - Accent6 5 2 2 4 3" xfId="43203"/>
    <cellStyle name="20% - Accent6 5 2 2 5" xfId="16887"/>
    <cellStyle name="20% - Accent6 5 2 2 5 2" xfId="45748"/>
    <cellStyle name="20% - Accent6 5 2 2 6" xfId="31112"/>
    <cellStyle name="20% - Accent6 5 2 3" xfId="3386"/>
    <cellStyle name="20% - Accent6 5 2 3 2" xfId="9427"/>
    <cellStyle name="20% - Accent6 5 2 3 2 2" xfId="26474"/>
    <cellStyle name="20% - Accent6 5 2 3 2 2 2" xfId="55335"/>
    <cellStyle name="20% - Accent6 5 2 3 2 3" xfId="38288"/>
    <cellStyle name="20% - Accent6 5 2 3 3" xfId="20496"/>
    <cellStyle name="20% - Accent6 5 2 3 3 2" xfId="49357"/>
    <cellStyle name="20% - Accent6 5 2 3 4" xfId="32247"/>
    <cellStyle name="20% - Accent6 5 2 4" xfId="6541"/>
    <cellStyle name="20% - Accent6 5 2 4 2" xfId="23588"/>
    <cellStyle name="20% - Accent6 5 2 4 2 2" xfId="52449"/>
    <cellStyle name="20% - Accent6 5 2 4 3" xfId="35402"/>
    <cellStyle name="20% - Accent6 5 2 5" xfId="14399"/>
    <cellStyle name="20% - Accent6 5 2 5 2" xfId="17816"/>
    <cellStyle name="20% - Accent6 5 2 5 2 2" xfId="46677"/>
    <cellStyle name="20% - Accent6 5 2 5 3" xfId="43260"/>
    <cellStyle name="20% - Accent6 5 2 6" xfId="15136"/>
    <cellStyle name="20% - Accent6 5 2 6 2" xfId="43997"/>
    <cellStyle name="20% - Accent6 5 2 7" xfId="29361"/>
    <cellStyle name="20% - Accent6 5 3" xfId="808"/>
    <cellStyle name="20% - Accent6 5 3 2" xfId="3695"/>
    <cellStyle name="20% - Accent6 5 3 2 2" xfId="9736"/>
    <cellStyle name="20% - Accent6 5 3 2 2 2" xfId="26783"/>
    <cellStyle name="20% - Accent6 5 3 2 2 2 2" xfId="55644"/>
    <cellStyle name="20% - Accent6 5 3 2 2 3" xfId="38597"/>
    <cellStyle name="20% - Accent6 5 3 2 3" xfId="20805"/>
    <cellStyle name="20% - Accent6 5 3 2 3 2" xfId="49666"/>
    <cellStyle name="20% - Accent6 5 3 2 4" xfId="32556"/>
    <cellStyle name="20% - Accent6 5 3 3" xfId="6850"/>
    <cellStyle name="20% - Accent6 5 3 3 2" xfId="23897"/>
    <cellStyle name="20% - Accent6 5 3 3 2 2" xfId="52758"/>
    <cellStyle name="20% - Accent6 5 3 3 3" xfId="35711"/>
    <cellStyle name="20% - Accent6 5 3 4" xfId="14474"/>
    <cellStyle name="20% - Accent6 5 3 4 2" xfId="18125"/>
    <cellStyle name="20% - Accent6 5 3 4 2 2" xfId="46986"/>
    <cellStyle name="20% - Accent6 5 3 4 3" xfId="43335"/>
    <cellStyle name="20% - Accent6 5 3 5" xfId="15445"/>
    <cellStyle name="20% - Accent6 5 3 5 2" xfId="44306"/>
    <cellStyle name="20% - Accent6 5 3 6" xfId="29670"/>
    <cellStyle name="20% - Accent6 5 4" xfId="1014"/>
    <cellStyle name="20% - Accent6 5 4 2" xfId="3901"/>
    <cellStyle name="20% - Accent6 5 4 2 2" xfId="9942"/>
    <cellStyle name="20% - Accent6 5 4 2 2 2" xfId="26989"/>
    <cellStyle name="20% - Accent6 5 4 2 2 2 2" xfId="55850"/>
    <cellStyle name="20% - Accent6 5 4 2 2 3" xfId="38803"/>
    <cellStyle name="20% - Accent6 5 4 2 3" xfId="21011"/>
    <cellStyle name="20% - Accent6 5 4 2 3 2" xfId="49872"/>
    <cellStyle name="20% - Accent6 5 4 2 4" xfId="32762"/>
    <cellStyle name="20% - Accent6 5 4 3" xfId="7056"/>
    <cellStyle name="20% - Accent6 5 4 3 2" xfId="24103"/>
    <cellStyle name="20% - Accent6 5 4 3 2 2" xfId="52964"/>
    <cellStyle name="20% - Accent6 5 4 3 3" xfId="35917"/>
    <cellStyle name="20% - Accent6 5 4 4" xfId="11993"/>
    <cellStyle name="20% - Accent6 5 4 4 2" xfId="18331"/>
    <cellStyle name="20% - Accent6 5 4 4 2 2" xfId="47192"/>
    <cellStyle name="20% - Accent6 5 4 4 3" xfId="40854"/>
    <cellStyle name="20% - Accent6 5 4 5" xfId="15651"/>
    <cellStyle name="20% - Accent6 5 4 5 2" xfId="44512"/>
    <cellStyle name="20% - Accent6 5 4 6" xfId="29876"/>
    <cellStyle name="20% - Accent6 5 5" xfId="1220"/>
    <cellStyle name="20% - Accent6 5 5 2" xfId="4107"/>
    <cellStyle name="20% - Accent6 5 5 2 2" xfId="10148"/>
    <cellStyle name="20% - Accent6 5 5 2 2 2" xfId="27195"/>
    <cellStyle name="20% - Accent6 5 5 2 2 2 2" xfId="56056"/>
    <cellStyle name="20% - Accent6 5 5 2 2 3" xfId="39009"/>
    <cellStyle name="20% - Accent6 5 5 2 3" xfId="21217"/>
    <cellStyle name="20% - Accent6 5 5 2 3 2" xfId="50078"/>
    <cellStyle name="20% - Accent6 5 5 2 4" xfId="32968"/>
    <cellStyle name="20% - Accent6 5 5 3" xfId="7262"/>
    <cellStyle name="20% - Accent6 5 5 3 2" xfId="24309"/>
    <cellStyle name="20% - Accent6 5 5 3 2 2" xfId="53170"/>
    <cellStyle name="20% - Accent6 5 5 3 3" xfId="36123"/>
    <cellStyle name="20% - Accent6 5 5 4" xfId="13427"/>
    <cellStyle name="20% - Accent6 5 5 4 2" xfId="18537"/>
    <cellStyle name="20% - Accent6 5 5 4 2 2" xfId="47398"/>
    <cellStyle name="20% - Accent6 5 5 4 3" xfId="42288"/>
    <cellStyle name="20% - Accent6 5 5 5" xfId="15857"/>
    <cellStyle name="20% - Accent6 5 5 5 2" xfId="44718"/>
    <cellStyle name="20% - Accent6 5 5 6" xfId="30082"/>
    <cellStyle name="20% - Accent6 5 6" xfId="1426"/>
    <cellStyle name="20% - Accent6 5 6 2" xfId="4313"/>
    <cellStyle name="20% - Accent6 5 6 2 2" xfId="10354"/>
    <cellStyle name="20% - Accent6 5 6 2 2 2" xfId="27401"/>
    <cellStyle name="20% - Accent6 5 6 2 2 2 2" xfId="56262"/>
    <cellStyle name="20% - Accent6 5 6 2 2 3" xfId="39215"/>
    <cellStyle name="20% - Accent6 5 6 2 3" xfId="21423"/>
    <cellStyle name="20% - Accent6 5 6 2 3 2" xfId="50284"/>
    <cellStyle name="20% - Accent6 5 6 2 4" xfId="33174"/>
    <cellStyle name="20% - Accent6 5 6 3" xfId="7468"/>
    <cellStyle name="20% - Accent6 5 6 3 2" xfId="24515"/>
    <cellStyle name="20% - Accent6 5 6 3 2 2" xfId="53376"/>
    <cellStyle name="20% - Accent6 5 6 3 3" xfId="36329"/>
    <cellStyle name="20% - Accent6 5 6 4" xfId="14192"/>
    <cellStyle name="20% - Accent6 5 6 4 2" xfId="18743"/>
    <cellStyle name="20% - Accent6 5 6 4 2 2" xfId="47604"/>
    <cellStyle name="20% - Accent6 5 6 4 3" xfId="43053"/>
    <cellStyle name="20% - Accent6 5 6 5" xfId="16063"/>
    <cellStyle name="20% - Accent6 5 6 5 2" xfId="44924"/>
    <cellStyle name="20% - Accent6 5 6 6" xfId="30288"/>
    <cellStyle name="20% - Accent6 5 7" xfId="1632"/>
    <cellStyle name="20% - Accent6 5 7 2" xfId="4519"/>
    <cellStyle name="20% - Accent6 5 7 2 2" xfId="10560"/>
    <cellStyle name="20% - Accent6 5 7 2 2 2" xfId="27607"/>
    <cellStyle name="20% - Accent6 5 7 2 2 2 2" xfId="56468"/>
    <cellStyle name="20% - Accent6 5 7 2 2 3" xfId="39421"/>
    <cellStyle name="20% - Accent6 5 7 2 3" xfId="21629"/>
    <cellStyle name="20% - Accent6 5 7 2 3 2" xfId="50490"/>
    <cellStyle name="20% - Accent6 5 7 2 4" xfId="33380"/>
    <cellStyle name="20% - Accent6 5 7 3" xfId="7674"/>
    <cellStyle name="20% - Accent6 5 7 3 2" xfId="24721"/>
    <cellStyle name="20% - Accent6 5 7 3 2 2" xfId="53582"/>
    <cellStyle name="20% - Accent6 5 7 3 3" xfId="36535"/>
    <cellStyle name="20% - Accent6 5 7 4" xfId="12873"/>
    <cellStyle name="20% - Accent6 5 7 4 2" xfId="18949"/>
    <cellStyle name="20% - Accent6 5 7 4 2 2" xfId="47810"/>
    <cellStyle name="20% - Accent6 5 7 4 3" xfId="41734"/>
    <cellStyle name="20% - Accent6 5 7 5" xfId="16269"/>
    <cellStyle name="20% - Accent6 5 7 5 2" xfId="45130"/>
    <cellStyle name="20% - Accent6 5 7 6" xfId="30494"/>
    <cellStyle name="20% - Accent6 5 8" xfId="1838"/>
    <cellStyle name="20% - Accent6 5 8 2" xfId="4725"/>
    <cellStyle name="20% - Accent6 5 8 2 2" xfId="10766"/>
    <cellStyle name="20% - Accent6 5 8 2 2 2" xfId="27813"/>
    <cellStyle name="20% - Accent6 5 8 2 2 2 2" xfId="56674"/>
    <cellStyle name="20% - Accent6 5 8 2 2 3" xfId="39627"/>
    <cellStyle name="20% - Accent6 5 8 2 3" xfId="21835"/>
    <cellStyle name="20% - Accent6 5 8 2 3 2" xfId="50696"/>
    <cellStyle name="20% - Accent6 5 8 2 4" xfId="33586"/>
    <cellStyle name="20% - Accent6 5 8 3" xfId="7880"/>
    <cellStyle name="20% - Accent6 5 8 3 2" xfId="24927"/>
    <cellStyle name="20% - Accent6 5 8 3 2 2" xfId="53788"/>
    <cellStyle name="20% - Accent6 5 8 3 3" xfId="36741"/>
    <cellStyle name="20% - Accent6 5 8 4" xfId="12524"/>
    <cellStyle name="20% - Accent6 5 8 4 2" xfId="19155"/>
    <cellStyle name="20% - Accent6 5 8 4 2 2" xfId="48016"/>
    <cellStyle name="20% - Accent6 5 8 4 3" xfId="41385"/>
    <cellStyle name="20% - Accent6 5 8 5" xfId="16475"/>
    <cellStyle name="20% - Accent6 5 8 5 2" xfId="45336"/>
    <cellStyle name="20% - Accent6 5 8 6" xfId="30700"/>
    <cellStyle name="20% - Accent6 5 9" xfId="2044"/>
    <cellStyle name="20% - Accent6 5 9 2" xfId="4931"/>
    <cellStyle name="20% - Accent6 5 9 2 2" xfId="10972"/>
    <cellStyle name="20% - Accent6 5 9 2 2 2" xfId="28019"/>
    <cellStyle name="20% - Accent6 5 9 2 2 2 2" xfId="56880"/>
    <cellStyle name="20% - Accent6 5 9 2 2 3" xfId="39833"/>
    <cellStyle name="20% - Accent6 5 9 2 3" xfId="22041"/>
    <cellStyle name="20% - Accent6 5 9 2 3 2" xfId="50902"/>
    <cellStyle name="20% - Accent6 5 9 2 4" xfId="33792"/>
    <cellStyle name="20% - Accent6 5 9 3" xfId="8086"/>
    <cellStyle name="20% - Accent6 5 9 3 2" xfId="25133"/>
    <cellStyle name="20% - Accent6 5 9 3 2 2" xfId="53994"/>
    <cellStyle name="20% - Accent6 5 9 3 3" xfId="36947"/>
    <cellStyle name="20% - Accent6 5 9 4" xfId="14051"/>
    <cellStyle name="20% - Accent6 5 9 4 2" xfId="19361"/>
    <cellStyle name="20% - Accent6 5 9 4 2 2" xfId="48222"/>
    <cellStyle name="20% - Accent6 5 9 4 3" xfId="42912"/>
    <cellStyle name="20% - Accent6 5 9 5" xfId="16681"/>
    <cellStyle name="20% - Accent6 5 9 5 2" xfId="45542"/>
    <cellStyle name="20% - Accent6 5 9 6" xfId="30906"/>
    <cellStyle name="20% - Accent6 6" xfId="190"/>
    <cellStyle name="20% - Accent6 6 2" xfId="602"/>
    <cellStyle name="20% - Accent6 6 2 2" xfId="3489"/>
    <cellStyle name="20% - Accent6 6 2 2 2" xfId="9530"/>
    <cellStyle name="20% - Accent6 6 2 2 2 2" xfId="26577"/>
    <cellStyle name="20% - Accent6 6 2 2 2 2 2" xfId="55438"/>
    <cellStyle name="20% - Accent6 6 2 2 2 3" xfId="38391"/>
    <cellStyle name="20% - Accent6 6 2 2 3" xfId="20599"/>
    <cellStyle name="20% - Accent6 6 2 2 3 2" xfId="49460"/>
    <cellStyle name="20% - Accent6 6 2 2 4" xfId="32350"/>
    <cellStyle name="20% - Accent6 6 2 3" xfId="6644"/>
    <cellStyle name="20% - Accent6 6 2 3 2" xfId="23691"/>
    <cellStyle name="20% - Accent6 6 2 3 2 2" xfId="52552"/>
    <cellStyle name="20% - Accent6 6 2 3 3" xfId="35505"/>
    <cellStyle name="20% - Accent6 6 2 4" xfId="13317"/>
    <cellStyle name="20% - Accent6 6 2 4 2" xfId="17919"/>
    <cellStyle name="20% - Accent6 6 2 4 2 2" xfId="46780"/>
    <cellStyle name="20% - Accent6 6 2 4 3" xfId="42178"/>
    <cellStyle name="20% - Accent6 6 2 5" xfId="15239"/>
    <cellStyle name="20% - Accent6 6 2 5 2" xfId="44100"/>
    <cellStyle name="20% - Accent6 6 2 6" xfId="29464"/>
    <cellStyle name="20% - Accent6 6 3" xfId="2147"/>
    <cellStyle name="20% - Accent6 6 3 2" xfId="5034"/>
    <cellStyle name="20% - Accent6 6 3 2 2" xfId="11075"/>
    <cellStyle name="20% - Accent6 6 3 2 2 2" xfId="28122"/>
    <cellStyle name="20% - Accent6 6 3 2 2 2 2" xfId="56983"/>
    <cellStyle name="20% - Accent6 6 3 2 2 3" xfId="39936"/>
    <cellStyle name="20% - Accent6 6 3 2 3" xfId="22144"/>
    <cellStyle name="20% - Accent6 6 3 2 3 2" xfId="51005"/>
    <cellStyle name="20% - Accent6 6 3 2 4" xfId="33895"/>
    <cellStyle name="20% - Accent6 6 3 3" xfId="8189"/>
    <cellStyle name="20% - Accent6 6 3 3 2" xfId="25236"/>
    <cellStyle name="20% - Accent6 6 3 3 2 2" xfId="54097"/>
    <cellStyle name="20% - Accent6 6 3 3 3" xfId="37050"/>
    <cellStyle name="20% - Accent6 6 3 4" xfId="11978"/>
    <cellStyle name="20% - Accent6 6 3 4 2" xfId="19464"/>
    <cellStyle name="20% - Accent6 6 3 4 2 2" xfId="48325"/>
    <cellStyle name="20% - Accent6 6 3 4 3" xfId="40839"/>
    <cellStyle name="20% - Accent6 6 3 5" xfId="16784"/>
    <cellStyle name="20% - Accent6 6 3 5 2" xfId="45645"/>
    <cellStyle name="20% - Accent6 6 3 6" xfId="31009"/>
    <cellStyle name="20% - Accent6 6 4" xfId="3077"/>
    <cellStyle name="20% - Accent6 6 4 2" xfId="9118"/>
    <cellStyle name="20% - Accent6 6 4 2 2" xfId="26165"/>
    <cellStyle name="20% - Accent6 6 4 2 2 2" xfId="55026"/>
    <cellStyle name="20% - Accent6 6 4 2 3" xfId="37979"/>
    <cellStyle name="20% - Accent6 6 4 3" xfId="20187"/>
    <cellStyle name="20% - Accent6 6 4 3 2" xfId="49048"/>
    <cellStyle name="20% - Accent6 6 4 4" xfId="31938"/>
    <cellStyle name="20% - Accent6 6 5" xfId="6232"/>
    <cellStyle name="20% - Accent6 6 5 2" xfId="23279"/>
    <cellStyle name="20% - Accent6 6 5 2 2" xfId="52140"/>
    <cellStyle name="20% - Accent6 6 5 3" xfId="35093"/>
    <cellStyle name="20% - Accent6 6 6" xfId="12890"/>
    <cellStyle name="20% - Accent6 6 6 2" xfId="17610"/>
    <cellStyle name="20% - Accent6 6 6 2 2" xfId="46471"/>
    <cellStyle name="20% - Accent6 6 6 3" xfId="41751"/>
    <cellStyle name="20% - Accent6 6 7" xfId="14827"/>
    <cellStyle name="20% - Accent6 6 7 2" xfId="43688"/>
    <cellStyle name="20% - Accent6 6 8" xfId="29052"/>
    <cellStyle name="20% - Accent6 7" xfId="396"/>
    <cellStyle name="20% - Accent6 7 2" xfId="3283"/>
    <cellStyle name="20% - Accent6 7 2 2" xfId="9324"/>
    <cellStyle name="20% - Accent6 7 2 2 2" xfId="26371"/>
    <cellStyle name="20% - Accent6 7 2 2 2 2" xfId="55232"/>
    <cellStyle name="20% - Accent6 7 2 2 3" xfId="38185"/>
    <cellStyle name="20% - Accent6 7 2 3" xfId="20393"/>
    <cellStyle name="20% - Accent6 7 2 3 2" xfId="49254"/>
    <cellStyle name="20% - Accent6 7 2 4" xfId="32144"/>
    <cellStyle name="20% - Accent6 7 3" xfId="6438"/>
    <cellStyle name="20% - Accent6 7 3 2" xfId="23485"/>
    <cellStyle name="20% - Accent6 7 3 2 2" xfId="52346"/>
    <cellStyle name="20% - Accent6 7 3 3" xfId="35299"/>
    <cellStyle name="20% - Accent6 7 4" xfId="14273"/>
    <cellStyle name="20% - Accent6 7 4 2" xfId="17713"/>
    <cellStyle name="20% - Accent6 7 4 2 2" xfId="46574"/>
    <cellStyle name="20% - Accent6 7 4 3" xfId="43134"/>
    <cellStyle name="20% - Accent6 7 5" xfId="15033"/>
    <cellStyle name="20% - Accent6 7 5 2" xfId="43894"/>
    <cellStyle name="20% - Accent6 7 6" xfId="29258"/>
    <cellStyle name="20% - Accent6 8" xfId="705"/>
    <cellStyle name="20% - Accent6 8 2" xfId="3592"/>
    <cellStyle name="20% - Accent6 8 2 2" xfId="9633"/>
    <cellStyle name="20% - Accent6 8 2 2 2" xfId="26680"/>
    <cellStyle name="20% - Accent6 8 2 2 2 2" xfId="55541"/>
    <cellStyle name="20% - Accent6 8 2 2 3" xfId="38494"/>
    <cellStyle name="20% - Accent6 8 2 3" xfId="20702"/>
    <cellStyle name="20% - Accent6 8 2 3 2" xfId="49563"/>
    <cellStyle name="20% - Accent6 8 2 4" xfId="32453"/>
    <cellStyle name="20% - Accent6 8 3" xfId="6747"/>
    <cellStyle name="20% - Accent6 8 3 2" xfId="23794"/>
    <cellStyle name="20% - Accent6 8 3 2 2" xfId="52655"/>
    <cellStyle name="20% - Accent6 8 3 3" xfId="35608"/>
    <cellStyle name="20% - Accent6 8 4" xfId="12600"/>
    <cellStyle name="20% - Accent6 8 4 2" xfId="18022"/>
    <cellStyle name="20% - Accent6 8 4 2 2" xfId="46883"/>
    <cellStyle name="20% - Accent6 8 4 3" xfId="41461"/>
    <cellStyle name="20% - Accent6 8 5" xfId="15342"/>
    <cellStyle name="20% - Accent6 8 5 2" xfId="44203"/>
    <cellStyle name="20% - Accent6 8 6" xfId="29567"/>
    <cellStyle name="20% - Accent6 9" xfId="911"/>
    <cellStyle name="20% - Accent6 9 2" xfId="3798"/>
    <cellStyle name="20% - Accent6 9 2 2" xfId="9839"/>
    <cellStyle name="20% - Accent6 9 2 2 2" xfId="26886"/>
    <cellStyle name="20% - Accent6 9 2 2 2 2" xfId="55747"/>
    <cellStyle name="20% - Accent6 9 2 2 3" xfId="38700"/>
    <cellStyle name="20% - Accent6 9 2 3" xfId="20908"/>
    <cellStyle name="20% - Accent6 9 2 3 2" xfId="49769"/>
    <cellStyle name="20% - Accent6 9 2 4" xfId="32659"/>
    <cellStyle name="20% - Accent6 9 3" xfId="6953"/>
    <cellStyle name="20% - Accent6 9 3 2" xfId="24000"/>
    <cellStyle name="20% - Accent6 9 3 2 2" xfId="52861"/>
    <cellStyle name="20% - Accent6 9 3 3" xfId="35814"/>
    <cellStyle name="20% - Accent6 9 4" xfId="13323"/>
    <cellStyle name="20% - Accent6 9 4 2" xfId="18228"/>
    <cellStyle name="20% - Accent6 9 4 2 2" xfId="47089"/>
    <cellStyle name="20% - Accent6 9 4 3" xfId="42184"/>
    <cellStyle name="20% - Accent6 9 5" xfId="15548"/>
    <cellStyle name="20% - Accent6 9 5 2" xfId="44409"/>
    <cellStyle name="20% - Accent6 9 6" xfId="29773"/>
    <cellStyle name="40% - Accent1" xfId="67" builtinId="31" customBuiltin="1"/>
    <cellStyle name="40% - Accent1 10" xfId="1108"/>
    <cellStyle name="40% - Accent1 10 2" xfId="3995"/>
    <cellStyle name="40% - Accent1 10 2 2" xfId="10036"/>
    <cellStyle name="40% - Accent1 10 2 2 2" xfId="27083"/>
    <cellStyle name="40% - Accent1 10 2 2 2 2" xfId="55944"/>
    <cellStyle name="40% - Accent1 10 2 2 3" xfId="38897"/>
    <cellStyle name="40% - Accent1 10 2 3" xfId="21105"/>
    <cellStyle name="40% - Accent1 10 2 3 2" xfId="49966"/>
    <cellStyle name="40% - Accent1 10 2 4" xfId="32856"/>
    <cellStyle name="40% - Accent1 10 3" xfId="7150"/>
    <cellStyle name="40% - Accent1 10 3 2" xfId="24197"/>
    <cellStyle name="40% - Accent1 10 3 2 2" xfId="53058"/>
    <cellStyle name="40% - Accent1 10 3 3" xfId="36011"/>
    <cellStyle name="40% - Accent1 10 4" xfId="12523"/>
    <cellStyle name="40% - Accent1 10 4 2" xfId="18425"/>
    <cellStyle name="40% - Accent1 10 4 2 2" xfId="47286"/>
    <cellStyle name="40% - Accent1 10 4 3" xfId="41384"/>
    <cellStyle name="40% - Accent1 10 5" xfId="15745"/>
    <cellStyle name="40% - Accent1 10 5 2" xfId="44606"/>
    <cellStyle name="40% - Accent1 10 6" xfId="29970"/>
    <cellStyle name="40% - Accent1 11" xfId="1314"/>
    <cellStyle name="40% - Accent1 11 2" xfId="4201"/>
    <cellStyle name="40% - Accent1 11 2 2" xfId="10242"/>
    <cellStyle name="40% - Accent1 11 2 2 2" xfId="27289"/>
    <cellStyle name="40% - Accent1 11 2 2 2 2" xfId="56150"/>
    <cellStyle name="40% - Accent1 11 2 2 3" xfId="39103"/>
    <cellStyle name="40% - Accent1 11 2 3" xfId="21311"/>
    <cellStyle name="40% - Accent1 11 2 3 2" xfId="50172"/>
    <cellStyle name="40% - Accent1 11 2 4" xfId="33062"/>
    <cellStyle name="40% - Accent1 11 3" xfId="7356"/>
    <cellStyle name="40% - Accent1 11 3 2" xfId="24403"/>
    <cellStyle name="40% - Accent1 11 3 2 2" xfId="53264"/>
    <cellStyle name="40% - Accent1 11 3 3" xfId="36217"/>
    <cellStyle name="40% - Accent1 11 4" xfId="12155"/>
    <cellStyle name="40% - Accent1 11 4 2" xfId="18631"/>
    <cellStyle name="40% - Accent1 11 4 2 2" xfId="47492"/>
    <cellStyle name="40% - Accent1 11 4 3" xfId="41016"/>
    <cellStyle name="40% - Accent1 11 5" xfId="15951"/>
    <cellStyle name="40% - Accent1 11 5 2" xfId="44812"/>
    <cellStyle name="40% - Accent1 11 6" xfId="30176"/>
    <cellStyle name="40% - Accent1 12" xfId="1520"/>
    <cellStyle name="40% - Accent1 12 2" xfId="4407"/>
    <cellStyle name="40% - Accent1 12 2 2" xfId="10448"/>
    <cellStyle name="40% - Accent1 12 2 2 2" xfId="27495"/>
    <cellStyle name="40% - Accent1 12 2 2 2 2" xfId="56356"/>
    <cellStyle name="40% - Accent1 12 2 2 3" xfId="39309"/>
    <cellStyle name="40% - Accent1 12 2 3" xfId="21517"/>
    <cellStyle name="40% - Accent1 12 2 3 2" xfId="50378"/>
    <cellStyle name="40% - Accent1 12 2 4" xfId="33268"/>
    <cellStyle name="40% - Accent1 12 3" xfId="7562"/>
    <cellStyle name="40% - Accent1 12 3 2" xfId="24609"/>
    <cellStyle name="40% - Accent1 12 3 2 2" xfId="53470"/>
    <cellStyle name="40% - Accent1 12 3 3" xfId="36423"/>
    <cellStyle name="40% - Accent1 12 4" xfId="13204"/>
    <cellStyle name="40% - Accent1 12 4 2" xfId="18837"/>
    <cellStyle name="40% - Accent1 12 4 2 2" xfId="47698"/>
    <cellStyle name="40% - Accent1 12 4 3" xfId="42065"/>
    <cellStyle name="40% - Accent1 12 5" xfId="16157"/>
    <cellStyle name="40% - Accent1 12 5 2" xfId="45018"/>
    <cellStyle name="40% - Accent1 12 6" xfId="30382"/>
    <cellStyle name="40% - Accent1 13" xfId="1726"/>
    <cellStyle name="40% - Accent1 13 2" xfId="4613"/>
    <cellStyle name="40% - Accent1 13 2 2" xfId="10654"/>
    <cellStyle name="40% - Accent1 13 2 2 2" xfId="27701"/>
    <cellStyle name="40% - Accent1 13 2 2 2 2" xfId="56562"/>
    <cellStyle name="40% - Accent1 13 2 2 3" xfId="39515"/>
    <cellStyle name="40% - Accent1 13 2 3" xfId="21723"/>
    <cellStyle name="40% - Accent1 13 2 3 2" xfId="50584"/>
    <cellStyle name="40% - Accent1 13 2 4" xfId="33474"/>
    <cellStyle name="40% - Accent1 13 3" xfId="7768"/>
    <cellStyle name="40% - Accent1 13 3 2" xfId="24815"/>
    <cellStyle name="40% - Accent1 13 3 2 2" xfId="53676"/>
    <cellStyle name="40% - Accent1 13 3 3" xfId="36629"/>
    <cellStyle name="40% - Accent1 13 4" xfId="12125"/>
    <cellStyle name="40% - Accent1 13 4 2" xfId="19043"/>
    <cellStyle name="40% - Accent1 13 4 2 2" xfId="47904"/>
    <cellStyle name="40% - Accent1 13 4 3" xfId="40986"/>
    <cellStyle name="40% - Accent1 13 5" xfId="16363"/>
    <cellStyle name="40% - Accent1 13 5 2" xfId="45224"/>
    <cellStyle name="40% - Accent1 13 6" xfId="30588"/>
    <cellStyle name="40% - Accent1 14" xfId="1932"/>
    <cellStyle name="40% - Accent1 14 2" xfId="4819"/>
    <cellStyle name="40% - Accent1 14 2 2" xfId="10860"/>
    <cellStyle name="40% - Accent1 14 2 2 2" xfId="27907"/>
    <cellStyle name="40% - Accent1 14 2 2 2 2" xfId="56768"/>
    <cellStyle name="40% - Accent1 14 2 2 3" xfId="39721"/>
    <cellStyle name="40% - Accent1 14 2 3" xfId="21929"/>
    <cellStyle name="40% - Accent1 14 2 3 2" xfId="50790"/>
    <cellStyle name="40% - Accent1 14 2 4" xfId="33680"/>
    <cellStyle name="40% - Accent1 14 3" xfId="7974"/>
    <cellStyle name="40% - Accent1 14 3 2" xfId="25021"/>
    <cellStyle name="40% - Accent1 14 3 2 2" xfId="53882"/>
    <cellStyle name="40% - Accent1 14 3 3" xfId="36835"/>
    <cellStyle name="40% - Accent1 14 4" xfId="13105"/>
    <cellStyle name="40% - Accent1 14 4 2" xfId="19249"/>
    <cellStyle name="40% - Accent1 14 4 2 2" xfId="48110"/>
    <cellStyle name="40% - Accent1 14 4 3" xfId="41966"/>
    <cellStyle name="40% - Accent1 14 5" xfId="16569"/>
    <cellStyle name="40% - Accent1 14 5 2" xfId="45430"/>
    <cellStyle name="40% - Accent1 14 6" xfId="30794"/>
    <cellStyle name="40% - Accent1 15" xfId="2344"/>
    <cellStyle name="40% - Accent1 15 2" xfId="5231"/>
    <cellStyle name="40% - Accent1 15 2 2" xfId="11272"/>
    <cellStyle name="40% - Accent1 15 2 2 2" xfId="28319"/>
    <cellStyle name="40% - Accent1 15 2 2 2 2" xfId="57180"/>
    <cellStyle name="40% - Accent1 15 2 2 3" xfId="40133"/>
    <cellStyle name="40% - Accent1 15 2 3" xfId="22341"/>
    <cellStyle name="40% - Accent1 15 2 3 2" xfId="51202"/>
    <cellStyle name="40% - Accent1 15 2 4" xfId="34092"/>
    <cellStyle name="40% - Accent1 15 3" xfId="8386"/>
    <cellStyle name="40% - Accent1 15 3 2" xfId="25433"/>
    <cellStyle name="40% - Accent1 15 3 2 2" xfId="54294"/>
    <cellStyle name="40% - Accent1 15 3 3" xfId="37247"/>
    <cellStyle name="40% - Accent1 15 4" xfId="12173"/>
    <cellStyle name="40% - Accent1 15 4 2" xfId="19661"/>
    <cellStyle name="40% - Accent1 15 4 2 2" xfId="48522"/>
    <cellStyle name="40% - Accent1 15 4 3" xfId="41034"/>
    <cellStyle name="40% - Accent1 15 5" xfId="16981"/>
    <cellStyle name="40% - Accent1 15 5 2" xfId="45842"/>
    <cellStyle name="40% - Accent1 15 6" xfId="31206"/>
    <cellStyle name="40% - Accent1 16" xfId="2553"/>
    <cellStyle name="40% - Accent1 16 2" xfId="5439"/>
    <cellStyle name="40% - Accent1 16 2 2" xfId="11480"/>
    <cellStyle name="40% - Accent1 16 2 2 2" xfId="28527"/>
    <cellStyle name="40% - Accent1 16 2 2 2 2" xfId="57388"/>
    <cellStyle name="40% - Accent1 16 2 2 3" xfId="40341"/>
    <cellStyle name="40% - Accent1 16 2 3" xfId="22549"/>
    <cellStyle name="40% - Accent1 16 2 3 2" xfId="51410"/>
    <cellStyle name="40% - Accent1 16 2 4" xfId="34300"/>
    <cellStyle name="40% - Accent1 16 3" xfId="8594"/>
    <cellStyle name="40% - Accent1 16 3 2" xfId="25641"/>
    <cellStyle name="40% - Accent1 16 3 2 2" xfId="54502"/>
    <cellStyle name="40% - Accent1 16 3 3" xfId="37455"/>
    <cellStyle name="40% - Accent1 16 4" xfId="13399"/>
    <cellStyle name="40% - Accent1 16 4 2" xfId="19869"/>
    <cellStyle name="40% - Accent1 16 4 2 2" xfId="48730"/>
    <cellStyle name="40% - Accent1 16 4 3" xfId="42260"/>
    <cellStyle name="40% - Accent1 16 5" xfId="17189"/>
    <cellStyle name="40% - Accent1 16 5 2" xfId="46050"/>
    <cellStyle name="40% - Accent1 16 6" xfId="31414"/>
    <cellStyle name="40% - Accent1 17" xfId="2965"/>
    <cellStyle name="40% - Accent1 17 2" xfId="9006"/>
    <cellStyle name="40% - Accent1 17 2 2" xfId="26053"/>
    <cellStyle name="40% - Accent1 17 2 2 2" xfId="54914"/>
    <cellStyle name="40% - Accent1 17 2 3" xfId="37867"/>
    <cellStyle name="40% - Accent1 17 3" xfId="12877"/>
    <cellStyle name="40% - Accent1 17 3 2" xfId="20075"/>
    <cellStyle name="40% - Accent1 17 3 2 2" xfId="48936"/>
    <cellStyle name="40% - Accent1 17 3 3" xfId="41738"/>
    <cellStyle name="40% - Accent1 17 4" xfId="14715"/>
    <cellStyle name="40% - Accent1 17 4 2" xfId="43576"/>
    <cellStyle name="40% - Accent1 17 5" xfId="31826"/>
    <cellStyle name="40% - Accent1 18" xfId="2759"/>
    <cellStyle name="40% - Accent1 18 2" xfId="8800"/>
    <cellStyle name="40% - Accent1 18 2 2" xfId="25847"/>
    <cellStyle name="40% - Accent1 18 2 2 2" xfId="54708"/>
    <cellStyle name="40% - Accent1 18 2 3" xfId="37661"/>
    <cellStyle name="40% - Accent1 18 3" xfId="17395"/>
    <cellStyle name="40% - Accent1 18 3 2" xfId="46256"/>
    <cellStyle name="40% - Accent1 18 4" xfId="31620"/>
    <cellStyle name="40% - Accent1 19" xfId="5645"/>
    <cellStyle name="40% - Accent1 19 2" xfId="11686"/>
    <cellStyle name="40% - Accent1 19 2 2" xfId="28733"/>
    <cellStyle name="40% - Accent1 19 2 2 2" xfId="57594"/>
    <cellStyle name="40% - Accent1 19 2 3" xfId="40547"/>
    <cellStyle name="40% - Accent1 19 3" xfId="22755"/>
    <cellStyle name="40% - Accent1 19 3 2" xfId="51616"/>
    <cellStyle name="40% - Accent1 19 4" xfId="34506"/>
    <cellStyle name="40% - Accent1 2" xfId="92"/>
    <cellStyle name="40% - Accent1 2 10" xfId="1328"/>
    <cellStyle name="40% - Accent1 2 10 2" xfId="4215"/>
    <cellStyle name="40% - Accent1 2 10 2 2" xfId="10256"/>
    <cellStyle name="40% - Accent1 2 10 2 2 2" xfId="27303"/>
    <cellStyle name="40% - Accent1 2 10 2 2 2 2" xfId="56164"/>
    <cellStyle name="40% - Accent1 2 10 2 2 3" xfId="39117"/>
    <cellStyle name="40% - Accent1 2 10 2 3" xfId="21325"/>
    <cellStyle name="40% - Accent1 2 10 2 3 2" xfId="50186"/>
    <cellStyle name="40% - Accent1 2 10 2 4" xfId="33076"/>
    <cellStyle name="40% - Accent1 2 10 3" xfId="7370"/>
    <cellStyle name="40% - Accent1 2 10 3 2" xfId="24417"/>
    <cellStyle name="40% - Accent1 2 10 3 2 2" xfId="53278"/>
    <cellStyle name="40% - Accent1 2 10 3 3" xfId="36231"/>
    <cellStyle name="40% - Accent1 2 10 4" xfId="14100"/>
    <cellStyle name="40% - Accent1 2 10 4 2" xfId="18645"/>
    <cellStyle name="40% - Accent1 2 10 4 2 2" xfId="47506"/>
    <cellStyle name="40% - Accent1 2 10 4 3" xfId="42961"/>
    <cellStyle name="40% - Accent1 2 10 5" xfId="15965"/>
    <cellStyle name="40% - Accent1 2 10 5 2" xfId="44826"/>
    <cellStyle name="40% - Accent1 2 10 6" xfId="30190"/>
    <cellStyle name="40% - Accent1 2 11" xfId="1534"/>
    <cellStyle name="40% - Accent1 2 11 2" xfId="4421"/>
    <cellStyle name="40% - Accent1 2 11 2 2" xfId="10462"/>
    <cellStyle name="40% - Accent1 2 11 2 2 2" xfId="27509"/>
    <cellStyle name="40% - Accent1 2 11 2 2 2 2" xfId="56370"/>
    <cellStyle name="40% - Accent1 2 11 2 2 3" xfId="39323"/>
    <cellStyle name="40% - Accent1 2 11 2 3" xfId="21531"/>
    <cellStyle name="40% - Accent1 2 11 2 3 2" xfId="50392"/>
    <cellStyle name="40% - Accent1 2 11 2 4" xfId="33282"/>
    <cellStyle name="40% - Accent1 2 11 3" xfId="7576"/>
    <cellStyle name="40% - Accent1 2 11 3 2" xfId="24623"/>
    <cellStyle name="40% - Accent1 2 11 3 2 2" xfId="53484"/>
    <cellStyle name="40% - Accent1 2 11 3 3" xfId="36437"/>
    <cellStyle name="40% - Accent1 2 11 4" xfId="13510"/>
    <cellStyle name="40% - Accent1 2 11 4 2" xfId="18851"/>
    <cellStyle name="40% - Accent1 2 11 4 2 2" xfId="47712"/>
    <cellStyle name="40% - Accent1 2 11 4 3" xfId="42371"/>
    <cellStyle name="40% - Accent1 2 11 5" xfId="16171"/>
    <cellStyle name="40% - Accent1 2 11 5 2" xfId="45032"/>
    <cellStyle name="40% - Accent1 2 11 6" xfId="30396"/>
    <cellStyle name="40% - Accent1 2 12" xfId="1740"/>
    <cellStyle name="40% - Accent1 2 12 2" xfId="4627"/>
    <cellStyle name="40% - Accent1 2 12 2 2" xfId="10668"/>
    <cellStyle name="40% - Accent1 2 12 2 2 2" xfId="27715"/>
    <cellStyle name="40% - Accent1 2 12 2 2 2 2" xfId="56576"/>
    <cellStyle name="40% - Accent1 2 12 2 2 3" xfId="39529"/>
    <cellStyle name="40% - Accent1 2 12 2 3" xfId="21737"/>
    <cellStyle name="40% - Accent1 2 12 2 3 2" xfId="50598"/>
    <cellStyle name="40% - Accent1 2 12 2 4" xfId="33488"/>
    <cellStyle name="40% - Accent1 2 12 3" xfId="7782"/>
    <cellStyle name="40% - Accent1 2 12 3 2" xfId="24829"/>
    <cellStyle name="40% - Accent1 2 12 3 2 2" xfId="53690"/>
    <cellStyle name="40% - Accent1 2 12 3 3" xfId="36643"/>
    <cellStyle name="40% - Accent1 2 12 4" xfId="12009"/>
    <cellStyle name="40% - Accent1 2 12 4 2" xfId="19057"/>
    <cellStyle name="40% - Accent1 2 12 4 2 2" xfId="47918"/>
    <cellStyle name="40% - Accent1 2 12 4 3" xfId="40870"/>
    <cellStyle name="40% - Accent1 2 12 5" xfId="16377"/>
    <cellStyle name="40% - Accent1 2 12 5 2" xfId="45238"/>
    <cellStyle name="40% - Accent1 2 12 6" xfId="30602"/>
    <cellStyle name="40% - Accent1 2 13" xfId="1946"/>
    <cellStyle name="40% - Accent1 2 13 2" xfId="4833"/>
    <cellStyle name="40% - Accent1 2 13 2 2" xfId="10874"/>
    <cellStyle name="40% - Accent1 2 13 2 2 2" xfId="27921"/>
    <cellStyle name="40% - Accent1 2 13 2 2 2 2" xfId="56782"/>
    <cellStyle name="40% - Accent1 2 13 2 2 3" xfId="39735"/>
    <cellStyle name="40% - Accent1 2 13 2 3" xfId="21943"/>
    <cellStyle name="40% - Accent1 2 13 2 3 2" xfId="50804"/>
    <cellStyle name="40% - Accent1 2 13 2 4" xfId="33694"/>
    <cellStyle name="40% - Accent1 2 13 3" xfId="7988"/>
    <cellStyle name="40% - Accent1 2 13 3 2" xfId="25035"/>
    <cellStyle name="40% - Accent1 2 13 3 2 2" xfId="53896"/>
    <cellStyle name="40% - Accent1 2 13 3 3" xfId="36849"/>
    <cellStyle name="40% - Accent1 2 13 4" xfId="13331"/>
    <cellStyle name="40% - Accent1 2 13 4 2" xfId="19263"/>
    <cellStyle name="40% - Accent1 2 13 4 2 2" xfId="48124"/>
    <cellStyle name="40% - Accent1 2 13 4 3" xfId="42192"/>
    <cellStyle name="40% - Accent1 2 13 5" xfId="16583"/>
    <cellStyle name="40% - Accent1 2 13 5 2" xfId="45444"/>
    <cellStyle name="40% - Accent1 2 13 6" xfId="30808"/>
    <cellStyle name="40% - Accent1 2 14" xfId="2358"/>
    <cellStyle name="40% - Accent1 2 14 2" xfId="5245"/>
    <cellStyle name="40% - Accent1 2 14 2 2" xfId="11286"/>
    <cellStyle name="40% - Accent1 2 14 2 2 2" xfId="28333"/>
    <cellStyle name="40% - Accent1 2 14 2 2 2 2" xfId="57194"/>
    <cellStyle name="40% - Accent1 2 14 2 2 3" xfId="40147"/>
    <cellStyle name="40% - Accent1 2 14 2 3" xfId="22355"/>
    <cellStyle name="40% - Accent1 2 14 2 3 2" xfId="51216"/>
    <cellStyle name="40% - Accent1 2 14 2 4" xfId="34106"/>
    <cellStyle name="40% - Accent1 2 14 3" xfId="8400"/>
    <cellStyle name="40% - Accent1 2 14 3 2" xfId="25447"/>
    <cellStyle name="40% - Accent1 2 14 3 2 2" xfId="54308"/>
    <cellStyle name="40% - Accent1 2 14 3 3" xfId="37261"/>
    <cellStyle name="40% - Accent1 2 14 4" xfId="14348"/>
    <cellStyle name="40% - Accent1 2 14 4 2" xfId="19675"/>
    <cellStyle name="40% - Accent1 2 14 4 2 2" xfId="48536"/>
    <cellStyle name="40% - Accent1 2 14 4 3" xfId="43209"/>
    <cellStyle name="40% - Accent1 2 14 5" xfId="16995"/>
    <cellStyle name="40% - Accent1 2 14 5 2" xfId="45856"/>
    <cellStyle name="40% - Accent1 2 14 6" xfId="31220"/>
    <cellStyle name="40% - Accent1 2 15" xfId="2567"/>
    <cellStyle name="40% - Accent1 2 15 2" xfId="5453"/>
    <cellStyle name="40% - Accent1 2 15 2 2" xfId="11494"/>
    <cellStyle name="40% - Accent1 2 15 2 2 2" xfId="28541"/>
    <cellStyle name="40% - Accent1 2 15 2 2 2 2" xfId="57402"/>
    <cellStyle name="40% - Accent1 2 15 2 2 3" xfId="40355"/>
    <cellStyle name="40% - Accent1 2 15 2 3" xfId="22563"/>
    <cellStyle name="40% - Accent1 2 15 2 3 2" xfId="51424"/>
    <cellStyle name="40% - Accent1 2 15 2 4" xfId="34314"/>
    <cellStyle name="40% - Accent1 2 15 3" xfId="8608"/>
    <cellStyle name="40% - Accent1 2 15 3 2" xfId="25655"/>
    <cellStyle name="40% - Accent1 2 15 3 2 2" xfId="54516"/>
    <cellStyle name="40% - Accent1 2 15 3 3" xfId="37469"/>
    <cellStyle name="40% - Accent1 2 15 4" xfId="12384"/>
    <cellStyle name="40% - Accent1 2 15 4 2" xfId="19883"/>
    <cellStyle name="40% - Accent1 2 15 4 2 2" xfId="48744"/>
    <cellStyle name="40% - Accent1 2 15 4 3" xfId="41245"/>
    <cellStyle name="40% - Accent1 2 15 5" xfId="17203"/>
    <cellStyle name="40% - Accent1 2 15 5 2" xfId="46064"/>
    <cellStyle name="40% - Accent1 2 15 6" xfId="31428"/>
    <cellStyle name="40% - Accent1 2 16" xfId="2979"/>
    <cellStyle name="40% - Accent1 2 16 2" xfId="9020"/>
    <cellStyle name="40% - Accent1 2 16 2 2" xfId="26067"/>
    <cellStyle name="40% - Accent1 2 16 2 2 2" xfId="54928"/>
    <cellStyle name="40% - Accent1 2 16 2 3" xfId="37881"/>
    <cellStyle name="40% - Accent1 2 16 3" xfId="12176"/>
    <cellStyle name="40% - Accent1 2 16 3 2" xfId="20089"/>
    <cellStyle name="40% - Accent1 2 16 3 2 2" xfId="48950"/>
    <cellStyle name="40% - Accent1 2 16 3 3" xfId="41037"/>
    <cellStyle name="40% - Accent1 2 16 4" xfId="14729"/>
    <cellStyle name="40% - Accent1 2 16 4 2" xfId="43590"/>
    <cellStyle name="40% - Accent1 2 16 5" xfId="31840"/>
    <cellStyle name="40% - Accent1 2 17" xfId="2773"/>
    <cellStyle name="40% - Accent1 2 17 2" xfId="8814"/>
    <cellStyle name="40% - Accent1 2 17 2 2" xfId="25861"/>
    <cellStyle name="40% - Accent1 2 17 2 2 2" xfId="54722"/>
    <cellStyle name="40% - Accent1 2 17 2 3" xfId="37675"/>
    <cellStyle name="40% - Accent1 2 17 3" xfId="17409"/>
    <cellStyle name="40% - Accent1 2 17 3 2" xfId="46270"/>
    <cellStyle name="40% - Accent1 2 17 4" xfId="31634"/>
    <cellStyle name="40% - Accent1 2 18" xfId="5659"/>
    <cellStyle name="40% - Accent1 2 18 2" xfId="11700"/>
    <cellStyle name="40% - Accent1 2 18 2 2" xfId="28747"/>
    <cellStyle name="40% - Accent1 2 18 2 2 2" xfId="57608"/>
    <cellStyle name="40% - Accent1 2 18 2 3" xfId="40561"/>
    <cellStyle name="40% - Accent1 2 18 3" xfId="22769"/>
    <cellStyle name="40% - Accent1 2 18 3 2" xfId="51630"/>
    <cellStyle name="40% - Accent1 2 18 4" xfId="34520"/>
    <cellStyle name="40% - Accent1 2 19" xfId="5876"/>
    <cellStyle name="40% - Accent1 2 19 2" xfId="22975"/>
    <cellStyle name="40% - Accent1 2 19 2 2" xfId="51836"/>
    <cellStyle name="40% - Accent1 2 19 3" xfId="34737"/>
    <cellStyle name="40% - Accent1 2 2" xfId="118"/>
    <cellStyle name="40% - Accent1 2 2 10" xfId="1766"/>
    <cellStyle name="40% - Accent1 2 2 10 2" xfId="4653"/>
    <cellStyle name="40% - Accent1 2 2 10 2 2" xfId="10694"/>
    <cellStyle name="40% - Accent1 2 2 10 2 2 2" xfId="27741"/>
    <cellStyle name="40% - Accent1 2 2 10 2 2 2 2" xfId="56602"/>
    <cellStyle name="40% - Accent1 2 2 10 2 2 3" xfId="39555"/>
    <cellStyle name="40% - Accent1 2 2 10 2 3" xfId="21763"/>
    <cellStyle name="40% - Accent1 2 2 10 2 3 2" xfId="50624"/>
    <cellStyle name="40% - Accent1 2 2 10 2 4" xfId="33514"/>
    <cellStyle name="40% - Accent1 2 2 10 3" xfId="7808"/>
    <cellStyle name="40% - Accent1 2 2 10 3 2" xfId="24855"/>
    <cellStyle name="40% - Accent1 2 2 10 3 2 2" xfId="53716"/>
    <cellStyle name="40% - Accent1 2 2 10 3 3" xfId="36669"/>
    <cellStyle name="40% - Accent1 2 2 10 4" xfId="12352"/>
    <cellStyle name="40% - Accent1 2 2 10 4 2" xfId="19083"/>
    <cellStyle name="40% - Accent1 2 2 10 4 2 2" xfId="47944"/>
    <cellStyle name="40% - Accent1 2 2 10 4 3" xfId="41213"/>
    <cellStyle name="40% - Accent1 2 2 10 5" xfId="16403"/>
    <cellStyle name="40% - Accent1 2 2 10 5 2" xfId="45264"/>
    <cellStyle name="40% - Accent1 2 2 10 6" xfId="30628"/>
    <cellStyle name="40% - Accent1 2 2 11" xfId="1972"/>
    <cellStyle name="40% - Accent1 2 2 11 2" xfId="4859"/>
    <cellStyle name="40% - Accent1 2 2 11 2 2" xfId="10900"/>
    <cellStyle name="40% - Accent1 2 2 11 2 2 2" xfId="27947"/>
    <cellStyle name="40% - Accent1 2 2 11 2 2 2 2" xfId="56808"/>
    <cellStyle name="40% - Accent1 2 2 11 2 2 3" xfId="39761"/>
    <cellStyle name="40% - Accent1 2 2 11 2 3" xfId="21969"/>
    <cellStyle name="40% - Accent1 2 2 11 2 3 2" xfId="50830"/>
    <cellStyle name="40% - Accent1 2 2 11 2 4" xfId="33720"/>
    <cellStyle name="40% - Accent1 2 2 11 3" xfId="8014"/>
    <cellStyle name="40% - Accent1 2 2 11 3 2" xfId="25061"/>
    <cellStyle name="40% - Accent1 2 2 11 3 2 2" xfId="53922"/>
    <cellStyle name="40% - Accent1 2 2 11 3 3" xfId="36875"/>
    <cellStyle name="40% - Accent1 2 2 11 4" xfId="13876"/>
    <cellStyle name="40% - Accent1 2 2 11 4 2" xfId="19289"/>
    <cellStyle name="40% - Accent1 2 2 11 4 2 2" xfId="48150"/>
    <cellStyle name="40% - Accent1 2 2 11 4 3" xfId="42737"/>
    <cellStyle name="40% - Accent1 2 2 11 5" xfId="16609"/>
    <cellStyle name="40% - Accent1 2 2 11 5 2" xfId="45470"/>
    <cellStyle name="40% - Accent1 2 2 11 6" xfId="30834"/>
    <cellStyle name="40% - Accent1 2 2 12" xfId="2384"/>
    <cellStyle name="40% - Accent1 2 2 12 2" xfId="5271"/>
    <cellStyle name="40% - Accent1 2 2 12 2 2" xfId="11312"/>
    <cellStyle name="40% - Accent1 2 2 12 2 2 2" xfId="28359"/>
    <cellStyle name="40% - Accent1 2 2 12 2 2 2 2" xfId="57220"/>
    <cellStyle name="40% - Accent1 2 2 12 2 2 3" xfId="40173"/>
    <cellStyle name="40% - Accent1 2 2 12 2 3" xfId="22381"/>
    <cellStyle name="40% - Accent1 2 2 12 2 3 2" xfId="51242"/>
    <cellStyle name="40% - Accent1 2 2 12 2 4" xfId="34132"/>
    <cellStyle name="40% - Accent1 2 2 12 3" xfId="8426"/>
    <cellStyle name="40% - Accent1 2 2 12 3 2" xfId="25473"/>
    <cellStyle name="40% - Accent1 2 2 12 3 2 2" xfId="54334"/>
    <cellStyle name="40% - Accent1 2 2 12 3 3" xfId="37287"/>
    <cellStyle name="40% - Accent1 2 2 12 4" xfId="13090"/>
    <cellStyle name="40% - Accent1 2 2 12 4 2" xfId="19701"/>
    <cellStyle name="40% - Accent1 2 2 12 4 2 2" xfId="48562"/>
    <cellStyle name="40% - Accent1 2 2 12 4 3" xfId="41951"/>
    <cellStyle name="40% - Accent1 2 2 12 5" xfId="17021"/>
    <cellStyle name="40% - Accent1 2 2 12 5 2" xfId="45882"/>
    <cellStyle name="40% - Accent1 2 2 12 6" xfId="31246"/>
    <cellStyle name="40% - Accent1 2 2 13" xfId="2593"/>
    <cellStyle name="40% - Accent1 2 2 13 2" xfId="5479"/>
    <cellStyle name="40% - Accent1 2 2 13 2 2" xfId="11520"/>
    <cellStyle name="40% - Accent1 2 2 13 2 2 2" xfId="28567"/>
    <cellStyle name="40% - Accent1 2 2 13 2 2 2 2" xfId="57428"/>
    <cellStyle name="40% - Accent1 2 2 13 2 2 3" xfId="40381"/>
    <cellStyle name="40% - Accent1 2 2 13 2 3" xfId="22589"/>
    <cellStyle name="40% - Accent1 2 2 13 2 3 2" xfId="51450"/>
    <cellStyle name="40% - Accent1 2 2 13 2 4" xfId="34340"/>
    <cellStyle name="40% - Accent1 2 2 13 3" xfId="8634"/>
    <cellStyle name="40% - Accent1 2 2 13 3 2" xfId="25681"/>
    <cellStyle name="40% - Accent1 2 2 13 3 2 2" xfId="54542"/>
    <cellStyle name="40% - Accent1 2 2 13 3 3" xfId="37495"/>
    <cellStyle name="40% - Accent1 2 2 13 4" xfId="12687"/>
    <cellStyle name="40% - Accent1 2 2 13 4 2" xfId="19909"/>
    <cellStyle name="40% - Accent1 2 2 13 4 2 2" xfId="48770"/>
    <cellStyle name="40% - Accent1 2 2 13 4 3" xfId="41548"/>
    <cellStyle name="40% - Accent1 2 2 13 5" xfId="17229"/>
    <cellStyle name="40% - Accent1 2 2 13 5 2" xfId="46090"/>
    <cellStyle name="40% - Accent1 2 2 13 6" xfId="31454"/>
    <cellStyle name="40% - Accent1 2 2 14" xfId="3005"/>
    <cellStyle name="40% - Accent1 2 2 14 2" xfId="9046"/>
    <cellStyle name="40% - Accent1 2 2 14 2 2" xfId="26093"/>
    <cellStyle name="40% - Accent1 2 2 14 2 2 2" xfId="54954"/>
    <cellStyle name="40% - Accent1 2 2 14 2 3" xfId="37907"/>
    <cellStyle name="40% - Accent1 2 2 14 3" xfId="12731"/>
    <cellStyle name="40% - Accent1 2 2 14 3 2" xfId="20115"/>
    <cellStyle name="40% - Accent1 2 2 14 3 2 2" xfId="48976"/>
    <cellStyle name="40% - Accent1 2 2 14 3 3" xfId="41592"/>
    <cellStyle name="40% - Accent1 2 2 14 4" xfId="14755"/>
    <cellStyle name="40% - Accent1 2 2 14 4 2" xfId="43616"/>
    <cellStyle name="40% - Accent1 2 2 14 5" xfId="31866"/>
    <cellStyle name="40% - Accent1 2 2 15" xfId="2799"/>
    <cellStyle name="40% - Accent1 2 2 15 2" xfId="8840"/>
    <cellStyle name="40% - Accent1 2 2 15 2 2" xfId="25887"/>
    <cellStyle name="40% - Accent1 2 2 15 2 2 2" xfId="54748"/>
    <cellStyle name="40% - Accent1 2 2 15 2 3" xfId="37701"/>
    <cellStyle name="40% - Accent1 2 2 15 3" xfId="17435"/>
    <cellStyle name="40% - Accent1 2 2 15 3 2" xfId="46296"/>
    <cellStyle name="40% - Accent1 2 2 15 4" xfId="31660"/>
    <cellStyle name="40% - Accent1 2 2 16" xfId="5685"/>
    <cellStyle name="40% - Accent1 2 2 16 2" xfId="11726"/>
    <cellStyle name="40% - Accent1 2 2 16 2 2" xfId="28773"/>
    <cellStyle name="40% - Accent1 2 2 16 2 2 2" xfId="57634"/>
    <cellStyle name="40% - Accent1 2 2 16 2 3" xfId="40587"/>
    <cellStyle name="40% - Accent1 2 2 16 3" xfId="22795"/>
    <cellStyle name="40% - Accent1 2 2 16 3 2" xfId="51656"/>
    <cellStyle name="40% - Accent1 2 2 16 4" xfId="34546"/>
    <cellStyle name="40% - Accent1 2 2 17" xfId="5902"/>
    <cellStyle name="40% - Accent1 2 2 17 2" xfId="23001"/>
    <cellStyle name="40% - Accent1 2 2 17 2 2" xfId="51862"/>
    <cellStyle name="40% - Accent1 2 2 17 3" xfId="34763"/>
    <cellStyle name="40% - Accent1 2 2 18" xfId="6160"/>
    <cellStyle name="40% - Accent1 2 2 18 2" xfId="23207"/>
    <cellStyle name="40% - Accent1 2 2 18 2 2" xfId="52068"/>
    <cellStyle name="40% - Accent1 2 2 18 3" xfId="35021"/>
    <cellStyle name="40% - Accent1 2 2 19" xfId="14549"/>
    <cellStyle name="40% - Accent1 2 2 19 2" xfId="43410"/>
    <cellStyle name="40% - Accent1 2 2 2" xfId="324"/>
    <cellStyle name="40% - Accent1 2 2 2 10" xfId="2487"/>
    <cellStyle name="40% - Accent1 2 2 2 10 2" xfId="5374"/>
    <cellStyle name="40% - Accent1 2 2 2 10 2 2" xfId="11415"/>
    <cellStyle name="40% - Accent1 2 2 2 10 2 2 2" xfId="28462"/>
    <cellStyle name="40% - Accent1 2 2 2 10 2 2 2 2" xfId="57323"/>
    <cellStyle name="40% - Accent1 2 2 2 10 2 2 3" xfId="40276"/>
    <cellStyle name="40% - Accent1 2 2 2 10 2 3" xfId="22484"/>
    <cellStyle name="40% - Accent1 2 2 2 10 2 3 2" xfId="51345"/>
    <cellStyle name="40% - Accent1 2 2 2 10 2 4" xfId="34235"/>
    <cellStyle name="40% - Accent1 2 2 2 10 3" xfId="8529"/>
    <cellStyle name="40% - Accent1 2 2 2 10 3 2" xfId="25576"/>
    <cellStyle name="40% - Accent1 2 2 2 10 3 2 2" xfId="54437"/>
    <cellStyle name="40% - Accent1 2 2 2 10 3 3" xfId="37390"/>
    <cellStyle name="40% - Accent1 2 2 2 10 4" xfId="13738"/>
    <cellStyle name="40% - Accent1 2 2 2 10 4 2" xfId="19804"/>
    <cellStyle name="40% - Accent1 2 2 2 10 4 2 2" xfId="48665"/>
    <cellStyle name="40% - Accent1 2 2 2 10 4 3" xfId="42599"/>
    <cellStyle name="40% - Accent1 2 2 2 10 5" xfId="17124"/>
    <cellStyle name="40% - Accent1 2 2 2 10 5 2" xfId="45985"/>
    <cellStyle name="40% - Accent1 2 2 2 10 6" xfId="31349"/>
    <cellStyle name="40% - Accent1 2 2 2 11" xfId="2696"/>
    <cellStyle name="40% - Accent1 2 2 2 11 2" xfId="5582"/>
    <cellStyle name="40% - Accent1 2 2 2 11 2 2" xfId="11623"/>
    <cellStyle name="40% - Accent1 2 2 2 11 2 2 2" xfId="28670"/>
    <cellStyle name="40% - Accent1 2 2 2 11 2 2 2 2" xfId="57531"/>
    <cellStyle name="40% - Accent1 2 2 2 11 2 2 3" xfId="40484"/>
    <cellStyle name="40% - Accent1 2 2 2 11 2 3" xfId="22692"/>
    <cellStyle name="40% - Accent1 2 2 2 11 2 3 2" xfId="51553"/>
    <cellStyle name="40% - Accent1 2 2 2 11 2 4" xfId="34443"/>
    <cellStyle name="40% - Accent1 2 2 2 11 3" xfId="8737"/>
    <cellStyle name="40% - Accent1 2 2 2 11 3 2" xfId="25784"/>
    <cellStyle name="40% - Accent1 2 2 2 11 3 2 2" xfId="54645"/>
    <cellStyle name="40% - Accent1 2 2 2 11 3 3" xfId="37598"/>
    <cellStyle name="40% - Accent1 2 2 2 11 4" xfId="12165"/>
    <cellStyle name="40% - Accent1 2 2 2 11 4 2" xfId="20012"/>
    <cellStyle name="40% - Accent1 2 2 2 11 4 2 2" xfId="48873"/>
    <cellStyle name="40% - Accent1 2 2 2 11 4 3" xfId="41026"/>
    <cellStyle name="40% - Accent1 2 2 2 11 5" xfId="17332"/>
    <cellStyle name="40% - Accent1 2 2 2 11 5 2" xfId="46193"/>
    <cellStyle name="40% - Accent1 2 2 2 11 6" xfId="31557"/>
    <cellStyle name="40% - Accent1 2 2 2 12" xfId="3211"/>
    <cellStyle name="40% - Accent1 2 2 2 12 2" xfId="9252"/>
    <cellStyle name="40% - Accent1 2 2 2 12 2 2" xfId="26299"/>
    <cellStyle name="40% - Accent1 2 2 2 12 2 2 2" xfId="55160"/>
    <cellStyle name="40% - Accent1 2 2 2 12 2 3" xfId="38113"/>
    <cellStyle name="40% - Accent1 2 2 2 12 3" xfId="13643"/>
    <cellStyle name="40% - Accent1 2 2 2 12 3 2" xfId="20321"/>
    <cellStyle name="40% - Accent1 2 2 2 12 3 2 2" xfId="49182"/>
    <cellStyle name="40% - Accent1 2 2 2 12 3 3" xfId="42504"/>
    <cellStyle name="40% - Accent1 2 2 2 12 4" xfId="14961"/>
    <cellStyle name="40% - Accent1 2 2 2 12 4 2" xfId="43822"/>
    <cellStyle name="40% - Accent1 2 2 2 12 5" xfId="32072"/>
    <cellStyle name="40% - Accent1 2 2 2 13" xfId="2902"/>
    <cellStyle name="40% - Accent1 2 2 2 13 2" xfId="8943"/>
    <cellStyle name="40% - Accent1 2 2 2 13 2 2" xfId="25990"/>
    <cellStyle name="40% - Accent1 2 2 2 13 2 2 2" xfId="54851"/>
    <cellStyle name="40% - Accent1 2 2 2 13 2 3" xfId="37804"/>
    <cellStyle name="40% - Accent1 2 2 2 13 3" xfId="17538"/>
    <cellStyle name="40% - Accent1 2 2 2 13 3 2" xfId="46399"/>
    <cellStyle name="40% - Accent1 2 2 2 13 4" xfId="31763"/>
    <cellStyle name="40% - Accent1 2 2 2 14" xfId="5788"/>
    <cellStyle name="40% - Accent1 2 2 2 14 2" xfId="11829"/>
    <cellStyle name="40% - Accent1 2 2 2 14 2 2" xfId="28876"/>
    <cellStyle name="40% - Accent1 2 2 2 14 2 2 2" xfId="57737"/>
    <cellStyle name="40% - Accent1 2 2 2 14 2 3" xfId="40690"/>
    <cellStyle name="40% - Accent1 2 2 2 14 3" xfId="22898"/>
    <cellStyle name="40% - Accent1 2 2 2 14 3 2" xfId="51759"/>
    <cellStyle name="40% - Accent1 2 2 2 14 4" xfId="34649"/>
    <cellStyle name="40% - Accent1 2 2 2 15" xfId="6005"/>
    <cellStyle name="40% - Accent1 2 2 2 15 2" xfId="23104"/>
    <cellStyle name="40% - Accent1 2 2 2 15 2 2" xfId="51965"/>
    <cellStyle name="40% - Accent1 2 2 2 15 3" xfId="34866"/>
    <cellStyle name="40% - Accent1 2 2 2 16" xfId="6366"/>
    <cellStyle name="40% - Accent1 2 2 2 16 2" xfId="23413"/>
    <cellStyle name="40% - Accent1 2 2 2 16 2 2" xfId="52274"/>
    <cellStyle name="40% - Accent1 2 2 2 16 3" xfId="35227"/>
    <cellStyle name="40% - Accent1 2 2 2 17" xfId="14652"/>
    <cellStyle name="40% - Accent1 2 2 2 17 2" xfId="43513"/>
    <cellStyle name="40% - Accent1 2 2 2 18" xfId="29186"/>
    <cellStyle name="40% - Accent1 2 2 2 2" xfId="530"/>
    <cellStyle name="40% - Accent1 2 2 2 2 2" xfId="2281"/>
    <cellStyle name="40% - Accent1 2 2 2 2 2 2" xfId="5168"/>
    <cellStyle name="40% - Accent1 2 2 2 2 2 2 2" xfId="11209"/>
    <cellStyle name="40% - Accent1 2 2 2 2 2 2 2 2" xfId="28256"/>
    <cellStyle name="40% - Accent1 2 2 2 2 2 2 2 2 2" xfId="57117"/>
    <cellStyle name="40% - Accent1 2 2 2 2 2 2 2 3" xfId="40070"/>
    <cellStyle name="40% - Accent1 2 2 2 2 2 2 3" xfId="22278"/>
    <cellStyle name="40% - Accent1 2 2 2 2 2 2 3 2" xfId="51139"/>
    <cellStyle name="40% - Accent1 2 2 2 2 2 2 4" xfId="34029"/>
    <cellStyle name="40% - Accent1 2 2 2 2 2 3" xfId="8323"/>
    <cellStyle name="40% - Accent1 2 2 2 2 2 3 2" xfId="25370"/>
    <cellStyle name="40% - Accent1 2 2 2 2 2 3 2 2" xfId="54231"/>
    <cellStyle name="40% - Accent1 2 2 2 2 2 3 3" xfId="37184"/>
    <cellStyle name="40% - Accent1 2 2 2 2 2 4" xfId="12839"/>
    <cellStyle name="40% - Accent1 2 2 2 2 2 4 2" xfId="19598"/>
    <cellStyle name="40% - Accent1 2 2 2 2 2 4 2 2" xfId="48459"/>
    <cellStyle name="40% - Accent1 2 2 2 2 2 4 3" xfId="41700"/>
    <cellStyle name="40% - Accent1 2 2 2 2 2 5" xfId="16918"/>
    <cellStyle name="40% - Accent1 2 2 2 2 2 5 2" xfId="45779"/>
    <cellStyle name="40% - Accent1 2 2 2 2 2 6" xfId="31143"/>
    <cellStyle name="40% - Accent1 2 2 2 2 3" xfId="3417"/>
    <cellStyle name="40% - Accent1 2 2 2 2 3 2" xfId="9458"/>
    <cellStyle name="40% - Accent1 2 2 2 2 3 2 2" xfId="26505"/>
    <cellStyle name="40% - Accent1 2 2 2 2 3 2 2 2" xfId="55366"/>
    <cellStyle name="40% - Accent1 2 2 2 2 3 2 3" xfId="38319"/>
    <cellStyle name="40% - Accent1 2 2 2 2 3 3" xfId="20527"/>
    <cellStyle name="40% - Accent1 2 2 2 2 3 3 2" xfId="49388"/>
    <cellStyle name="40% - Accent1 2 2 2 2 3 4" xfId="32278"/>
    <cellStyle name="40% - Accent1 2 2 2 2 4" xfId="6572"/>
    <cellStyle name="40% - Accent1 2 2 2 2 4 2" xfId="23619"/>
    <cellStyle name="40% - Accent1 2 2 2 2 4 2 2" xfId="52480"/>
    <cellStyle name="40% - Accent1 2 2 2 2 4 3" xfId="35433"/>
    <cellStyle name="40% - Accent1 2 2 2 2 5" xfId="13039"/>
    <cellStyle name="40% - Accent1 2 2 2 2 5 2" xfId="17847"/>
    <cellStyle name="40% - Accent1 2 2 2 2 5 2 2" xfId="46708"/>
    <cellStyle name="40% - Accent1 2 2 2 2 5 3" xfId="41900"/>
    <cellStyle name="40% - Accent1 2 2 2 2 6" xfId="15167"/>
    <cellStyle name="40% - Accent1 2 2 2 2 6 2" xfId="44028"/>
    <cellStyle name="40% - Accent1 2 2 2 2 7" xfId="29392"/>
    <cellStyle name="40% - Accent1 2 2 2 3" xfId="839"/>
    <cellStyle name="40% - Accent1 2 2 2 3 2" xfId="3726"/>
    <cellStyle name="40% - Accent1 2 2 2 3 2 2" xfId="9767"/>
    <cellStyle name="40% - Accent1 2 2 2 3 2 2 2" xfId="26814"/>
    <cellStyle name="40% - Accent1 2 2 2 3 2 2 2 2" xfId="55675"/>
    <cellStyle name="40% - Accent1 2 2 2 3 2 2 3" xfId="38628"/>
    <cellStyle name="40% - Accent1 2 2 2 3 2 3" xfId="20836"/>
    <cellStyle name="40% - Accent1 2 2 2 3 2 3 2" xfId="49697"/>
    <cellStyle name="40% - Accent1 2 2 2 3 2 4" xfId="32587"/>
    <cellStyle name="40% - Accent1 2 2 2 3 3" xfId="6881"/>
    <cellStyle name="40% - Accent1 2 2 2 3 3 2" xfId="23928"/>
    <cellStyle name="40% - Accent1 2 2 2 3 3 2 2" xfId="52789"/>
    <cellStyle name="40% - Accent1 2 2 2 3 3 3" xfId="35742"/>
    <cellStyle name="40% - Accent1 2 2 2 3 4" xfId="13373"/>
    <cellStyle name="40% - Accent1 2 2 2 3 4 2" xfId="18156"/>
    <cellStyle name="40% - Accent1 2 2 2 3 4 2 2" xfId="47017"/>
    <cellStyle name="40% - Accent1 2 2 2 3 4 3" xfId="42234"/>
    <cellStyle name="40% - Accent1 2 2 2 3 5" xfId="15476"/>
    <cellStyle name="40% - Accent1 2 2 2 3 5 2" xfId="44337"/>
    <cellStyle name="40% - Accent1 2 2 2 3 6" xfId="29701"/>
    <cellStyle name="40% - Accent1 2 2 2 4" xfId="1045"/>
    <cellStyle name="40% - Accent1 2 2 2 4 2" xfId="3932"/>
    <cellStyle name="40% - Accent1 2 2 2 4 2 2" xfId="9973"/>
    <cellStyle name="40% - Accent1 2 2 2 4 2 2 2" xfId="27020"/>
    <cellStyle name="40% - Accent1 2 2 2 4 2 2 2 2" xfId="55881"/>
    <cellStyle name="40% - Accent1 2 2 2 4 2 2 3" xfId="38834"/>
    <cellStyle name="40% - Accent1 2 2 2 4 2 3" xfId="21042"/>
    <cellStyle name="40% - Accent1 2 2 2 4 2 3 2" xfId="49903"/>
    <cellStyle name="40% - Accent1 2 2 2 4 2 4" xfId="32793"/>
    <cellStyle name="40% - Accent1 2 2 2 4 3" xfId="7087"/>
    <cellStyle name="40% - Accent1 2 2 2 4 3 2" xfId="24134"/>
    <cellStyle name="40% - Accent1 2 2 2 4 3 2 2" xfId="52995"/>
    <cellStyle name="40% - Accent1 2 2 2 4 3 3" xfId="35948"/>
    <cellStyle name="40% - Accent1 2 2 2 4 4" xfId="11923"/>
    <cellStyle name="40% - Accent1 2 2 2 4 4 2" xfId="18362"/>
    <cellStyle name="40% - Accent1 2 2 2 4 4 2 2" xfId="47223"/>
    <cellStyle name="40% - Accent1 2 2 2 4 4 3" xfId="40784"/>
    <cellStyle name="40% - Accent1 2 2 2 4 5" xfId="15682"/>
    <cellStyle name="40% - Accent1 2 2 2 4 5 2" xfId="44543"/>
    <cellStyle name="40% - Accent1 2 2 2 4 6" xfId="29907"/>
    <cellStyle name="40% - Accent1 2 2 2 5" xfId="1251"/>
    <cellStyle name="40% - Accent1 2 2 2 5 2" xfId="4138"/>
    <cellStyle name="40% - Accent1 2 2 2 5 2 2" xfId="10179"/>
    <cellStyle name="40% - Accent1 2 2 2 5 2 2 2" xfId="27226"/>
    <cellStyle name="40% - Accent1 2 2 2 5 2 2 2 2" xfId="56087"/>
    <cellStyle name="40% - Accent1 2 2 2 5 2 2 3" xfId="39040"/>
    <cellStyle name="40% - Accent1 2 2 2 5 2 3" xfId="21248"/>
    <cellStyle name="40% - Accent1 2 2 2 5 2 3 2" xfId="50109"/>
    <cellStyle name="40% - Accent1 2 2 2 5 2 4" xfId="32999"/>
    <cellStyle name="40% - Accent1 2 2 2 5 3" xfId="7293"/>
    <cellStyle name="40% - Accent1 2 2 2 5 3 2" xfId="24340"/>
    <cellStyle name="40% - Accent1 2 2 2 5 3 2 2" xfId="53201"/>
    <cellStyle name="40% - Accent1 2 2 2 5 3 3" xfId="36154"/>
    <cellStyle name="40% - Accent1 2 2 2 5 4" xfId="13451"/>
    <cellStyle name="40% - Accent1 2 2 2 5 4 2" xfId="18568"/>
    <cellStyle name="40% - Accent1 2 2 2 5 4 2 2" xfId="47429"/>
    <cellStyle name="40% - Accent1 2 2 2 5 4 3" xfId="42312"/>
    <cellStyle name="40% - Accent1 2 2 2 5 5" xfId="15888"/>
    <cellStyle name="40% - Accent1 2 2 2 5 5 2" xfId="44749"/>
    <cellStyle name="40% - Accent1 2 2 2 5 6" xfId="30113"/>
    <cellStyle name="40% - Accent1 2 2 2 6" xfId="1457"/>
    <cellStyle name="40% - Accent1 2 2 2 6 2" xfId="4344"/>
    <cellStyle name="40% - Accent1 2 2 2 6 2 2" xfId="10385"/>
    <cellStyle name="40% - Accent1 2 2 2 6 2 2 2" xfId="27432"/>
    <cellStyle name="40% - Accent1 2 2 2 6 2 2 2 2" xfId="56293"/>
    <cellStyle name="40% - Accent1 2 2 2 6 2 2 3" xfId="39246"/>
    <cellStyle name="40% - Accent1 2 2 2 6 2 3" xfId="21454"/>
    <cellStyle name="40% - Accent1 2 2 2 6 2 3 2" xfId="50315"/>
    <cellStyle name="40% - Accent1 2 2 2 6 2 4" xfId="33205"/>
    <cellStyle name="40% - Accent1 2 2 2 6 3" xfId="7499"/>
    <cellStyle name="40% - Accent1 2 2 2 6 3 2" xfId="24546"/>
    <cellStyle name="40% - Accent1 2 2 2 6 3 2 2" xfId="53407"/>
    <cellStyle name="40% - Accent1 2 2 2 6 3 3" xfId="36360"/>
    <cellStyle name="40% - Accent1 2 2 2 6 4" xfId="11877"/>
    <cellStyle name="40% - Accent1 2 2 2 6 4 2" xfId="18774"/>
    <cellStyle name="40% - Accent1 2 2 2 6 4 2 2" xfId="47635"/>
    <cellStyle name="40% - Accent1 2 2 2 6 4 3" xfId="40738"/>
    <cellStyle name="40% - Accent1 2 2 2 6 5" xfId="16094"/>
    <cellStyle name="40% - Accent1 2 2 2 6 5 2" xfId="44955"/>
    <cellStyle name="40% - Accent1 2 2 2 6 6" xfId="30319"/>
    <cellStyle name="40% - Accent1 2 2 2 7" xfId="1663"/>
    <cellStyle name="40% - Accent1 2 2 2 7 2" xfId="4550"/>
    <cellStyle name="40% - Accent1 2 2 2 7 2 2" xfId="10591"/>
    <cellStyle name="40% - Accent1 2 2 2 7 2 2 2" xfId="27638"/>
    <cellStyle name="40% - Accent1 2 2 2 7 2 2 2 2" xfId="56499"/>
    <cellStyle name="40% - Accent1 2 2 2 7 2 2 3" xfId="39452"/>
    <cellStyle name="40% - Accent1 2 2 2 7 2 3" xfId="21660"/>
    <cellStyle name="40% - Accent1 2 2 2 7 2 3 2" xfId="50521"/>
    <cellStyle name="40% - Accent1 2 2 2 7 2 4" xfId="33411"/>
    <cellStyle name="40% - Accent1 2 2 2 7 3" xfId="7705"/>
    <cellStyle name="40% - Accent1 2 2 2 7 3 2" xfId="24752"/>
    <cellStyle name="40% - Accent1 2 2 2 7 3 2 2" xfId="53613"/>
    <cellStyle name="40% - Accent1 2 2 2 7 3 3" xfId="36566"/>
    <cellStyle name="40% - Accent1 2 2 2 7 4" xfId="12570"/>
    <cellStyle name="40% - Accent1 2 2 2 7 4 2" xfId="18980"/>
    <cellStyle name="40% - Accent1 2 2 2 7 4 2 2" xfId="47841"/>
    <cellStyle name="40% - Accent1 2 2 2 7 4 3" xfId="41431"/>
    <cellStyle name="40% - Accent1 2 2 2 7 5" xfId="16300"/>
    <cellStyle name="40% - Accent1 2 2 2 7 5 2" xfId="45161"/>
    <cellStyle name="40% - Accent1 2 2 2 7 6" xfId="30525"/>
    <cellStyle name="40% - Accent1 2 2 2 8" xfId="1869"/>
    <cellStyle name="40% - Accent1 2 2 2 8 2" xfId="4756"/>
    <cellStyle name="40% - Accent1 2 2 2 8 2 2" xfId="10797"/>
    <cellStyle name="40% - Accent1 2 2 2 8 2 2 2" xfId="27844"/>
    <cellStyle name="40% - Accent1 2 2 2 8 2 2 2 2" xfId="56705"/>
    <cellStyle name="40% - Accent1 2 2 2 8 2 2 3" xfId="39658"/>
    <cellStyle name="40% - Accent1 2 2 2 8 2 3" xfId="21866"/>
    <cellStyle name="40% - Accent1 2 2 2 8 2 3 2" xfId="50727"/>
    <cellStyle name="40% - Accent1 2 2 2 8 2 4" xfId="33617"/>
    <cellStyle name="40% - Accent1 2 2 2 8 3" xfId="7911"/>
    <cellStyle name="40% - Accent1 2 2 2 8 3 2" xfId="24958"/>
    <cellStyle name="40% - Accent1 2 2 2 8 3 2 2" xfId="53819"/>
    <cellStyle name="40% - Accent1 2 2 2 8 3 3" xfId="36772"/>
    <cellStyle name="40% - Accent1 2 2 2 8 4" xfId="12792"/>
    <cellStyle name="40% - Accent1 2 2 2 8 4 2" xfId="19186"/>
    <cellStyle name="40% - Accent1 2 2 2 8 4 2 2" xfId="48047"/>
    <cellStyle name="40% - Accent1 2 2 2 8 4 3" xfId="41653"/>
    <cellStyle name="40% - Accent1 2 2 2 8 5" xfId="16506"/>
    <cellStyle name="40% - Accent1 2 2 2 8 5 2" xfId="45367"/>
    <cellStyle name="40% - Accent1 2 2 2 8 6" xfId="30731"/>
    <cellStyle name="40% - Accent1 2 2 2 9" xfId="2075"/>
    <cellStyle name="40% - Accent1 2 2 2 9 2" xfId="4962"/>
    <cellStyle name="40% - Accent1 2 2 2 9 2 2" xfId="11003"/>
    <cellStyle name="40% - Accent1 2 2 2 9 2 2 2" xfId="28050"/>
    <cellStyle name="40% - Accent1 2 2 2 9 2 2 2 2" xfId="56911"/>
    <cellStyle name="40% - Accent1 2 2 2 9 2 2 3" xfId="39864"/>
    <cellStyle name="40% - Accent1 2 2 2 9 2 3" xfId="22072"/>
    <cellStyle name="40% - Accent1 2 2 2 9 2 3 2" xfId="50933"/>
    <cellStyle name="40% - Accent1 2 2 2 9 2 4" xfId="33823"/>
    <cellStyle name="40% - Accent1 2 2 2 9 3" xfId="8117"/>
    <cellStyle name="40% - Accent1 2 2 2 9 3 2" xfId="25164"/>
    <cellStyle name="40% - Accent1 2 2 2 9 3 2 2" xfId="54025"/>
    <cellStyle name="40% - Accent1 2 2 2 9 3 3" xfId="36978"/>
    <cellStyle name="40% - Accent1 2 2 2 9 4" xfId="13458"/>
    <cellStyle name="40% - Accent1 2 2 2 9 4 2" xfId="19392"/>
    <cellStyle name="40% - Accent1 2 2 2 9 4 2 2" xfId="48253"/>
    <cellStyle name="40% - Accent1 2 2 2 9 4 3" xfId="42319"/>
    <cellStyle name="40% - Accent1 2 2 2 9 5" xfId="16712"/>
    <cellStyle name="40% - Accent1 2 2 2 9 5 2" xfId="45573"/>
    <cellStyle name="40% - Accent1 2 2 2 9 6" xfId="30937"/>
    <cellStyle name="40% - Accent1 2 2 20" xfId="28980"/>
    <cellStyle name="40% - Accent1 2 2 3" xfId="221"/>
    <cellStyle name="40% - Accent1 2 2 3 2" xfId="633"/>
    <cellStyle name="40% - Accent1 2 2 3 2 2" xfId="3520"/>
    <cellStyle name="40% - Accent1 2 2 3 2 2 2" xfId="9561"/>
    <cellStyle name="40% - Accent1 2 2 3 2 2 2 2" xfId="26608"/>
    <cellStyle name="40% - Accent1 2 2 3 2 2 2 2 2" xfId="55469"/>
    <cellStyle name="40% - Accent1 2 2 3 2 2 2 3" xfId="38422"/>
    <cellStyle name="40% - Accent1 2 2 3 2 2 3" xfId="20630"/>
    <cellStyle name="40% - Accent1 2 2 3 2 2 3 2" xfId="49491"/>
    <cellStyle name="40% - Accent1 2 2 3 2 2 4" xfId="32381"/>
    <cellStyle name="40% - Accent1 2 2 3 2 3" xfId="6675"/>
    <cellStyle name="40% - Accent1 2 2 3 2 3 2" xfId="23722"/>
    <cellStyle name="40% - Accent1 2 2 3 2 3 2 2" xfId="52583"/>
    <cellStyle name="40% - Accent1 2 2 3 2 3 3" xfId="35536"/>
    <cellStyle name="40% - Accent1 2 2 3 2 4" xfId="12280"/>
    <cellStyle name="40% - Accent1 2 2 3 2 4 2" xfId="17950"/>
    <cellStyle name="40% - Accent1 2 2 3 2 4 2 2" xfId="46811"/>
    <cellStyle name="40% - Accent1 2 2 3 2 4 3" xfId="41141"/>
    <cellStyle name="40% - Accent1 2 2 3 2 5" xfId="15270"/>
    <cellStyle name="40% - Accent1 2 2 3 2 5 2" xfId="44131"/>
    <cellStyle name="40% - Accent1 2 2 3 2 6" xfId="29495"/>
    <cellStyle name="40% - Accent1 2 2 3 3" xfId="2178"/>
    <cellStyle name="40% - Accent1 2 2 3 3 2" xfId="5065"/>
    <cellStyle name="40% - Accent1 2 2 3 3 2 2" xfId="11106"/>
    <cellStyle name="40% - Accent1 2 2 3 3 2 2 2" xfId="28153"/>
    <cellStyle name="40% - Accent1 2 2 3 3 2 2 2 2" xfId="57014"/>
    <cellStyle name="40% - Accent1 2 2 3 3 2 2 3" xfId="39967"/>
    <cellStyle name="40% - Accent1 2 2 3 3 2 3" xfId="22175"/>
    <cellStyle name="40% - Accent1 2 2 3 3 2 3 2" xfId="51036"/>
    <cellStyle name="40% - Accent1 2 2 3 3 2 4" xfId="33926"/>
    <cellStyle name="40% - Accent1 2 2 3 3 3" xfId="8220"/>
    <cellStyle name="40% - Accent1 2 2 3 3 3 2" xfId="25267"/>
    <cellStyle name="40% - Accent1 2 2 3 3 3 2 2" xfId="54128"/>
    <cellStyle name="40% - Accent1 2 2 3 3 3 3" xfId="37081"/>
    <cellStyle name="40% - Accent1 2 2 3 3 4" xfId="13079"/>
    <cellStyle name="40% - Accent1 2 2 3 3 4 2" xfId="19495"/>
    <cellStyle name="40% - Accent1 2 2 3 3 4 2 2" xfId="48356"/>
    <cellStyle name="40% - Accent1 2 2 3 3 4 3" xfId="41940"/>
    <cellStyle name="40% - Accent1 2 2 3 3 5" xfId="16815"/>
    <cellStyle name="40% - Accent1 2 2 3 3 5 2" xfId="45676"/>
    <cellStyle name="40% - Accent1 2 2 3 3 6" xfId="31040"/>
    <cellStyle name="40% - Accent1 2 2 3 4" xfId="3108"/>
    <cellStyle name="40% - Accent1 2 2 3 4 2" xfId="9149"/>
    <cellStyle name="40% - Accent1 2 2 3 4 2 2" xfId="26196"/>
    <cellStyle name="40% - Accent1 2 2 3 4 2 2 2" xfId="55057"/>
    <cellStyle name="40% - Accent1 2 2 3 4 2 3" xfId="38010"/>
    <cellStyle name="40% - Accent1 2 2 3 4 3" xfId="20218"/>
    <cellStyle name="40% - Accent1 2 2 3 4 3 2" xfId="49079"/>
    <cellStyle name="40% - Accent1 2 2 3 4 4" xfId="31969"/>
    <cellStyle name="40% - Accent1 2 2 3 5" xfId="6263"/>
    <cellStyle name="40% - Accent1 2 2 3 5 2" xfId="23310"/>
    <cellStyle name="40% - Accent1 2 2 3 5 2 2" xfId="52171"/>
    <cellStyle name="40% - Accent1 2 2 3 5 3" xfId="35124"/>
    <cellStyle name="40% - Accent1 2 2 3 6" xfId="12611"/>
    <cellStyle name="40% - Accent1 2 2 3 6 2" xfId="17641"/>
    <cellStyle name="40% - Accent1 2 2 3 6 2 2" xfId="46502"/>
    <cellStyle name="40% - Accent1 2 2 3 6 3" xfId="41472"/>
    <cellStyle name="40% - Accent1 2 2 3 7" xfId="14858"/>
    <cellStyle name="40% - Accent1 2 2 3 7 2" xfId="43719"/>
    <cellStyle name="40% - Accent1 2 2 3 8" xfId="29083"/>
    <cellStyle name="40% - Accent1 2 2 4" xfId="427"/>
    <cellStyle name="40% - Accent1 2 2 4 2" xfId="3314"/>
    <cellStyle name="40% - Accent1 2 2 4 2 2" xfId="9355"/>
    <cellStyle name="40% - Accent1 2 2 4 2 2 2" xfId="26402"/>
    <cellStyle name="40% - Accent1 2 2 4 2 2 2 2" xfId="55263"/>
    <cellStyle name="40% - Accent1 2 2 4 2 2 3" xfId="38216"/>
    <cellStyle name="40% - Accent1 2 2 4 2 3" xfId="20424"/>
    <cellStyle name="40% - Accent1 2 2 4 2 3 2" xfId="49285"/>
    <cellStyle name="40% - Accent1 2 2 4 2 4" xfId="32175"/>
    <cellStyle name="40% - Accent1 2 2 4 3" xfId="6469"/>
    <cellStyle name="40% - Accent1 2 2 4 3 2" xfId="23516"/>
    <cellStyle name="40% - Accent1 2 2 4 3 2 2" xfId="52377"/>
    <cellStyle name="40% - Accent1 2 2 4 3 3" xfId="35330"/>
    <cellStyle name="40% - Accent1 2 2 4 4" xfId="11911"/>
    <cellStyle name="40% - Accent1 2 2 4 4 2" xfId="17744"/>
    <cellStyle name="40% - Accent1 2 2 4 4 2 2" xfId="46605"/>
    <cellStyle name="40% - Accent1 2 2 4 4 3" xfId="40772"/>
    <cellStyle name="40% - Accent1 2 2 4 5" xfId="15064"/>
    <cellStyle name="40% - Accent1 2 2 4 5 2" xfId="43925"/>
    <cellStyle name="40% - Accent1 2 2 4 6" xfId="29289"/>
    <cellStyle name="40% - Accent1 2 2 5" xfId="736"/>
    <cellStyle name="40% - Accent1 2 2 5 2" xfId="3623"/>
    <cellStyle name="40% - Accent1 2 2 5 2 2" xfId="9664"/>
    <cellStyle name="40% - Accent1 2 2 5 2 2 2" xfId="26711"/>
    <cellStyle name="40% - Accent1 2 2 5 2 2 2 2" xfId="55572"/>
    <cellStyle name="40% - Accent1 2 2 5 2 2 3" xfId="38525"/>
    <cellStyle name="40% - Accent1 2 2 5 2 3" xfId="20733"/>
    <cellStyle name="40% - Accent1 2 2 5 2 3 2" xfId="49594"/>
    <cellStyle name="40% - Accent1 2 2 5 2 4" xfId="32484"/>
    <cellStyle name="40% - Accent1 2 2 5 3" xfId="6778"/>
    <cellStyle name="40% - Accent1 2 2 5 3 2" xfId="23825"/>
    <cellStyle name="40% - Accent1 2 2 5 3 2 2" xfId="52686"/>
    <cellStyle name="40% - Accent1 2 2 5 3 3" xfId="35639"/>
    <cellStyle name="40% - Accent1 2 2 5 4" xfId="12474"/>
    <cellStyle name="40% - Accent1 2 2 5 4 2" xfId="18053"/>
    <cellStyle name="40% - Accent1 2 2 5 4 2 2" xfId="46914"/>
    <cellStyle name="40% - Accent1 2 2 5 4 3" xfId="41335"/>
    <cellStyle name="40% - Accent1 2 2 5 5" xfId="15373"/>
    <cellStyle name="40% - Accent1 2 2 5 5 2" xfId="44234"/>
    <cellStyle name="40% - Accent1 2 2 5 6" xfId="29598"/>
    <cellStyle name="40% - Accent1 2 2 6" xfId="942"/>
    <cellStyle name="40% - Accent1 2 2 6 2" xfId="3829"/>
    <cellStyle name="40% - Accent1 2 2 6 2 2" xfId="9870"/>
    <cellStyle name="40% - Accent1 2 2 6 2 2 2" xfId="26917"/>
    <cellStyle name="40% - Accent1 2 2 6 2 2 2 2" xfId="55778"/>
    <cellStyle name="40% - Accent1 2 2 6 2 2 3" xfId="38731"/>
    <cellStyle name="40% - Accent1 2 2 6 2 3" xfId="20939"/>
    <cellStyle name="40% - Accent1 2 2 6 2 3 2" xfId="49800"/>
    <cellStyle name="40% - Accent1 2 2 6 2 4" xfId="32690"/>
    <cellStyle name="40% - Accent1 2 2 6 3" xfId="6984"/>
    <cellStyle name="40% - Accent1 2 2 6 3 2" xfId="24031"/>
    <cellStyle name="40% - Accent1 2 2 6 3 2 2" xfId="52892"/>
    <cellStyle name="40% - Accent1 2 2 6 3 3" xfId="35845"/>
    <cellStyle name="40% - Accent1 2 2 6 4" xfId="12231"/>
    <cellStyle name="40% - Accent1 2 2 6 4 2" xfId="18259"/>
    <cellStyle name="40% - Accent1 2 2 6 4 2 2" xfId="47120"/>
    <cellStyle name="40% - Accent1 2 2 6 4 3" xfId="41092"/>
    <cellStyle name="40% - Accent1 2 2 6 5" xfId="15579"/>
    <cellStyle name="40% - Accent1 2 2 6 5 2" xfId="44440"/>
    <cellStyle name="40% - Accent1 2 2 6 6" xfId="29804"/>
    <cellStyle name="40% - Accent1 2 2 7" xfId="1148"/>
    <cellStyle name="40% - Accent1 2 2 7 2" xfId="4035"/>
    <cellStyle name="40% - Accent1 2 2 7 2 2" xfId="10076"/>
    <cellStyle name="40% - Accent1 2 2 7 2 2 2" xfId="27123"/>
    <cellStyle name="40% - Accent1 2 2 7 2 2 2 2" xfId="55984"/>
    <cellStyle name="40% - Accent1 2 2 7 2 2 3" xfId="38937"/>
    <cellStyle name="40% - Accent1 2 2 7 2 3" xfId="21145"/>
    <cellStyle name="40% - Accent1 2 2 7 2 3 2" xfId="50006"/>
    <cellStyle name="40% - Accent1 2 2 7 2 4" xfId="32896"/>
    <cellStyle name="40% - Accent1 2 2 7 3" xfId="7190"/>
    <cellStyle name="40% - Accent1 2 2 7 3 2" xfId="24237"/>
    <cellStyle name="40% - Accent1 2 2 7 3 2 2" xfId="53098"/>
    <cellStyle name="40% - Accent1 2 2 7 3 3" xfId="36051"/>
    <cellStyle name="40% - Accent1 2 2 7 4" xfId="13814"/>
    <cellStyle name="40% - Accent1 2 2 7 4 2" xfId="18465"/>
    <cellStyle name="40% - Accent1 2 2 7 4 2 2" xfId="47326"/>
    <cellStyle name="40% - Accent1 2 2 7 4 3" xfId="42675"/>
    <cellStyle name="40% - Accent1 2 2 7 5" xfId="15785"/>
    <cellStyle name="40% - Accent1 2 2 7 5 2" xfId="44646"/>
    <cellStyle name="40% - Accent1 2 2 7 6" xfId="30010"/>
    <cellStyle name="40% - Accent1 2 2 8" xfId="1354"/>
    <cellStyle name="40% - Accent1 2 2 8 2" xfId="4241"/>
    <cellStyle name="40% - Accent1 2 2 8 2 2" xfId="10282"/>
    <cellStyle name="40% - Accent1 2 2 8 2 2 2" xfId="27329"/>
    <cellStyle name="40% - Accent1 2 2 8 2 2 2 2" xfId="56190"/>
    <cellStyle name="40% - Accent1 2 2 8 2 2 3" xfId="39143"/>
    <cellStyle name="40% - Accent1 2 2 8 2 3" xfId="21351"/>
    <cellStyle name="40% - Accent1 2 2 8 2 3 2" xfId="50212"/>
    <cellStyle name="40% - Accent1 2 2 8 2 4" xfId="33102"/>
    <cellStyle name="40% - Accent1 2 2 8 3" xfId="7396"/>
    <cellStyle name="40% - Accent1 2 2 8 3 2" xfId="24443"/>
    <cellStyle name="40% - Accent1 2 2 8 3 2 2" xfId="53304"/>
    <cellStyle name="40% - Accent1 2 2 8 3 3" xfId="36257"/>
    <cellStyle name="40% - Accent1 2 2 8 4" xfId="12315"/>
    <cellStyle name="40% - Accent1 2 2 8 4 2" xfId="18671"/>
    <cellStyle name="40% - Accent1 2 2 8 4 2 2" xfId="47532"/>
    <cellStyle name="40% - Accent1 2 2 8 4 3" xfId="41176"/>
    <cellStyle name="40% - Accent1 2 2 8 5" xfId="15991"/>
    <cellStyle name="40% - Accent1 2 2 8 5 2" xfId="44852"/>
    <cellStyle name="40% - Accent1 2 2 8 6" xfId="30216"/>
    <cellStyle name="40% - Accent1 2 2 9" xfId="1560"/>
    <cellStyle name="40% - Accent1 2 2 9 2" xfId="4447"/>
    <cellStyle name="40% - Accent1 2 2 9 2 2" xfId="10488"/>
    <cellStyle name="40% - Accent1 2 2 9 2 2 2" xfId="27535"/>
    <cellStyle name="40% - Accent1 2 2 9 2 2 2 2" xfId="56396"/>
    <cellStyle name="40% - Accent1 2 2 9 2 2 3" xfId="39349"/>
    <cellStyle name="40% - Accent1 2 2 9 2 3" xfId="21557"/>
    <cellStyle name="40% - Accent1 2 2 9 2 3 2" xfId="50418"/>
    <cellStyle name="40% - Accent1 2 2 9 2 4" xfId="33308"/>
    <cellStyle name="40% - Accent1 2 2 9 3" xfId="7602"/>
    <cellStyle name="40% - Accent1 2 2 9 3 2" xfId="24649"/>
    <cellStyle name="40% - Accent1 2 2 9 3 2 2" xfId="53510"/>
    <cellStyle name="40% - Accent1 2 2 9 3 3" xfId="36463"/>
    <cellStyle name="40% - Accent1 2 2 9 4" xfId="13256"/>
    <cellStyle name="40% - Accent1 2 2 9 4 2" xfId="18877"/>
    <cellStyle name="40% - Accent1 2 2 9 4 2 2" xfId="47738"/>
    <cellStyle name="40% - Accent1 2 2 9 4 3" xfId="42117"/>
    <cellStyle name="40% - Accent1 2 2 9 5" xfId="16197"/>
    <cellStyle name="40% - Accent1 2 2 9 5 2" xfId="45058"/>
    <cellStyle name="40% - Accent1 2 2 9 6" xfId="30422"/>
    <cellStyle name="40% - Accent1 2 20" xfId="6134"/>
    <cellStyle name="40% - Accent1 2 20 2" xfId="23181"/>
    <cellStyle name="40% - Accent1 2 20 2 2" xfId="52042"/>
    <cellStyle name="40% - Accent1 2 20 3" xfId="34995"/>
    <cellStyle name="40% - Accent1 2 21" xfId="14523"/>
    <cellStyle name="40% - Accent1 2 21 2" xfId="43384"/>
    <cellStyle name="40% - Accent1 2 22" xfId="28954"/>
    <cellStyle name="40% - Accent1 2 3" xfId="144"/>
    <cellStyle name="40% - Accent1 2 3 10" xfId="1792"/>
    <cellStyle name="40% - Accent1 2 3 10 2" xfId="4679"/>
    <cellStyle name="40% - Accent1 2 3 10 2 2" xfId="10720"/>
    <cellStyle name="40% - Accent1 2 3 10 2 2 2" xfId="27767"/>
    <cellStyle name="40% - Accent1 2 3 10 2 2 2 2" xfId="56628"/>
    <cellStyle name="40% - Accent1 2 3 10 2 2 3" xfId="39581"/>
    <cellStyle name="40% - Accent1 2 3 10 2 3" xfId="21789"/>
    <cellStyle name="40% - Accent1 2 3 10 2 3 2" xfId="50650"/>
    <cellStyle name="40% - Accent1 2 3 10 2 4" xfId="33540"/>
    <cellStyle name="40% - Accent1 2 3 10 3" xfId="7834"/>
    <cellStyle name="40% - Accent1 2 3 10 3 2" xfId="24881"/>
    <cellStyle name="40% - Accent1 2 3 10 3 2 2" xfId="53742"/>
    <cellStyle name="40% - Accent1 2 3 10 3 3" xfId="36695"/>
    <cellStyle name="40% - Accent1 2 3 10 4" xfId="11974"/>
    <cellStyle name="40% - Accent1 2 3 10 4 2" xfId="19109"/>
    <cellStyle name="40% - Accent1 2 3 10 4 2 2" xfId="47970"/>
    <cellStyle name="40% - Accent1 2 3 10 4 3" xfId="40835"/>
    <cellStyle name="40% - Accent1 2 3 10 5" xfId="16429"/>
    <cellStyle name="40% - Accent1 2 3 10 5 2" xfId="45290"/>
    <cellStyle name="40% - Accent1 2 3 10 6" xfId="30654"/>
    <cellStyle name="40% - Accent1 2 3 11" xfId="1998"/>
    <cellStyle name="40% - Accent1 2 3 11 2" xfId="4885"/>
    <cellStyle name="40% - Accent1 2 3 11 2 2" xfId="10926"/>
    <cellStyle name="40% - Accent1 2 3 11 2 2 2" xfId="27973"/>
    <cellStyle name="40% - Accent1 2 3 11 2 2 2 2" xfId="56834"/>
    <cellStyle name="40% - Accent1 2 3 11 2 2 3" xfId="39787"/>
    <cellStyle name="40% - Accent1 2 3 11 2 3" xfId="21995"/>
    <cellStyle name="40% - Accent1 2 3 11 2 3 2" xfId="50856"/>
    <cellStyle name="40% - Accent1 2 3 11 2 4" xfId="33746"/>
    <cellStyle name="40% - Accent1 2 3 11 3" xfId="8040"/>
    <cellStyle name="40% - Accent1 2 3 11 3 2" xfId="25087"/>
    <cellStyle name="40% - Accent1 2 3 11 3 2 2" xfId="53948"/>
    <cellStyle name="40% - Accent1 2 3 11 3 3" xfId="36901"/>
    <cellStyle name="40% - Accent1 2 3 11 4" xfId="14291"/>
    <cellStyle name="40% - Accent1 2 3 11 4 2" xfId="19315"/>
    <cellStyle name="40% - Accent1 2 3 11 4 2 2" xfId="48176"/>
    <cellStyle name="40% - Accent1 2 3 11 4 3" xfId="43152"/>
    <cellStyle name="40% - Accent1 2 3 11 5" xfId="16635"/>
    <cellStyle name="40% - Accent1 2 3 11 5 2" xfId="45496"/>
    <cellStyle name="40% - Accent1 2 3 11 6" xfId="30860"/>
    <cellStyle name="40% - Accent1 2 3 12" xfId="2410"/>
    <cellStyle name="40% - Accent1 2 3 12 2" xfId="5297"/>
    <cellStyle name="40% - Accent1 2 3 12 2 2" xfId="11338"/>
    <cellStyle name="40% - Accent1 2 3 12 2 2 2" xfId="28385"/>
    <cellStyle name="40% - Accent1 2 3 12 2 2 2 2" xfId="57246"/>
    <cellStyle name="40% - Accent1 2 3 12 2 2 3" xfId="40199"/>
    <cellStyle name="40% - Accent1 2 3 12 2 3" xfId="22407"/>
    <cellStyle name="40% - Accent1 2 3 12 2 3 2" xfId="51268"/>
    <cellStyle name="40% - Accent1 2 3 12 2 4" xfId="34158"/>
    <cellStyle name="40% - Accent1 2 3 12 3" xfId="8452"/>
    <cellStyle name="40% - Accent1 2 3 12 3 2" xfId="25499"/>
    <cellStyle name="40% - Accent1 2 3 12 3 2 2" xfId="54360"/>
    <cellStyle name="40% - Accent1 2 3 12 3 3" xfId="37313"/>
    <cellStyle name="40% - Accent1 2 3 12 4" xfId="14405"/>
    <cellStyle name="40% - Accent1 2 3 12 4 2" xfId="19727"/>
    <cellStyle name="40% - Accent1 2 3 12 4 2 2" xfId="48588"/>
    <cellStyle name="40% - Accent1 2 3 12 4 3" xfId="43266"/>
    <cellStyle name="40% - Accent1 2 3 12 5" xfId="17047"/>
    <cellStyle name="40% - Accent1 2 3 12 5 2" xfId="45908"/>
    <cellStyle name="40% - Accent1 2 3 12 6" xfId="31272"/>
    <cellStyle name="40% - Accent1 2 3 13" xfId="2619"/>
    <cellStyle name="40% - Accent1 2 3 13 2" xfId="5505"/>
    <cellStyle name="40% - Accent1 2 3 13 2 2" xfId="11546"/>
    <cellStyle name="40% - Accent1 2 3 13 2 2 2" xfId="28593"/>
    <cellStyle name="40% - Accent1 2 3 13 2 2 2 2" xfId="57454"/>
    <cellStyle name="40% - Accent1 2 3 13 2 2 3" xfId="40407"/>
    <cellStyle name="40% - Accent1 2 3 13 2 3" xfId="22615"/>
    <cellStyle name="40% - Accent1 2 3 13 2 3 2" xfId="51476"/>
    <cellStyle name="40% - Accent1 2 3 13 2 4" xfId="34366"/>
    <cellStyle name="40% - Accent1 2 3 13 3" xfId="8660"/>
    <cellStyle name="40% - Accent1 2 3 13 3 2" xfId="25707"/>
    <cellStyle name="40% - Accent1 2 3 13 3 2 2" xfId="54568"/>
    <cellStyle name="40% - Accent1 2 3 13 3 3" xfId="37521"/>
    <cellStyle name="40% - Accent1 2 3 13 4" xfId="13730"/>
    <cellStyle name="40% - Accent1 2 3 13 4 2" xfId="19935"/>
    <cellStyle name="40% - Accent1 2 3 13 4 2 2" xfId="48796"/>
    <cellStyle name="40% - Accent1 2 3 13 4 3" xfId="42591"/>
    <cellStyle name="40% - Accent1 2 3 13 5" xfId="17255"/>
    <cellStyle name="40% - Accent1 2 3 13 5 2" xfId="46116"/>
    <cellStyle name="40% - Accent1 2 3 13 6" xfId="31480"/>
    <cellStyle name="40% - Accent1 2 3 14" xfId="3031"/>
    <cellStyle name="40% - Accent1 2 3 14 2" xfId="9072"/>
    <cellStyle name="40% - Accent1 2 3 14 2 2" xfId="26119"/>
    <cellStyle name="40% - Accent1 2 3 14 2 2 2" xfId="54980"/>
    <cellStyle name="40% - Accent1 2 3 14 2 3" xfId="37933"/>
    <cellStyle name="40% - Accent1 2 3 14 3" xfId="13428"/>
    <cellStyle name="40% - Accent1 2 3 14 3 2" xfId="20141"/>
    <cellStyle name="40% - Accent1 2 3 14 3 2 2" xfId="49002"/>
    <cellStyle name="40% - Accent1 2 3 14 3 3" xfId="42289"/>
    <cellStyle name="40% - Accent1 2 3 14 4" xfId="14781"/>
    <cellStyle name="40% - Accent1 2 3 14 4 2" xfId="43642"/>
    <cellStyle name="40% - Accent1 2 3 14 5" xfId="31892"/>
    <cellStyle name="40% - Accent1 2 3 15" xfId="2825"/>
    <cellStyle name="40% - Accent1 2 3 15 2" xfId="8866"/>
    <cellStyle name="40% - Accent1 2 3 15 2 2" xfId="25913"/>
    <cellStyle name="40% - Accent1 2 3 15 2 2 2" xfId="54774"/>
    <cellStyle name="40% - Accent1 2 3 15 2 3" xfId="37727"/>
    <cellStyle name="40% - Accent1 2 3 15 3" xfId="17461"/>
    <cellStyle name="40% - Accent1 2 3 15 3 2" xfId="46322"/>
    <cellStyle name="40% - Accent1 2 3 15 4" xfId="31686"/>
    <cellStyle name="40% - Accent1 2 3 16" xfId="5711"/>
    <cellStyle name="40% - Accent1 2 3 16 2" xfId="11752"/>
    <cellStyle name="40% - Accent1 2 3 16 2 2" xfId="28799"/>
    <cellStyle name="40% - Accent1 2 3 16 2 2 2" xfId="57660"/>
    <cellStyle name="40% - Accent1 2 3 16 2 3" xfId="40613"/>
    <cellStyle name="40% - Accent1 2 3 16 3" xfId="22821"/>
    <cellStyle name="40% - Accent1 2 3 16 3 2" xfId="51682"/>
    <cellStyle name="40% - Accent1 2 3 16 4" xfId="34572"/>
    <cellStyle name="40% - Accent1 2 3 17" xfId="5928"/>
    <cellStyle name="40% - Accent1 2 3 17 2" xfId="23027"/>
    <cellStyle name="40% - Accent1 2 3 17 2 2" xfId="51888"/>
    <cellStyle name="40% - Accent1 2 3 17 3" xfId="34789"/>
    <cellStyle name="40% - Accent1 2 3 18" xfId="6186"/>
    <cellStyle name="40% - Accent1 2 3 18 2" xfId="23233"/>
    <cellStyle name="40% - Accent1 2 3 18 2 2" xfId="52094"/>
    <cellStyle name="40% - Accent1 2 3 18 3" xfId="35047"/>
    <cellStyle name="40% - Accent1 2 3 19" xfId="14575"/>
    <cellStyle name="40% - Accent1 2 3 19 2" xfId="43436"/>
    <cellStyle name="40% - Accent1 2 3 2" xfId="350"/>
    <cellStyle name="40% - Accent1 2 3 2 10" xfId="2513"/>
    <cellStyle name="40% - Accent1 2 3 2 10 2" xfId="5400"/>
    <cellStyle name="40% - Accent1 2 3 2 10 2 2" xfId="11441"/>
    <cellStyle name="40% - Accent1 2 3 2 10 2 2 2" xfId="28488"/>
    <cellStyle name="40% - Accent1 2 3 2 10 2 2 2 2" xfId="57349"/>
    <cellStyle name="40% - Accent1 2 3 2 10 2 2 3" xfId="40302"/>
    <cellStyle name="40% - Accent1 2 3 2 10 2 3" xfId="22510"/>
    <cellStyle name="40% - Accent1 2 3 2 10 2 3 2" xfId="51371"/>
    <cellStyle name="40% - Accent1 2 3 2 10 2 4" xfId="34261"/>
    <cellStyle name="40% - Accent1 2 3 2 10 3" xfId="8555"/>
    <cellStyle name="40% - Accent1 2 3 2 10 3 2" xfId="25602"/>
    <cellStyle name="40% - Accent1 2 3 2 10 3 2 2" xfId="54463"/>
    <cellStyle name="40% - Accent1 2 3 2 10 3 3" xfId="37416"/>
    <cellStyle name="40% - Accent1 2 3 2 10 4" xfId="12211"/>
    <cellStyle name="40% - Accent1 2 3 2 10 4 2" xfId="19830"/>
    <cellStyle name="40% - Accent1 2 3 2 10 4 2 2" xfId="48691"/>
    <cellStyle name="40% - Accent1 2 3 2 10 4 3" xfId="41072"/>
    <cellStyle name="40% - Accent1 2 3 2 10 5" xfId="17150"/>
    <cellStyle name="40% - Accent1 2 3 2 10 5 2" xfId="46011"/>
    <cellStyle name="40% - Accent1 2 3 2 10 6" xfId="31375"/>
    <cellStyle name="40% - Accent1 2 3 2 11" xfId="2722"/>
    <cellStyle name="40% - Accent1 2 3 2 11 2" xfId="5608"/>
    <cellStyle name="40% - Accent1 2 3 2 11 2 2" xfId="11649"/>
    <cellStyle name="40% - Accent1 2 3 2 11 2 2 2" xfId="28696"/>
    <cellStyle name="40% - Accent1 2 3 2 11 2 2 2 2" xfId="57557"/>
    <cellStyle name="40% - Accent1 2 3 2 11 2 2 3" xfId="40510"/>
    <cellStyle name="40% - Accent1 2 3 2 11 2 3" xfId="22718"/>
    <cellStyle name="40% - Accent1 2 3 2 11 2 3 2" xfId="51579"/>
    <cellStyle name="40% - Accent1 2 3 2 11 2 4" xfId="34469"/>
    <cellStyle name="40% - Accent1 2 3 2 11 3" xfId="8763"/>
    <cellStyle name="40% - Accent1 2 3 2 11 3 2" xfId="25810"/>
    <cellStyle name="40% - Accent1 2 3 2 11 3 2 2" xfId="54671"/>
    <cellStyle name="40% - Accent1 2 3 2 11 3 3" xfId="37624"/>
    <cellStyle name="40% - Accent1 2 3 2 11 4" xfId="12334"/>
    <cellStyle name="40% - Accent1 2 3 2 11 4 2" xfId="20038"/>
    <cellStyle name="40% - Accent1 2 3 2 11 4 2 2" xfId="48899"/>
    <cellStyle name="40% - Accent1 2 3 2 11 4 3" xfId="41195"/>
    <cellStyle name="40% - Accent1 2 3 2 11 5" xfId="17358"/>
    <cellStyle name="40% - Accent1 2 3 2 11 5 2" xfId="46219"/>
    <cellStyle name="40% - Accent1 2 3 2 11 6" xfId="31583"/>
    <cellStyle name="40% - Accent1 2 3 2 12" xfId="3237"/>
    <cellStyle name="40% - Accent1 2 3 2 12 2" xfId="9278"/>
    <cellStyle name="40% - Accent1 2 3 2 12 2 2" xfId="26325"/>
    <cellStyle name="40% - Accent1 2 3 2 12 2 2 2" xfId="55186"/>
    <cellStyle name="40% - Accent1 2 3 2 12 2 3" xfId="38139"/>
    <cellStyle name="40% - Accent1 2 3 2 12 3" xfId="12612"/>
    <cellStyle name="40% - Accent1 2 3 2 12 3 2" xfId="20347"/>
    <cellStyle name="40% - Accent1 2 3 2 12 3 2 2" xfId="49208"/>
    <cellStyle name="40% - Accent1 2 3 2 12 3 3" xfId="41473"/>
    <cellStyle name="40% - Accent1 2 3 2 12 4" xfId="14987"/>
    <cellStyle name="40% - Accent1 2 3 2 12 4 2" xfId="43848"/>
    <cellStyle name="40% - Accent1 2 3 2 12 5" xfId="32098"/>
    <cellStyle name="40% - Accent1 2 3 2 13" xfId="2928"/>
    <cellStyle name="40% - Accent1 2 3 2 13 2" xfId="8969"/>
    <cellStyle name="40% - Accent1 2 3 2 13 2 2" xfId="26016"/>
    <cellStyle name="40% - Accent1 2 3 2 13 2 2 2" xfId="54877"/>
    <cellStyle name="40% - Accent1 2 3 2 13 2 3" xfId="37830"/>
    <cellStyle name="40% - Accent1 2 3 2 13 3" xfId="17564"/>
    <cellStyle name="40% - Accent1 2 3 2 13 3 2" xfId="46425"/>
    <cellStyle name="40% - Accent1 2 3 2 13 4" xfId="31789"/>
    <cellStyle name="40% - Accent1 2 3 2 14" xfId="5814"/>
    <cellStyle name="40% - Accent1 2 3 2 14 2" xfId="11855"/>
    <cellStyle name="40% - Accent1 2 3 2 14 2 2" xfId="28902"/>
    <cellStyle name="40% - Accent1 2 3 2 14 2 2 2" xfId="57763"/>
    <cellStyle name="40% - Accent1 2 3 2 14 2 3" xfId="40716"/>
    <cellStyle name="40% - Accent1 2 3 2 14 3" xfId="22924"/>
    <cellStyle name="40% - Accent1 2 3 2 14 3 2" xfId="51785"/>
    <cellStyle name="40% - Accent1 2 3 2 14 4" xfId="34675"/>
    <cellStyle name="40% - Accent1 2 3 2 15" xfId="6031"/>
    <cellStyle name="40% - Accent1 2 3 2 15 2" xfId="23130"/>
    <cellStyle name="40% - Accent1 2 3 2 15 2 2" xfId="51991"/>
    <cellStyle name="40% - Accent1 2 3 2 15 3" xfId="34892"/>
    <cellStyle name="40% - Accent1 2 3 2 16" xfId="6392"/>
    <cellStyle name="40% - Accent1 2 3 2 16 2" xfId="23439"/>
    <cellStyle name="40% - Accent1 2 3 2 16 2 2" xfId="52300"/>
    <cellStyle name="40% - Accent1 2 3 2 16 3" xfId="35253"/>
    <cellStyle name="40% - Accent1 2 3 2 17" xfId="14678"/>
    <cellStyle name="40% - Accent1 2 3 2 17 2" xfId="43539"/>
    <cellStyle name="40% - Accent1 2 3 2 18" xfId="29212"/>
    <cellStyle name="40% - Accent1 2 3 2 2" xfId="556"/>
    <cellStyle name="40% - Accent1 2 3 2 2 2" xfId="2307"/>
    <cellStyle name="40% - Accent1 2 3 2 2 2 2" xfId="5194"/>
    <cellStyle name="40% - Accent1 2 3 2 2 2 2 2" xfId="11235"/>
    <cellStyle name="40% - Accent1 2 3 2 2 2 2 2 2" xfId="28282"/>
    <cellStyle name="40% - Accent1 2 3 2 2 2 2 2 2 2" xfId="57143"/>
    <cellStyle name="40% - Accent1 2 3 2 2 2 2 2 3" xfId="40096"/>
    <cellStyle name="40% - Accent1 2 3 2 2 2 2 3" xfId="22304"/>
    <cellStyle name="40% - Accent1 2 3 2 2 2 2 3 2" xfId="51165"/>
    <cellStyle name="40% - Accent1 2 3 2 2 2 2 4" xfId="34055"/>
    <cellStyle name="40% - Accent1 2 3 2 2 2 3" xfId="8349"/>
    <cellStyle name="40% - Accent1 2 3 2 2 2 3 2" xfId="25396"/>
    <cellStyle name="40% - Accent1 2 3 2 2 2 3 2 2" xfId="54257"/>
    <cellStyle name="40% - Accent1 2 3 2 2 2 3 3" xfId="37210"/>
    <cellStyle name="40% - Accent1 2 3 2 2 2 4" xfId="13301"/>
    <cellStyle name="40% - Accent1 2 3 2 2 2 4 2" xfId="19624"/>
    <cellStyle name="40% - Accent1 2 3 2 2 2 4 2 2" xfId="48485"/>
    <cellStyle name="40% - Accent1 2 3 2 2 2 4 3" xfId="42162"/>
    <cellStyle name="40% - Accent1 2 3 2 2 2 5" xfId="16944"/>
    <cellStyle name="40% - Accent1 2 3 2 2 2 5 2" xfId="45805"/>
    <cellStyle name="40% - Accent1 2 3 2 2 2 6" xfId="31169"/>
    <cellStyle name="40% - Accent1 2 3 2 2 3" xfId="3443"/>
    <cellStyle name="40% - Accent1 2 3 2 2 3 2" xfId="9484"/>
    <cellStyle name="40% - Accent1 2 3 2 2 3 2 2" xfId="26531"/>
    <cellStyle name="40% - Accent1 2 3 2 2 3 2 2 2" xfId="55392"/>
    <cellStyle name="40% - Accent1 2 3 2 2 3 2 3" xfId="38345"/>
    <cellStyle name="40% - Accent1 2 3 2 2 3 3" xfId="20553"/>
    <cellStyle name="40% - Accent1 2 3 2 2 3 3 2" xfId="49414"/>
    <cellStyle name="40% - Accent1 2 3 2 2 3 4" xfId="32304"/>
    <cellStyle name="40% - Accent1 2 3 2 2 4" xfId="6598"/>
    <cellStyle name="40% - Accent1 2 3 2 2 4 2" xfId="23645"/>
    <cellStyle name="40% - Accent1 2 3 2 2 4 2 2" xfId="52506"/>
    <cellStyle name="40% - Accent1 2 3 2 2 4 3" xfId="35459"/>
    <cellStyle name="40% - Accent1 2 3 2 2 5" xfId="13920"/>
    <cellStyle name="40% - Accent1 2 3 2 2 5 2" xfId="17873"/>
    <cellStyle name="40% - Accent1 2 3 2 2 5 2 2" xfId="46734"/>
    <cellStyle name="40% - Accent1 2 3 2 2 5 3" xfId="42781"/>
    <cellStyle name="40% - Accent1 2 3 2 2 6" xfId="15193"/>
    <cellStyle name="40% - Accent1 2 3 2 2 6 2" xfId="44054"/>
    <cellStyle name="40% - Accent1 2 3 2 2 7" xfId="29418"/>
    <cellStyle name="40% - Accent1 2 3 2 3" xfId="865"/>
    <cellStyle name="40% - Accent1 2 3 2 3 2" xfId="3752"/>
    <cellStyle name="40% - Accent1 2 3 2 3 2 2" xfId="9793"/>
    <cellStyle name="40% - Accent1 2 3 2 3 2 2 2" xfId="26840"/>
    <cellStyle name="40% - Accent1 2 3 2 3 2 2 2 2" xfId="55701"/>
    <cellStyle name="40% - Accent1 2 3 2 3 2 2 3" xfId="38654"/>
    <cellStyle name="40% - Accent1 2 3 2 3 2 3" xfId="20862"/>
    <cellStyle name="40% - Accent1 2 3 2 3 2 3 2" xfId="49723"/>
    <cellStyle name="40% - Accent1 2 3 2 3 2 4" xfId="32613"/>
    <cellStyle name="40% - Accent1 2 3 2 3 3" xfId="6907"/>
    <cellStyle name="40% - Accent1 2 3 2 3 3 2" xfId="23954"/>
    <cellStyle name="40% - Accent1 2 3 2 3 3 2 2" xfId="52815"/>
    <cellStyle name="40% - Accent1 2 3 2 3 3 3" xfId="35768"/>
    <cellStyle name="40% - Accent1 2 3 2 3 4" xfId="12826"/>
    <cellStyle name="40% - Accent1 2 3 2 3 4 2" xfId="18182"/>
    <cellStyle name="40% - Accent1 2 3 2 3 4 2 2" xfId="47043"/>
    <cellStyle name="40% - Accent1 2 3 2 3 4 3" xfId="41687"/>
    <cellStyle name="40% - Accent1 2 3 2 3 5" xfId="15502"/>
    <cellStyle name="40% - Accent1 2 3 2 3 5 2" xfId="44363"/>
    <cellStyle name="40% - Accent1 2 3 2 3 6" xfId="29727"/>
    <cellStyle name="40% - Accent1 2 3 2 4" xfId="1071"/>
    <cellStyle name="40% - Accent1 2 3 2 4 2" xfId="3958"/>
    <cellStyle name="40% - Accent1 2 3 2 4 2 2" xfId="9999"/>
    <cellStyle name="40% - Accent1 2 3 2 4 2 2 2" xfId="27046"/>
    <cellStyle name="40% - Accent1 2 3 2 4 2 2 2 2" xfId="55907"/>
    <cellStyle name="40% - Accent1 2 3 2 4 2 2 3" xfId="38860"/>
    <cellStyle name="40% - Accent1 2 3 2 4 2 3" xfId="21068"/>
    <cellStyle name="40% - Accent1 2 3 2 4 2 3 2" xfId="49929"/>
    <cellStyle name="40% - Accent1 2 3 2 4 2 4" xfId="32819"/>
    <cellStyle name="40% - Accent1 2 3 2 4 3" xfId="7113"/>
    <cellStyle name="40% - Accent1 2 3 2 4 3 2" xfId="24160"/>
    <cellStyle name="40% - Accent1 2 3 2 4 3 2 2" xfId="53021"/>
    <cellStyle name="40% - Accent1 2 3 2 4 3 3" xfId="35974"/>
    <cellStyle name="40% - Accent1 2 3 2 4 4" xfId="12256"/>
    <cellStyle name="40% - Accent1 2 3 2 4 4 2" xfId="18388"/>
    <cellStyle name="40% - Accent1 2 3 2 4 4 2 2" xfId="47249"/>
    <cellStyle name="40% - Accent1 2 3 2 4 4 3" xfId="41117"/>
    <cellStyle name="40% - Accent1 2 3 2 4 5" xfId="15708"/>
    <cellStyle name="40% - Accent1 2 3 2 4 5 2" xfId="44569"/>
    <cellStyle name="40% - Accent1 2 3 2 4 6" xfId="29933"/>
    <cellStyle name="40% - Accent1 2 3 2 5" xfId="1277"/>
    <cellStyle name="40% - Accent1 2 3 2 5 2" xfId="4164"/>
    <cellStyle name="40% - Accent1 2 3 2 5 2 2" xfId="10205"/>
    <cellStyle name="40% - Accent1 2 3 2 5 2 2 2" xfId="27252"/>
    <cellStyle name="40% - Accent1 2 3 2 5 2 2 2 2" xfId="56113"/>
    <cellStyle name="40% - Accent1 2 3 2 5 2 2 3" xfId="39066"/>
    <cellStyle name="40% - Accent1 2 3 2 5 2 3" xfId="21274"/>
    <cellStyle name="40% - Accent1 2 3 2 5 2 3 2" xfId="50135"/>
    <cellStyle name="40% - Accent1 2 3 2 5 2 4" xfId="33025"/>
    <cellStyle name="40% - Accent1 2 3 2 5 3" xfId="7319"/>
    <cellStyle name="40% - Accent1 2 3 2 5 3 2" xfId="24366"/>
    <cellStyle name="40% - Accent1 2 3 2 5 3 2 2" xfId="53227"/>
    <cellStyle name="40% - Accent1 2 3 2 5 3 3" xfId="36180"/>
    <cellStyle name="40% - Accent1 2 3 2 5 4" xfId="13718"/>
    <cellStyle name="40% - Accent1 2 3 2 5 4 2" xfId="18594"/>
    <cellStyle name="40% - Accent1 2 3 2 5 4 2 2" xfId="47455"/>
    <cellStyle name="40% - Accent1 2 3 2 5 4 3" xfId="42579"/>
    <cellStyle name="40% - Accent1 2 3 2 5 5" xfId="15914"/>
    <cellStyle name="40% - Accent1 2 3 2 5 5 2" xfId="44775"/>
    <cellStyle name="40% - Accent1 2 3 2 5 6" xfId="30139"/>
    <cellStyle name="40% - Accent1 2 3 2 6" xfId="1483"/>
    <cellStyle name="40% - Accent1 2 3 2 6 2" xfId="4370"/>
    <cellStyle name="40% - Accent1 2 3 2 6 2 2" xfId="10411"/>
    <cellStyle name="40% - Accent1 2 3 2 6 2 2 2" xfId="27458"/>
    <cellStyle name="40% - Accent1 2 3 2 6 2 2 2 2" xfId="56319"/>
    <cellStyle name="40% - Accent1 2 3 2 6 2 2 3" xfId="39272"/>
    <cellStyle name="40% - Accent1 2 3 2 6 2 3" xfId="21480"/>
    <cellStyle name="40% - Accent1 2 3 2 6 2 3 2" xfId="50341"/>
    <cellStyle name="40% - Accent1 2 3 2 6 2 4" xfId="33231"/>
    <cellStyle name="40% - Accent1 2 3 2 6 3" xfId="7525"/>
    <cellStyle name="40% - Accent1 2 3 2 6 3 2" xfId="24572"/>
    <cellStyle name="40% - Accent1 2 3 2 6 3 2 2" xfId="53433"/>
    <cellStyle name="40% - Accent1 2 3 2 6 3 3" xfId="36386"/>
    <cellStyle name="40% - Accent1 2 3 2 6 4" xfId="14230"/>
    <cellStyle name="40% - Accent1 2 3 2 6 4 2" xfId="18800"/>
    <cellStyle name="40% - Accent1 2 3 2 6 4 2 2" xfId="47661"/>
    <cellStyle name="40% - Accent1 2 3 2 6 4 3" xfId="43091"/>
    <cellStyle name="40% - Accent1 2 3 2 6 5" xfId="16120"/>
    <cellStyle name="40% - Accent1 2 3 2 6 5 2" xfId="44981"/>
    <cellStyle name="40% - Accent1 2 3 2 6 6" xfId="30345"/>
    <cellStyle name="40% - Accent1 2 3 2 7" xfId="1689"/>
    <cellStyle name="40% - Accent1 2 3 2 7 2" xfId="4576"/>
    <cellStyle name="40% - Accent1 2 3 2 7 2 2" xfId="10617"/>
    <cellStyle name="40% - Accent1 2 3 2 7 2 2 2" xfId="27664"/>
    <cellStyle name="40% - Accent1 2 3 2 7 2 2 2 2" xfId="56525"/>
    <cellStyle name="40% - Accent1 2 3 2 7 2 2 3" xfId="39478"/>
    <cellStyle name="40% - Accent1 2 3 2 7 2 3" xfId="21686"/>
    <cellStyle name="40% - Accent1 2 3 2 7 2 3 2" xfId="50547"/>
    <cellStyle name="40% - Accent1 2 3 2 7 2 4" xfId="33437"/>
    <cellStyle name="40% - Accent1 2 3 2 7 3" xfId="7731"/>
    <cellStyle name="40% - Accent1 2 3 2 7 3 2" xfId="24778"/>
    <cellStyle name="40% - Accent1 2 3 2 7 3 2 2" xfId="53639"/>
    <cellStyle name="40% - Accent1 2 3 2 7 3 3" xfId="36592"/>
    <cellStyle name="40% - Accent1 2 3 2 7 4" xfId="12464"/>
    <cellStyle name="40% - Accent1 2 3 2 7 4 2" xfId="19006"/>
    <cellStyle name="40% - Accent1 2 3 2 7 4 2 2" xfId="47867"/>
    <cellStyle name="40% - Accent1 2 3 2 7 4 3" xfId="41325"/>
    <cellStyle name="40% - Accent1 2 3 2 7 5" xfId="16326"/>
    <cellStyle name="40% - Accent1 2 3 2 7 5 2" xfId="45187"/>
    <cellStyle name="40% - Accent1 2 3 2 7 6" xfId="30551"/>
    <cellStyle name="40% - Accent1 2 3 2 8" xfId="1895"/>
    <cellStyle name="40% - Accent1 2 3 2 8 2" xfId="4782"/>
    <cellStyle name="40% - Accent1 2 3 2 8 2 2" xfId="10823"/>
    <cellStyle name="40% - Accent1 2 3 2 8 2 2 2" xfId="27870"/>
    <cellStyle name="40% - Accent1 2 3 2 8 2 2 2 2" xfId="56731"/>
    <cellStyle name="40% - Accent1 2 3 2 8 2 2 3" xfId="39684"/>
    <cellStyle name="40% - Accent1 2 3 2 8 2 3" xfId="21892"/>
    <cellStyle name="40% - Accent1 2 3 2 8 2 3 2" xfId="50753"/>
    <cellStyle name="40% - Accent1 2 3 2 8 2 4" xfId="33643"/>
    <cellStyle name="40% - Accent1 2 3 2 8 3" xfId="7937"/>
    <cellStyle name="40% - Accent1 2 3 2 8 3 2" xfId="24984"/>
    <cellStyle name="40% - Accent1 2 3 2 8 3 2 2" xfId="53845"/>
    <cellStyle name="40% - Accent1 2 3 2 8 3 3" xfId="36798"/>
    <cellStyle name="40% - Accent1 2 3 2 8 4" xfId="13401"/>
    <cellStyle name="40% - Accent1 2 3 2 8 4 2" xfId="19212"/>
    <cellStyle name="40% - Accent1 2 3 2 8 4 2 2" xfId="48073"/>
    <cellStyle name="40% - Accent1 2 3 2 8 4 3" xfId="42262"/>
    <cellStyle name="40% - Accent1 2 3 2 8 5" xfId="16532"/>
    <cellStyle name="40% - Accent1 2 3 2 8 5 2" xfId="45393"/>
    <cellStyle name="40% - Accent1 2 3 2 8 6" xfId="30757"/>
    <cellStyle name="40% - Accent1 2 3 2 9" xfId="2101"/>
    <cellStyle name="40% - Accent1 2 3 2 9 2" xfId="4988"/>
    <cellStyle name="40% - Accent1 2 3 2 9 2 2" xfId="11029"/>
    <cellStyle name="40% - Accent1 2 3 2 9 2 2 2" xfId="28076"/>
    <cellStyle name="40% - Accent1 2 3 2 9 2 2 2 2" xfId="56937"/>
    <cellStyle name="40% - Accent1 2 3 2 9 2 2 3" xfId="39890"/>
    <cellStyle name="40% - Accent1 2 3 2 9 2 3" xfId="22098"/>
    <cellStyle name="40% - Accent1 2 3 2 9 2 3 2" xfId="50959"/>
    <cellStyle name="40% - Accent1 2 3 2 9 2 4" xfId="33849"/>
    <cellStyle name="40% - Accent1 2 3 2 9 3" xfId="8143"/>
    <cellStyle name="40% - Accent1 2 3 2 9 3 2" xfId="25190"/>
    <cellStyle name="40% - Accent1 2 3 2 9 3 2 2" xfId="54051"/>
    <cellStyle name="40% - Accent1 2 3 2 9 3 3" xfId="37004"/>
    <cellStyle name="40% - Accent1 2 3 2 9 4" xfId="12065"/>
    <cellStyle name="40% - Accent1 2 3 2 9 4 2" xfId="19418"/>
    <cellStyle name="40% - Accent1 2 3 2 9 4 2 2" xfId="48279"/>
    <cellStyle name="40% - Accent1 2 3 2 9 4 3" xfId="40926"/>
    <cellStyle name="40% - Accent1 2 3 2 9 5" xfId="16738"/>
    <cellStyle name="40% - Accent1 2 3 2 9 5 2" xfId="45599"/>
    <cellStyle name="40% - Accent1 2 3 2 9 6" xfId="30963"/>
    <cellStyle name="40% - Accent1 2 3 20" xfId="29006"/>
    <cellStyle name="40% - Accent1 2 3 3" xfId="247"/>
    <cellStyle name="40% - Accent1 2 3 3 2" xfId="659"/>
    <cellStyle name="40% - Accent1 2 3 3 2 2" xfId="3546"/>
    <cellStyle name="40% - Accent1 2 3 3 2 2 2" xfId="9587"/>
    <cellStyle name="40% - Accent1 2 3 3 2 2 2 2" xfId="26634"/>
    <cellStyle name="40% - Accent1 2 3 3 2 2 2 2 2" xfId="55495"/>
    <cellStyle name="40% - Accent1 2 3 3 2 2 2 3" xfId="38448"/>
    <cellStyle name="40% - Accent1 2 3 3 2 2 3" xfId="20656"/>
    <cellStyle name="40% - Accent1 2 3 3 2 2 3 2" xfId="49517"/>
    <cellStyle name="40% - Accent1 2 3 3 2 2 4" xfId="32407"/>
    <cellStyle name="40% - Accent1 2 3 3 2 3" xfId="6701"/>
    <cellStyle name="40% - Accent1 2 3 3 2 3 2" xfId="23748"/>
    <cellStyle name="40% - Accent1 2 3 3 2 3 2 2" xfId="52609"/>
    <cellStyle name="40% - Accent1 2 3 3 2 3 3" xfId="35562"/>
    <cellStyle name="40% - Accent1 2 3 3 2 4" xfId="13711"/>
    <cellStyle name="40% - Accent1 2 3 3 2 4 2" xfId="17976"/>
    <cellStyle name="40% - Accent1 2 3 3 2 4 2 2" xfId="46837"/>
    <cellStyle name="40% - Accent1 2 3 3 2 4 3" xfId="42572"/>
    <cellStyle name="40% - Accent1 2 3 3 2 5" xfId="15296"/>
    <cellStyle name="40% - Accent1 2 3 3 2 5 2" xfId="44157"/>
    <cellStyle name="40% - Accent1 2 3 3 2 6" xfId="29521"/>
    <cellStyle name="40% - Accent1 2 3 3 3" xfId="2204"/>
    <cellStyle name="40% - Accent1 2 3 3 3 2" xfId="5091"/>
    <cellStyle name="40% - Accent1 2 3 3 3 2 2" xfId="11132"/>
    <cellStyle name="40% - Accent1 2 3 3 3 2 2 2" xfId="28179"/>
    <cellStyle name="40% - Accent1 2 3 3 3 2 2 2 2" xfId="57040"/>
    <cellStyle name="40% - Accent1 2 3 3 3 2 2 3" xfId="39993"/>
    <cellStyle name="40% - Accent1 2 3 3 3 2 3" xfId="22201"/>
    <cellStyle name="40% - Accent1 2 3 3 3 2 3 2" xfId="51062"/>
    <cellStyle name="40% - Accent1 2 3 3 3 2 4" xfId="33952"/>
    <cellStyle name="40% - Accent1 2 3 3 3 3" xfId="8246"/>
    <cellStyle name="40% - Accent1 2 3 3 3 3 2" xfId="25293"/>
    <cellStyle name="40% - Accent1 2 3 3 3 3 2 2" xfId="54154"/>
    <cellStyle name="40% - Accent1 2 3 3 3 3 3" xfId="37107"/>
    <cellStyle name="40% - Accent1 2 3 3 3 4" xfId="12005"/>
    <cellStyle name="40% - Accent1 2 3 3 3 4 2" xfId="19521"/>
    <cellStyle name="40% - Accent1 2 3 3 3 4 2 2" xfId="48382"/>
    <cellStyle name="40% - Accent1 2 3 3 3 4 3" xfId="40866"/>
    <cellStyle name="40% - Accent1 2 3 3 3 5" xfId="16841"/>
    <cellStyle name="40% - Accent1 2 3 3 3 5 2" xfId="45702"/>
    <cellStyle name="40% - Accent1 2 3 3 3 6" xfId="31066"/>
    <cellStyle name="40% - Accent1 2 3 3 4" xfId="3134"/>
    <cellStyle name="40% - Accent1 2 3 3 4 2" xfId="9175"/>
    <cellStyle name="40% - Accent1 2 3 3 4 2 2" xfId="26222"/>
    <cellStyle name="40% - Accent1 2 3 3 4 2 2 2" xfId="55083"/>
    <cellStyle name="40% - Accent1 2 3 3 4 2 3" xfId="38036"/>
    <cellStyle name="40% - Accent1 2 3 3 4 3" xfId="20244"/>
    <cellStyle name="40% - Accent1 2 3 3 4 3 2" xfId="49105"/>
    <cellStyle name="40% - Accent1 2 3 3 4 4" xfId="31995"/>
    <cellStyle name="40% - Accent1 2 3 3 5" xfId="6289"/>
    <cellStyle name="40% - Accent1 2 3 3 5 2" xfId="23336"/>
    <cellStyle name="40% - Accent1 2 3 3 5 2 2" xfId="52197"/>
    <cellStyle name="40% - Accent1 2 3 3 5 3" xfId="35150"/>
    <cellStyle name="40% - Accent1 2 3 3 6" xfId="12049"/>
    <cellStyle name="40% - Accent1 2 3 3 6 2" xfId="17667"/>
    <cellStyle name="40% - Accent1 2 3 3 6 2 2" xfId="46528"/>
    <cellStyle name="40% - Accent1 2 3 3 6 3" xfId="40910"/>
    <cellStyle name="40% - Accent1 2 3 3 7" xfId="14884"/>
    <cellStyle name="40% - Accent1 2 3 3 7 2" xfId="43745"/>
    <cellStyle name="40% - Accent1 2 3 3 8" xfId="29109"/>
    <cellStyle name="40% - Accent1 2 3 4" xfId="453"/>
    <cellStyle name="40% - Accent1 2 3 4 2" xfId="3340"/>
    <cellStyle name="40% - Accent1 2 3 4 2 2" xfId="9381"/>
    <cellStyle name="40% - Accent1 2 3 4 2 2 2" xfId="26428"/>
    <cellStyle name="40% - Accent1 2 3 4 2 2 2 2" xfId="55289"/>
    <cellStyle name="40% - Accent1 2 3 4 2 2 3" xfId="38242"/>
    <cellStyle name="40% - Accent1 2 3 4 2 3" xfId="20450"/>
    <cellStyle name="40% - Accent1 2 3 4 2 3 2" xfId="49311"/>
    <cellStyle name="40% - Accent1 2 3 4 2 4" xfId="32201"/>
    <cellStyle name="40% - Accent1 2 3 4 3" xfId="6495"/>
    <cellStyle name="40% - Accent1 2 3 4 3 2" xfId="23542"/>
    <cellStyle name="40% - Accent1 2 3 4 3 2 2" xfId="52403"/>
    <cellStyle name="40% - Accent1 2 3 4 3 3" xfId="35356"/>
    <cellStyle name="40% - Accent1 2 3 4 4" xfId="12157"/>
    <cellStyle name="40% - Accent1 2 3 4 4 2" xfId="17770"/>
    <cellStyle name="40% - Accent1 2 3 4 4 2 2" xfId="46631"/>
    <cellStyle name="40% - Accent1 2 3 4 4 3" xfId="41018"/>
    <cellStyle name="40% - Accent1 2 3 4 5" xfId="15090"/>
    <cellStyle name="40% - Accent1 2 3 4 5 2" xfId="43951"/>
    <cellStyle name="40% - Accent1 2 3 4 6" xfId="29315"/>
    <cellStyle name="40% - Accent1 2 3 5" xfId="762"/>
    <cellStyle name="40% - Accent1 2 3 5 2" xfId="3649"/>
    <cellStyle name="40% - Accent1 2 3 5 2 2" xfId="9690"/>
    <cellStyle name="40% - Accent1 2 3 5 2 2 2" xfId="26737"/>
    <cellStyle name="40% - Accent1 2 3 5 2 2 2 2" xfId="55598"/>
    <cellStyle name="40% - Accent1 2 3 5 2 2 3" xfId="38551"/>
    <cellStyle name="40% - Accent1 2 3 5 2 3" xfId="20759"/>
    <cellStyle name="40% - Accent1 2 3 5 2 3 2" xfId="49620"/>
    <cellStyle name="40% - Accent1 2 3 5 2 4" xfId="32510"/>
    <cellStyle name="40% - Accent1 2 3 5 3" xfId="6804"/>
    <cellStyle name="40% - Accent1 2 3 5 3 2" xfId="23851"/>
    <cellStyle name="40% - Accent1 2 3 5 3 2 2" xfId="52712"/>
    <cellStyle name="40% - Accent1 2 3 5 3 3" xfId="35665"/>
    <cellStyle name="40% - Accent1 2 3 5 4" xfId="12336"/>
    <cellStyle name="40% - Accent1 2 3 5 4 2" xfId="18079"/>
    <cellStyle name="40% - Accent1 2 3 5 4 2 2" xfId="46940"/>
    <cellStyle name="40% - Accent1 2 3 5 4 3" xfId="41197"/>
    <cellStyle name="40% - Accent1 2 3 5 5" xfId="15399"/>
    <cellStyle name="40% - Accent1 2 3 5 5 2" xfId="44260"/>
    <cellStyle name="40% - Accent1 2 3 5 6" xfId="29624"/>
    <cellStyle name="40% - Accent1 2 3 6" xfId="968"/>
    <cellStyle name="40% - Accent1 2 3 6 2" xfId="3855"/>
    <cellStyle name="40% - Accent1 2 3 6 2 2" xfId="9896"/>
    <cellStyle name="40% - Accent1 2 3 6 2 2 2" xfId="26943"/>
    <cellStyle name="40% - Accent1 2 3 6 2 2 2 2" xfId="55804"/>
    <cellStyle name="40% - Accent1 2 3 6 2 2 3" xfId="38757"/>
    <cellStyle name="40% - Accent1 2 3 6 2 3" xfId="20965"/>
    <cellStyle name="40% - Accent1 2 3 6 2 3 2" xfId="49826"/>
    <cellStyle name="40% - Accent1 2 3 6 2 4" xfId="32716"/>
    <cellStyle name="40% - Accent1 2 3 6 3" xfId="7010"/>
    <cellStyle name="40% - Accent1 2 3 6 3 2" xfId="24057"/>
    <cellStyle name="40% - Accent1 2 3 6 3 2 2" xfId="52918"/>
    <cellStyle name="40% - Accent1 2 3 6 3 3" xfId="35871"/>
    <cellStyle name="40% - Accent1 2 3 6 4" xfId="12343"/>
    <cellStyle name="40% - Accent1 2 3 6 4 2" xfId="18285"/>
    <cellStyle name="40% - Accent1 2 3 6 4 2 2" xfId="47146"/>
    <cellStyle name="40% - Accent1 2 3 6 4 3" xfId="41204"/>
    <cellStyle name="40% - Accent1 2 3 6 5" xfId="15605"/>
    <cellStyle name="40% - Accent1 2 3 6 5 2" xfId="44466"/>
    <cellStyle name="40% - Accent1 2 3 6 6" xfId="29830"/>
    <cellStyle name="40% - Accent1 2 3 7" xfId="1174"/>
    <cellStyle name="40% - Accent1 2 3 7 2" xfId="4061"/>
    <cellStyle name="40% - Accent1 2 3 7 2 2" xfId="10102"/>
    <cellStyle name="40% - Accent1 2 3 7 2 2 2" xfId="27149"/>
    <cellStyle name="40% - Accent1 2 3 7 2 2 2 2" xfId="56010"/>
    <cellStyle name="40% - Accent1 2 3 7 2 2 3" xfId="38963"/>
    <cellStyle name="40% - Accent1 2 3 7 2 3" xfId="21171"/>
    <cellStyle name="40% - Accent1 2 3 7 2 3 2" xfId="50032"/>
    <cellStyle name="40% - Accent1 2 3 7 2 4" xfId="32922"/>
    <cellStyle name="40% - Accent1 2 3 7 3" xfId="7216"/>
    <cellStyle name="40% - Accent1 2 3 7 3 2" xfId="24263"/>
    <cellStyle name="40% - Accent1 2 3 7 3 2 2" xfId="53124"/>
    <cellStyle name="40% - Accent1 2 3 7 3 3" xfId="36077"/>
    <cellStyle name="40% - Accent1 2 3 7 4" xfId="12097"/>
    <cellStyle name="40% - Accent1 2 3 7 4 2" xfId="18491"/>
    <cellStyle name="40% - Accent1 2 3 7 4 2 2" xfId="47352"/>
    <cellStyle name="40% - Accent1 2 3 7 4 3" xfId="40958"/>
    <cellStyle name="40% - Accent1 2 3 7 5" xfId="15811"/>
    <cellStyle name="40% - Accent1 2 3 7 5 2" xfId="44672"/>
    <cellStyle name="40% - Accent1 2 3 7 6" xfId="30036"/>
    <cellStyle name="40% - Accent1 2 3 8" xfId="1380"/>
    <cellStyle name="40% - Accent1 2 3 8 2" xfId="4267"/>
    <cellStyle name="40% - Accent1 2 3 8 2 2" xfId="10308"/>
    <cellStyle name="40% - Accent1 2 3 8 2 2 2" xfId="27355"/>
    <cellStyle name="40% - Accent1 2 3 8 2 2 2 2" xfId="56216"/>
    <cellStyle name="40% - Accent1 2 3 8 2 2 3" xfId="39169"/>
    <cellStyle name="40% - Accent1 2 3 8 2 3" xfId="21377"/>
    <cellStyle name="40% - Accent1 2 3 8 2 3 2" xfId="50238"/>
    <cellStyle name="40% - Accent1 2 3 8 2 4" xfId="33128"/>
    <cellStyle name="40% - Accent1 2 3 8 3" xfId="7422"/>
    <cellStyle name="40% - Accent1 2 3 8 3 2" xfId="24469"/>
    <cellStyle name="40% - Accent1 2 3 8 3 2 2" xfId="53330"/>
    <cellStyle name="40% - Accent1 2 3 8 3 3" xfId="36283"/>
    <cellStyle name="40% - Accent1 2 3 8 4" xfId="13353"/>
    <cellStyle name="40% - Accent1 2 3 8 4 2" xfId="18697"/>
    <cellStyle name="40% - Accent1 2 3 8 4 2 2" xfId="47558"/>
    <cellStyle name="40% - Accent1 2 3 8 4 3" xfId="42214"/>
    <cellStyle name="40% - Accent1 2 3 8 5" xfId="16017"/>
    <cellStyle name="40% - Accent1 2 3 8 5 2" xfId="44878"/>
    <cellStyle name="40% - Accent1 2 3 8 6" xfId="30242"/>
    <cellStyle name="40% - Accent1 2 3 9" xfId="1586"/>
    <cellStyle name="40% - Accent1 2 3 9 2" xfId="4473"/>
    <cellStyle name="40% - Accent1 2 3 9 2 2" xfId="10514"/>
    <cellStyle name="40% - Accent1 2 3 9 2 2 2" xfId="27561"/>
    <cellStyle name="40% - Accent1 2 3 9 2 2 2 2" xfId="56422"/>
    <cellStyle name="40% - Accent1 2 3 9 2 2 3" xfId="39375"/>
    <cellStyle name="40% - Accent1 2 3 9 2 3" xfId="21583"/>
    <cellStyle name="40% - Accent1 2 3 9 2 3 2" xfId="50444"/>
    <cellStyle name="40% - Accent1 2 3 9 2 4" xfId="33334"/>
    <cellStyle name="40% - Accent1 2 3 9 3" xfId="7628"/>
    <cellStyle name="40% - Accent1 2 3 9 3 2" xfId="24675"/>
    <cellStyle name="40% - Accent1 2 3 9 3 2 2" xfId="53536"/>
    <cellStyle name="40% - Accent1 2 3 9 3 3" xfId="36489"/>
    <cellStyle name="40% - Accent1 2 3 9 4" xfId="13302"/>
    <cellStyle name="40% - Accent1 2 3 9 4 2" xfId="18903"/>
    <cellStyle name="40% - Accent1 2 3 9 4 2 2" xfId="47764"/>
    <cellStyle name="40% - Accent1 2 3 9 4 3" xfId="42163"/>
    <cellStyle name="40% - Accent1 2 3 9 5" xfId="16223"/>
    <cellStyle name="40% - Accent1 2 3 9 5 2" xfId="45084"/>
    <cellStyle name="40% - Accent1 2 3 9 6" xfId="30448"/>
    <cellStyle name="40% - Accent1 2 4" xfId="298"/>
    <cellStyle name="40% - Accent1 2 4 10" xfId="2461"/>
    <cellStyle name="40% - Accent1 2 4 10 2" xfId="5348"/>
    <cellStyle name="40% - Accent1 2 4 10 2 2" xfId="11389"/>
    <cellStyle name="40% - Accent1 2 4 10 2 2 2" xfId="28436"/>
    <cellStyle name="40% - Accent1 2 4 10 2 2 2 2" xfId="57297"/>
    <cellStyle name="40% - Accent1 2 4 10 2 2 3" xfId="40250"/>
    <cellStyle name="40% - Accent1 2 4 10 2 3" xfId="22458"/>
    <cellStyle name="40% - Accent1 2 4 10 2 3 2" xfId="51319"/>
    <cellStyle name="40% - Accent1 2 4 10 2 4" xfId="34209"/>
    <cellStyle name="40% - Accent1 2 4 10 3" xfId="8503"/>
    <cellStyle name="40% - Accent1 2 4 10 3 2" xfId="25550"/>
    <cellStyle name="40% - Accent1 2 4 10 3 2 2" xfId="54411"/>
    <cellStyle name="40% - Accent1 2 4 10 3 3" xfId="37364"/>
    <cellStyle name="40% - Accent1 2 4 10 4" xfId="12011"/>
    <cellStyle name="40% - Accent1 2 4 10 4 2" xfId="19778"/>
    <cellStyle name="40% - Accent1 2 4 10 4 2 2" xfId="48639"/>
    <cellStyle name="40% - Accent1 2 4 10 4 3" xfId="40872"/>
    <cellStyle name="40% - Accent1 2 4 10 5" xfId="17098"/>
    <cellStyle name="40% - Accent1 2 4 10 5 2" xfId="45959"/>
    <cellStyle name="40% - Accent1 2 4 10 6" xfId="31323"/>
    <cellStyle name="40% - Accent1 2 4 11" xfId="2670"/>
    <cellStyle name="40% - Accent1 2 4 11 2" xfId="5556"/>
    <cellStyle name="40% - Accent1 2 4 11 2 2" xfId="11597"/>
    <cellStyle name="40% - Accent1 2 4 11 2 2 2" xfId="28644"/>
    <cellStyle name="40% - Accent1 2 4 11 2 2 2 2" xfId="57505"/>
    <cellStyle name="40% - Accent1 2 4 11 2 2 3" xfId="40458"/>
    <cellStyle name="40% - Accent1 2 4 11 2 3" xfId="22666"/>
    <cellStyle name="40% - Accent1 2 4 11 2 3 2" xfId="51527"/>
    <cellStyle name="40% - Accent1 2 4 11 2 4" xfId="34417"/>
    <cellStyle name="40% - Accent1 2 4 11 3" xfId="8711"/>
    <cellStyle name="40% - Accent1 2 4 11 3 2" xfId="25758"/>
    <cellStyle name="40% - Accent1 2 4 11 3 2 2" xfId="54619"/>
    <cellStyle name="40% - Accent1 2 4 11 3 3" xfId="37572"/>
    <cellStyle name="40% - Accent1 2 4 11 4" xfId="6079"/>
    <cellStyle name="40% - Accent1 2 4 11 4 2" xfId="19986"/>
    <cellStyle name="40% - Accent1 2 4 11 4 2 2" xfId="48847"/>
    <cellStyle name="40% - Accent1 2 4 11 4 3" xfId="34940"/>
    <cellStyle name="40% - Accent1 2 4 11 5" xfId="17306"/>
    <cellStyle name="40% - Accent1 2 4 11 5 2" xfId="46167"/>
    <cellStyle name="40% - Accent1 2 4 11 6" xfId="31531"/>
    <cellStyle name="40% - Accent1 2 4 12" xfId="3185"/>
    <cellStyle name="40% - Accent1 2 4 12 2" xfId="9226"/>
    <cellStyle name="40% - Accent1 2 4 12 2 2" xfId="26273"/>
    <cellStyle name="40% - Accent1 2 4 12 2 2 2" xfId="55134"/>
    <cellStyle name="40% - Accent1 2 4 12 2 3" xfId="38087"/>
    <cellStyle name="40% - Accent1 2 4 12 3" xfId="14460"/>
    <cellStyle name="40% - Accent1 2 4 12 3 2" xfId="20295"/>
    <cellStyle name="40% - Accent1 2 4 12 3 2 2" xfId="49156"/>
    <cellStyle name="40% - Accent1 2 4 12 3 3" xfId="43321"/>
    <cellStyle name="40% - Accent1 2 4 12 4" xfId="14935"/>
    <cellStyle name="40% - Accent1 2 4 12 4 2" xfId="43796"/>
    <cellStyle name="40% - Accent1 2 4 12 5" xfId="32046"/>
    <cellStyle name="40% - Accent1 2 4 13" xfId="2876"/>
    <cellStyle name="40% - Accent1 2 4 13 2" xfId="8917"/>
    <cellStyle name="40% - Accent1 2 4 13 2 2" xfId="25964"/>
    <cellStyle name="40% - Accent1 2 4 13 2 2 2" xfId="54825"/>
    <cellStyle name="40% - Accent1 2 4 13 2 3" xfId="37778"/>
    <cellStyle name="40% - Accent1 2 4 13 3" xfId="17512"/>
    <cellStyle name="40% - Accent1 2 4 13 3 2" xfId="46373"/>
    <cellStyle name="40% - Accent1 2 4 13 4" xfId="31737"/>
    <cellStyle name="40% - Accent1 2 4 14" xfId="5762"/>
    <cellStyle name="40% - Accent1 2 4 14 2" xfId="11803"/>
    <cellStyle name="40% - Accent1 2 4 14 2 2" xfId="28850"/>
    <cellStyle name="40% - Accent1 2 4 14 2 2 2" xfId="57711"/>
    <cellStyle name="40% - Accent1 2 4 14 2 3" xfId="40664"/>
    <cellStyle name="40% - Accent1 2 4 14 3" xfId="22872"/>
    <cellStyle name="40% - Accent1 2 4 14 3 2" xfId="51733"/>
    <cellStyle name="40% - Accent1 2 4 14 4" xfId="34623"/>
    <cellStyle name="40% - Accent1 2 4 15" xfId="5979"/>
    <cellStyle name="40% - Accent1 2 4 15 2" xfId="23078"/>
    <cellStyle name="40% - Accent1 2 4 15 2 2" xfId="51939"/>
    <cellStyle name="40% - Accent1 2 4 15 3" xfId="34840"/>
    <cellStyle name="40% - Accent1 2 4 16" xfId="6340"/>
    <cellStyle name="40% - Accent1 2 4 16 2" xfId="23387"/>
    <cellStyle name="40% - Accent1 2 4 16 2 2" xfId="52248"/>
    <cellStyle name="40% - Accent1 2 4 16 3" xfId="35201"/>
    <cellStyle name="40% - Accent1 2 4 17" xfId="14626"/>
    <cellStyle name="40% - Accent1 2 4 17 2" xfId="43487"/>
    <cellStyle name="40% - Accent1 2 4 18" xfId="29160"/>
    <cellStyle name="40% - Accent1 2 4 2" xfId="504"/>
    <cellStyle name="40% - Accent1 2 4 2 2" xfId="2255"/>
    <cellStyle name="40% - Accent1 2 4 2 2 2" xfId="5142"/>
    <cellStyle name="40% - Accent1 2 4 2 2 2 2" xfId="11183"/>
    <cellStyle name="40% - Accent1 2 4 2 2 2 2 2" xfId="28230"/>
    <cellStyle name="40% - Accent1 2 4 2 2 2 2 2 2" xfId="57091"/>
    <cellStyle name="40% - Accent1 2 4 2 2 2 2 3" xfId="40044"/>
    <cellStyle name="40% - Accent1 2 4 2 2 2 3" xfId="22252"/>
    <cellStyle name="40% - Accent1 2 4 2 2 2 3 2" xfId="51113"/>
    <cellStyle name="40% - Accent1 2 4 2 2 2 4" xfId="34003"/>
    <cellStyle name="40% - Accent1 2 4 2 2 3" xfId="8297"/>
    <cellStyle name="40% - Accent1 2 4 2 2 3 2" xfId="25344"/>
    <cellStyle name="40% - Accent1 2 4 2 2 3 2 2" xfId="54205"/>
    <cellStyle name="40% - Accent1 2 4 2 2 3 3" xfId="37158"/>
    <cellStyle name="40% - Accent1 2 4 2 2 4" xfId="13426"/>
    <cellStyle name="40% - Accent1 2 4 2 2 4 2" xfId="19572"/>
    <cellStyle name="40% - Accent1 2 4 2 2 4 2 2" xfId="48433"/>
    <cellStyle name="40% - Accent1 2 4 2 2 4 3" xfId="42287"/>
    <cellStyle name="40% - Accent1 2 4 2 2 5" xfId="16892"/>
    <cellStyle name="40% - Accent1 2 4 2 2 5 2" xfId="45753"/>
    <cellStyle name="40% - Accent1 2 4 2 2 6" xfId="31117"/>
    <cellStyle name="40% - Accent1 2 4 2 3" xfId="3391"/>
    <cellStyle name="40% - Accent1 2 4 2 3 2" xfId="9432"/>
    <cellStyle name="40% - Accent1 2 4 2 3 2 2" xfId="26479"/>
    <cellStyle name="40% - Accent1 2 4 2 3 2 2 2" xfId="55340"/>
    <cellStyle name="40% - Accent1 2 4 2 3 2 3" xfId="38293"/>
    <cellStyle name="40% - Accent1 2 4 2 3 3" xfId="20501"/>
    <cellStyle name="40% - Accent1 2 4 2 3 3 2" xfId="49362"/>
    <cellStyle name="40% - Accent1 2 4 2 3 4" xfId="32252"/>
    <cellStyle name="40% - Accent1 2 4 2 4" xfId="6546"/>
    <cellStyle name="40% - Accent1 2 4 2 4 2" xfId="23593"/>
    <cellStyle name="40% - Accent1 2 4 2 4 2 2" xfId="52454"/>
    <cellStyle name="40% - Accent1 2 4 2 4 3" xfId="35407"/>
    <cellStyle name="40% - Accent1 2 4 2 5" xfId="11953"/>
    <cellStyle name="40% - Accent1 2 4 2 5 2" xfId="17821"/>
    <cellStyle name="40% - Accent1 2 4 2 5 2 2" xfId="46682"/>
    <cellStyle name="40% - Accent1 2 4 2 5 3" xfId="40814"/>
    <cellStyle name="40% - Accent1 2 4 2 6" xfId="15141"/>
    <cellStyle name="40% - Accent1 2 4 2 6 2" xfId="44002"/>
    <cellStyle name="40% - Accent1 2 4 2 7" xfId="29366"/>
    <cellStyle name="40% - Accent1 2 4 3" xfId="813"/>
    <cellStyle name="40% - Accent1 2 4 3 2" xfId="3700"/>
    <cellStyle name="40% - Accent1 2 4 3 2 2" xfId="9741"/>
    <cellStyle name="40% - Accent1 2 4 3 2 2 2" xfId="26788"/>
    <cellStyle name="40% - Accent1 2 4 3 2 2 2 2" xfId="55649"/>
    <cellStyle name="40% - Accent1 2 4 3 2 2 3" xfId="38602"/>
    <cellStyle name="40% - Accent1 2 4 3 2 3" xfId="20810"/>
    <cellStyle name="40% - Accent1 2 4 3 2 3 2" xfId="49671"/>
    <cellStyle name="40% - Accent1 2 4 3 2 4" xfId="32561"/>
    <cellStyle name="40% - Accent1 2 4 3 3" xfId="6855"/>
    <cellStyle name="40% - Accent1 2 4 3 3 2" xfId="23902"/>
    <cellStyle name="40% - Accent1 2 4 3 3 2 2" xfId="52763"/>
    <cellStyle name="40% - Accent1 2 4 3 3 3" xfId="35716"/>
    <cellStyle name="40% - Accent1 2 4 3 4" xfId="12279"/>
    <cellStyle name="40% - Accent1 2 4 3 4 2" xfId="18130"/>
    <cellStyle name="40% - Accent1 2 4 3 4 2 2" xfId="46991"/>
    <cellStyle name="40% - Accent1 2 4 3 4 3" xfId="41140"/>
    <cellStyle name="40% - Accent1 2 4 3 5" xfId="15450"/>
    <cellStyle name="40% - Accent1 2 4 3 5 2" xfId="44311"/>
    <cellStyle name="40% - Accent1 2 4 3 6" xfId="29675"/>
    <cellStyle name="40% - Accent1 2 4 4" xfId="1019"/>
    <cellStyle name="40% - Accent1 2 4 4 2" xfId="3906"/>
    <cellStyle name="40% - Accent1 2 4 4 2 2" xfId="9947"/>
    <cellStyle name="40% - Accent1 2 4 4 2 2 2" xfId="26994"/>
    <cellStyle name="40% - Accent1 2 4 4 2 2 2 2" xfId="55855"/>
    <cellStyle name="40% - Accent1 2 4 4 2 2 3" xfId="38808"/>
    <cellStyle name="40% - Accent1 2 4 4 2 3" xfId="21016"/>
    <cellStyle name="40% - Accent1 2 4 4 2 3 2" xfId="49877"/>
    <cellStyle name="40% - Accent1 2 4 4 2 4" xfId="32767"/>
    <cellStyle name="40% - Accent1 2 4 4 3" xfId="7061"/>
    <cellStyle name="40% - Accent1 2 4 4 3 2" xfId="24108"/>
    <cellStyle name="40% - Accent1 2 4 4 3 2 2" xfId="52969"/>
    <cellStyle name="40% - Accent1 2 4 4 3 3" xfId="35922"/>
    <cellStyle name="40% - Accent1 2 4 4 4" xfId="13598"/>
    <cellStyle name="40% - Accent1 2 4 4 4 2" xfId="18336"/>
    <cellStyle name="40% - Accent1 2 4 4 4 2 2" xfId="47197"/>
    <cellStyle name="40% - Accent1 2 4 4 4 3" xfId="42459"/>
    <cellStyle name="40% - Accent1 2 4 4 5" xfId="15656"/>
    <cellStyle name="40% - Accent1 2 4 4 5 2" xfId="44517"/>
    <cellStyle name="40% - Accent1 2 4 4 6" xfId="29881"/>
    <cellStyle name="40% - Accent1 2 4 5" xfId="1225"/>
    <cellStyle name="40% - Accent1 2 4 5 2" xfId="4112"/>
    <cellStyle name="40% - Accent1 2 4 5 2 2" xfId="10153"/>
    <cellStyle name="40% - Accent1 2 4 5 2 2 2" xfId="27200"/>
    <cellStyle name="40% - Accent1 2 4 5 2 2 2 2" xfId="56061"/>
    <cellStyle name="40% - Accent1 2 4 5 2 2 3" xfId="39014"/>
    <cellStyle name="40% - Accent1 2 4 5 2 3" xfId="21222"/>
    <cellStyle name="40% - Accent1 2 4 5 2 3 2" xfId="50083"/>
    <cellStyle name="40% - Accent1 2 4 5 2 4" xfId="32973"/>
    <cellStyle name="40% - Accent1 2 4 5 3" xfId="7267"/>
    <cellStyle name="40% - Accent1 2 4 5 3 2" xfId="24314"/>
    <cellStyle name="40% - Accent1 2 4 5 3 2 2" xfId="53175"/>
    <cellStyle name="40% - Accent1 2 4 5 3 3" xfId="36128"/>
    <cellStyle name="40% - Accent1 2 4 5 4" xfId="12672"/>
    <cellStyle name="40% - Accent1 2 4 5 4 2" xfId="18542"/>
    <cellStyle name="40% - Accent1 2 4 5 4 2 2" xfId="47403"/>
    <cellStyle name="40% - Accent1 2 4 5 4 3" xfId="41533"/>
    <cellStyle name="40% - Accent1 2 4 5 5" xfId="15862"/>
    <cellStyle name="40% - Accent1 2 4 5 5 2" xfId="44723"/>
    <cellStyle name="40% - Accent1 2 4 5 6" xfId="30087"/>
    <cellStyle name="40% - Accent1 2 4 6" xfId="1431"/>
    <cellStyle name="40% - Accent1 2 4 6 2" xfId="4318"/>
    <cellStyle name="40% - Accent1 2 4 6 2 2" xfId="10359"/>
    <cellStyle name="40% - Accent1 2 4 6 2 2 2" xfId="27406"/>
    <cellStyle name="40% - Accent1 2 4 6 2 2 2 2" xfId="56267"/>
    <cellStyle name="40% - Accent1 2 4 6 2 2 3" xfId="39220"/>
    <cellStyle name="40% - Accent1 2 4 6 2 3" xfId="21428"/>
    <cellStyle name="40% - Accent1 2 4 6 2 3 2" xfId="50289"/>
    <cellStyle name="40% - Accent1 2 4 6 2 4" xfId="33179"/>
    <cellStyle name="40% - Accent1 2 4 6 3" xfId="7473"/>
    <cellStyle name="40% - Accent1 2 4 6 3 2" xfId="24520"/>
    <cellStyle name="40% - Accent1 2 4 6 3 2 2" xfId="53381"/>
    <cellStyle name="40% - Accent1 2 4 6 3 3" xfId="36334"/>
    <cellStyle name="40% - Accent1 2 4 6 4" xfId="11929"/>
    <cellStyle name="40% - Accent1 2 4 6 4 2" xfId="18748"/>
    <cellStyle name="40% - Accent1 2 4 6 4 2 2" xfId="47609"/>
    <cellStyle name="40% - Accent1 2 4 6 4 3" xfId="40790"/>
    <cellStyle name="40% - Accent1 2 4 6 5" xfId="16068"/>
    <cellStyle name="40% - Accent1 2 4 6 5 2" xfId="44929"/>
    <cellStyle name="40% - Accent1 2 4 6 6" xfId="30293"/>
    <cellStyle name="40% - Accent1 2 4 7" xfId="1637"/>
    <cellStyle name="40% - Accent1 2 4 7 2" xfId="4524"/>
    <cellStyle name="40% - Accent1 2 4 7 2 2" xfId="10565"/>
    <cellStyle name="40% - Accent1 2 4 7 2 2 2" xfId="27612"/>
    <cellStyle name="40% - Accent1 2 4 7 2 2 2 2" xfId="56473"/>
    <cellStyle name="40% - Accent1 2 4 7 2 2 3" xfId="39426"/>
    <cellStyle name="40% - Accent1 2 4 7 2 3" xfId="21634"/>
    <cellStyle name="40% - Accent1 2 4 7 2 3 2" xfId="50495"/>
    <cellStyle name="40% - Accent1 2 4 7 2 4" xfId="33385"/>
    <cellStyle name="40% - Accent1 2 4 7 3" xfId="7679"/>
    <cellStyle name="40% - Accent1 2 4 7 3 2" xfId="24726"/>
    <cellStyle name="40% - Accent1 2 4 7 3 2 2" xfId="53587"/>
    <cellStyle name="40% - Accent1 2 4 7 3 3" xfId="36540"/>
    <cellStyle name="40% - Accent1 2 4 7 4" xfId="12234"/>
    <cellStyle name="40% - Accent1 2 4 7 4 2" xfId="18954"/>
    <cellStyle name="40% - Accent1 2 4 7 4 2 2" xfId="47815"/>
    <cellStyle name="40% - Accent1 2 4 7 4 3" xfId="41095"/>
    <cellStyle name="40% - Accent1 2 4 7 5" xfId="16274"/>
    <cellStyle name="40% - Accent1 2 4 7 5 2" xfId="45135"/>
    <cellStyle name="40% - Accent1 2 4 7 6" xfId="30499"/>
    <cellStyle name="40% - Accent1 2 4 8" xfId="1843"/>
    <cellStyle name="40% - Accent1 2 4 8 2" xfId="4730"/>
    <cellStyle name="40% - Accent1 2 4 8 2 2" xfId="10771"/>
    <cellStyle name="40% - Accent1 2 4 8 2 2 2" xfId="27818"/>
    <cellStyle name="40% - Accent1 2 4 8 2 2 2 2" xfId="56679"/>
    <cellStyle name="40% - Accent1 2 4 8 2 2 3" xfId="39632"/>
    <cellStyle name="40% - Accent1 2 4 8 2 3" xfId="21840"/>
    <cellStyle name="40% - Accent1 2 4 8 2 3 2" xfId="50701"/>
    <cellStyle name="40% - Accent1 2 4 8 2 4" xfId="33591"/>
    <cellStyle name="40% - Accent1 2 4 8 3" xfId="7885"/>
    <cellStyle name="40% - Accent1 2 4 8 3 2" xfId="24932"/>
    <cellStyle name="40% - Accent1 2 4 8 3 2 2" xfId="53793"/>
    <cellStyle name="40% - Accent1 2 4 8 3 3" xfId="36746"/>
    <cellStyle name="40% - Accent1 2 4 8 4" xfId="12791"/>
    <cellStyle name="40% - Accent1 2 4 8 4 2" xfId="19160"/>
    <cellStyle name="40% - Accent1 2 4 8 4 2 2" xfId="48021"/>
    <cellStyle name="40% - Accent1 2 4 8 4 3" xfId="41652"/>
    <cellStyle name="40% - Accent1 2 4 8 5" xfId="16480"/>
    <cellStyle name="40% - Accent1 2 4 8 5 2" xfId="45341"/>
    <cellStyle name="40% - Accent1 2 4 8 6" xfId="30705"/>
    <cellStyle name="40% - Accent1 2 4 9" xfId="2049"/>
    <cellStyle name="40% - Accent1 2 4 9 2" xfId="4936"/>
    <cellStyle name="40% - Accent1 2 4 9 2 2" xfId="10977"/>
    <cellStyle name="40% - Accent1 2 4 9 2 2 2" xfId="28024"/>
    <cellStyle name="40% - Accent1 2 4 9 2 2 2 2" xfId="56885"/>
    <cellStyle name="40% - Accent1 2 4 9 2 2 3" xfId="39838"/>
    <cellStyle name="40% - Accent1 2 4 9 2 3" xfId="22046"/>
    <cellStyle name="40% - Accent1 2 4 9 2 3 2" xfId="50907"/>
    <cellStyle name="40% - Accent1 2 4 9 2 4" xfId="33797"/>
    <cellStyle name="40% - Accent1 2 4 9 3" xfId="8091"/>
    <cellStyle name="40% - Accent1 2 4 9 3 2" xfId="25138"/>
    <cellStyle name="40% - Accent1 2 4 9 3 2 2" xfId="53999"/>
    <cellStyle name="40% - Accent1 2 4 9 3 3" xfId="36952"/>
    <cellStyle name="40% - Accent1 2 4 9 4" xfId="13060"/>
    <cellStyle name="40% - Accent1 2 4 9 4 2" xfId="19366"/>
    <cellStyle name="40% - Accent1 2 4 9 4 2 2" xfId="48227"/>
    <cellStyle name="40% - Accent1 2 4 9 4 3" xfId="41921"/>
    <cellStyle name="40% - Accent1 2 4 9 5" xfId="16686"/>
    <cellStyle name="40% - Accent1 2 4 9 5 2" xfId="45547"/>
    <cellStyle name="40% - Accent1 2 4 9 6" xfId="30911"/>
    <cellStyle name="40% - Accent1 2 5" xfId="195"/>
    <cellStyle name="40% - Accent1 2 5 2" xfId="607"/>
    <cellStyle name="40% - Accent1 2 5 2 2" xfId="3494"/>
    <cellStyle name="40% - Accent1 2 5 2 2 2" xfId="9535"/>
    <cellStyle name="40% - Accent1 2 5 2 2 2 2" xfId="26582"/>
    <cellStyle name="40% - Accent1 2 5 2 2 2 2 2" xfId="55443"/>
    <cellStyle name="40% - Accent1 2 5 2 2 2 3" xfId="38396"/>
    <cellStyle name="40% - Accent1 2 5 2 2 3" xfId="20604"/>
    <cellStyle name="40% - Accent1 2 5 2 2 3 2" xfId="49465"/>
    <cellStyle name="40% - Accent1 2 5 2 2 4" xfId="32355"/>
    <cellStyle name="40% - Accent1 2 5 2 3" xfId="6649"/>
    <cellStyle name="40% - Accent1 2 5 2 3 2" xfId="23696"/>
    <cellStyle name="40% - Accent1 2 5 2 3 2 2" xfId="52557"/>
    <cellStyle name="40% - Accent1 2 5 2 3 3" xfId="35510"/>
    <cellStyle name="40% - Accent1 2 5 2 4" xfId="13764"/>
    <cellStyle name="40% - Accent1 2 5 2 4 2" xfId="17924"/>
    <cellStyle name="40% - Accent1 2 5 2 4 2 2" xfId="46785"/>
    <cellStyle name="40% - Accent1 2 5 2 4 3" xfId="42625"/>
    <cellStyle name="40% - Accent1 2 5 2 5" xfId="15244"/>
    <cellStyle name="40% - Accent1 2 5 2 5 2" xfId="44105"/>
    <cellStyle name="40% - Accent1 2 5 2 6" xfId="29469"/>
    <cellStyle name="40% - Accent1 2 5 3" xfId="2152"/>
    <cellStyle name="40% - Accent1 2 5 3 2" xfId="5039"/>
    <cellStyle name="40% - Accent1 2 5 3 2 2" xfId="11080"/>
    <cellStyle name="40% - Accent1 2 5 3 2 2 2" xfId="28127"/>
    <cellStyle name="40% - Accent1 2 5 3 2 2 2 2" xfId="56988"/>
    <cellStyle name="40% - Accent1 2 5 3 2 2 3" xfId="39941"/>
    <cellStyle name="40% - Accent1 2 5 3 2 3" xfId="22149"/>
    <cellStyle name="40% - Accent1 2 5 3 2 3 2" xfId="51010"/>
    <cellStyle name="40% - Accent1 2 5 3 2 4" xfId="33900"/>
    <cellStyle name="40% - Accent1 2 5 3 3" xfId="8194"/>
    <cellStyle name="40% - Accent1 2 5 3 3 2" xfId="25241"/>
    <cellStyle name="40% - Accent1 2 5 3 3 2 2" xfId="54102"/>
    <cellStyle name="40% - Accent1 2 5 3 3 3" xfId="37055"/>
    <cellStyle name="40% - Accent1 2 5 3 4" xfId="11917"/>
    <cellStyle name="40% - Accent1 2 5 3 4 2" xfId="19469"/>
    <cellStyle name="40% - Accent1 2 5 3 4 2 2" xfId="48330"/>
    <cellStyle name="40% - Accent1 2 5 3 4 3" xfId="40778"/>
    <cellStyle name="40% - Accent1 2 5 3 5" xfId="16789"/>
    <cellStyle name="40% - Accent1 2 5 3 5 2" xfId="45650"/>
    <cellStyle name="40% - Accent1 2 5 3 6" xfId="31014"/>
    <cellStyle name="40% - Accent1 2 5 4" xfId="3082"/>
    <cellStyle name="40% - Accent1 2 5 4 2" xfId="9123"/>
    <cellStyle name="40% - Accent1 2 5 4 2 2" xfId="26170"/>
    <cellStyle name="40% - Accent1 2 5 4 2 2 2" xfId="55031"/>
    <cellStyle name="40% - Accent1 2 5 4 2 3" xfId="37984"/>
    <cellStyle name="40% - Accent1 2 5 4 3" xfId="20192"/>
    <cellStyle name="40% - Accent1 2 5 4 3 2" xfId="49053"/>
    <cellStyle name="40% - Accent1 2 5 4 4" xfId="31943"/>
    <cellStyle name="40% - Accent1 2 5 5" xfId="6237"/>
    <cellStyle name="40% - Accent1 2 5 5 2" xfId="23284"/>
    <cellStyle name="40% - Accent1 2 5 5 2 2" xfId="52145"/>
    <cellStyle name="40% - Accent1 2 5 5 3" xfId="35098"/>
    <cellStyle name="40% - Accent1 2 5 6" xfId="14146"/>
    <cellStyle name="40% - Accent1 2 5 6 2" xfId="17615"/>
    <cellStyle name="40% - Accent1 2 5 6 2 2" xfId="46476"/>
    <cellStyle name="40% - Accent1 2 5 6 3" xfId="43007"/>
    <cellStyle name="40% - Accent1 2 5 7" xfId="14832"/>
    <cellStyle name="40% - Accent1 2 5 7 2" xfId="43693"/>
    <cellStyle name="40% - Accent1 2 5 8" xfId="29057"/>
    <cellStyle name="40% - Accent1 2 6" xfId="401"/>
    <cellStyle name="40% - Accent1 2 6 2" xfId="3288"/>
    <cellStyle name="40% - Accent1 2 6 2 2" xfId="9329"/>
    <cellStyle name="40% - Accent1 2 6 2 2 2" xfId="26376"/>
    <cellStyle name="40% - Accent1 2 6 2 2 2 2" xfId="55237"/>
    <cellStyle name="40% - Accent1 2 6 2 2 3" xfId="38190"/>
    <cellStyle name="40% - Accent1 2 6 2 3" xfId="20398"/>
    <cellStyle name="40% - Accent1 2 6 2 3 2" xfId="49259"/>
    <cellStyle name="40% - Accent1 2 6 2 4" xfId="32149"/>
    <cellStyle name="40% - Accent1 2 6 3" xfId="6443"/>
    <cellStyle name="40% - Accent1 2 6 3 2" xfId="23490"/>
    <cellStyle name="40% - Accent1 2 6 3 2 2" xfId="52351"/>
    <cellStyle name="40% - Accent1 2 6 3 3" xfId="35304"/>
    <cellStyle name="40% - Accent1 2 6 4" xfId="12542"/>
    <cellStyle name="40% - Accent1 2 6 4 2" xfId="17718"/>
    <cellStyle name="40% - Accent1 2 6 4 2 2" xfId="46579"/>
    <cellStyle name="40% - Accent1 2 6 4 3" xfId="41403"/>
    <cellStyle name="40% - Accent1 2 6 5" xfId="15038"/>
    <cellStyle name="40% - Accent1 2 6 5 2" xfId="43899"/>
    <cellStyle name="40% - Accent1 2 6 6" xfId="29263"/>
    <cellStyle name="40% - Accent1 2 7" xfId="710"/>
    <cellStyle name="40% - Accent1 2 7 2" xfId="3597"/>
    <cellStyle name="40% - Accent1 2 7 2 2" xfId="9638"/>
    <cellStyle name="40% - Accent1 2 7 2 2 2" xfId="26685"/>
    <cellStyle name="40% - Accent1 2 7 2 2 2 2" xfId="55546"/>
    <cellStyle name="40% - Accent1 2 7 2 2 3" xfId="38499"/>
    <cellStyle name="40% - Accent1 2 7 2 3" xfId="20707"/>
    <cellStyle name="40% - Accent1 2 7 2 3 2" xfId="49568"/>
    <cellStyle name="40% - Accent1 2 7 2 4" xfId="32458"/>
    <cellStyle name="40% - Accent1 2 7 3" xfId="6752"/>
    <cellStyle name="40% - Accent1 2 7 3 2" xfId="23799"/>
    <cellStyle name="40% - Accent1 2 7 3 2 2" xfId="52660"/>
    <cellStyle name="40% - Accent1 2 7 3 3" xfId="35613"/>
    <cellStyle name="40% - Accent1 2 7 4" xfId="14134"/>
    <cellStyle name="40% - Accent1 2 7 4 2" xfId="18027"/>
    <cellStyle name="40% - Accent1 2 7 4 2 2" xfId="46888"/>
    <cellStyle name="40% - Accent1 2 7 4 3" xfId="42995"/>
    <cellStyle name="40% - Accent1 2 7 5" xfId="15347"/>
    <cellStyle name="40% - Accent1 2 7 5 2" xfId="44208"/>
    <cellStyle name="40% - Accent1 2 7 6" xfId="29572"/>
    <cellStyle name="40% - Accent1 2 8" xfId="916"/>
    <cellStyle name="40% - Accent1 2 8 2" xfId="3803"/>
    <cellStyle name="40% - Accent1 2 8 2 2" xfId="9844"/>
    <cellStyle name="40% - Accent1 2 8 2 2 2" xfId="26891"/>
    <cellStyle name="40% - Accent1 2 8 2 2 2 2" xfId="55752"/>
    <cellStyle name="40% - Accent1 2 8 2 2 3" xfId="38705"/>
    <cellStyle name="40% - Accent1 2 8 2 3" xfId="20913"/>
    <cellStyle name="40% - Accent1 2 8 2 3 2" xfId="49774"/>
    <cellStyle name="40% - Accent1 2 8 2 4" xfId="32664"/>
    <cellStyle name="40% - Accent1 2 8 3" xfId="6958"/>
    <cellStyle name="40% - Accent1 2 8 3 2" xfId="24005"/>
    <cellStyle name="40% - Accent1 2 8 3 2 2" xfId="52866"/>
    <cellStyle name="40% - Accent1 2 8 3 3" xfId="35819"/>
    <cellStyle name="40% - Accent1 2 8 4" xfId="13640"/>
    <cellStyle name="40% - Accent1 2 8 4 2" xfId="18233"/>
    <cellStyle name="40% - Accent1 2 8 4 2 2" xfId="47094"/>
    <cellStyle name="40% - Accent1 2 8 4 3" xfId="42501"/>
    <cellStyle name="40% - Accent1 2 8 5" xfId="15553"/>
    <cellStyle name="40% - Accent1 2 8 5 2" xfId="44414"/>
    <cellStyle name="40% - Accent1 2 8 6" xfId="29778"/>
    <cellStyle name="40% - Accent1 2 9" xfId="1122"/>
    <cellStyle name="40% - Accent1 2 9 2" xfId="4009"/>
    <cellStyle name="40% - Accent1 2 9 2 2" xfId="10050"/>
    <cellStyle name="40% - Accent1 2 9 2 2 2" xfId="27097"/>
    <cellStyle name="40% - Accent1 2 9 2 2 2 2" xfId="55958"/>
    <cellStyle name="40% - Accent1 2 9 2 2 3" xfId="38911"/>
    <cellStyle name="40% - Accent1 2 9 2 3" xfId="21119"/>
    <cellStyle name="40% - Accent1 2 9 2 3 2" xfId="49980"/>
    <cellStyle name="40% - Accent1 2 9 2 4" xfId="32870"/>
    <cellStyle name="40% - Accent1 2 9 3" xfId="7164"/>
    <cellStyle name="40% - Accent1 2 9 3 2" xfId="24211"/>
    <cellStyle name="40% - Accent1 2 9 3 2 2" xfId="53072"/>
    <cellStyle name="40% - Accent1 2 9 3 3" xfId="36025"/>
    <cellStyle name="40% - Accent1 2 9 4" xfId="12529"/>
    <cellStyle name="40% - Accent1 2 9 4 2" xfId="18439"/>
    <cellStyle name="40% - Accent1 2 9 4 2 2" xfId="47300"/>
    <cellStyle name="40% - Accent1 2 9 4 3" xfId="41390"/>
    <cellStyle name="40% - Accent1 2 9 5" xfId="15759"/>
    <cellStyle name="40% - Accent1 2 9 5 2" xfId="44620"/>
    <cellStyle name="40% - Accent1 2 9 6" xfId="29984"/>
    <cellStyle name="40% - Accent1 20" xfId="5860"/>
    <cellStyle name="40% - Accent1 20 2" xfId="22961"/>
    <cellStyle name="40% - Accent1 20 2 2" xfId="51822"/>
    <cellStyle name="40% - Accent1 20 3" xfId="34721"/>
    <cellStyle name="40% - Accent1 21" xfId="6120"/>
    <cellStyle name="40% - Accent1 21 2" xfId="23167"/>
    <cellStyle name="40% - Accent1 21 2 2" xfId="52028"/>
    <cellStyle name="40% - Accent1 21 3" xfId="34981"/>
    <cellStyle name="40% - Accent1 22" xfId="14509"/>
    <cellStyle name="40% - Accent1 22 2" xfId="43370"/>
    <cellStyle name="40% - Accent1 23" xfId="28940"/>
    <cellStyle name="40% - Accent1 3" xfId="105"/>
    <cellStyle name="40% - Accent1 3 10" xfId="1753"/>
    <cellStyle name="40% - Accent1 3 10 2" xfId="4640"/>
    <cellStyle name="40% - Accent1 3 10 2 2" xfId="10681"/>
    <cellStyle name="40% - Accent1 3 10 2 2 2" xfId="27728"/>
    <cellStyle name="40% - Accent1 3 10 2 2 2 2" xfId="56589"/>
    <cellStyle name="40% - Accent1 3 10 2 2 3" xfId="39542"/>
    <cellStyle name="40% - Accent1 3 10 2 3" xfId="21750"/>
    <cellStyle name="40% - Accent1 3 10 2 3 2" xfId="50611"/>
    <cellStyle name="40% - Accent1 3 10 2 4" xfId="33501"/>
    <cellStyle name="40% - Accent1 3 10 3" xfId="7795"/>
    <cellStyle name="40% - Accent1 3 10 3 2" xfId="24842"/>
    <cellStyle name="40% - Accent1 3 10 3 2 2" xfId="53703"/>
    <cellStyle name="40% - Accent1 3 10 3 3" xfId="36656"/>
    <cellStyle name="40% - Accent1 3 10 4" xfId="13939"/>
    <cellStyle name="40% - Accent1 3 10 4 2" xfId="19070"/>
    <cellStyle name="40% - Accent1 3 10 4 2 2" xfId="47931"/>
    <cellStyle name="40% - Accent1 3 10 4 3" xfId="42800"/>
    <cellStyle name="40% - Accent1 3 10 5" xfId="16390"/>
    <cellStyle name="40% - Accent1 3 10 5 2" xfId="45251"/>
    <cellStyle name="40% - Accent1 3 10 6" xfId="30615"/>
    <cellStyle name="40% - Accent1 3 11" xfId="1959"/>
    <cellStyle name="40% - Accent1 3 11 2" xfId="4846"/>
    <cellStyle name="40% - Accent1 3 11 2 2" xfId="10887"/>
    <cellStyle name="40% - Accent1 3 11 2 2 2" xfId="27934"/>
    <cellStyle name="40% - Accent1 3 11 2 2 2 2" xfId="56795"/>
    <cellStyle name="40% - Accent1 3 11 2 2 3" xfId="39748"/>
    <cellStyle name="40% - Accent1 3 11 2 3" xfId="21956"/>
    <cellStyle name="40% - Accent1 3 11 2 3 2" xfId="50817"/>
    <cellStyle name="40% - Accent1 3 11 2 4" xfId="33707"/>
    <cellStyle name="40% - Accent1 3 11 3" xfId="8001"/>
    <cellStyle name="40% - Accent1 3 11 3 2" xfId="25048"/>
    <cellStyle name="40% - Accent1 3 11 3 2 2" xfId="53909"/>
    <cellStyle name="40% - Accent1 3 11 3 3" xfId="36862"/>
    <cellStyle name="40% - Accent1 3 11 4" xfId="12166"/>
    <cellStyle name="40% - Accent1 3 11 4 2" xfId="19276"/>
    <cellStyle name="40% - Accent1 3 11 4 2 2" xfId="48137"/>
    <cellStyle name="40% - Accent1 3 11 4 3" xfId="41027"/>
    <cellStyle name="40% - Accent1 3 11 5" xfId="16596"/>
    <cellStyle name="40% - Accent1 3 11 5 2" xfId="45457"/>
    <cellStyle name="40% - Accent1 3 11 6" xfId="30821"/>
    <cellStyle name="40% - Accent1 3 12" xfId="2371"/>
    <cellStyle name="40% - Accent1 3 12 2" xfId="5258"/>
    <cellStyle name="40% - Accent1 3 12 2 2" xfId="11299"/>
    <cellStyle name="40% - Accent1 3 12 2 2 2" xfId="28346"/>
    <cellStyle name="40% - Accent1 3 12 2 2 2 2" xfId="57207"/>
    <cellStyle name="40% - Accent1 3 12 2 2 3" xfId="40160"/>
    <cellStyle name="40% - Accent1 3 12 2 3" xfId="22368"/>
    <cellStyle name="40% - Accent1 3 12 2 3 2" xfId="51229"/>
    <cellStyle name="40% - Accent1 3 12 2 4" xfId="34119"/>
    <cellStyle name="40% - Accent1 3 12 3" xfId="8413"/>
    <cellStyle name="40% - Accent1 3 12 3 2" xfId="25460"/>
    <cellStyle name="40% - Accent1 3 12 3 2 2" xfId="54321"/>
    <cellStyle name="40% - Accent1 3 12 3 3" xfId="37274"/>
    <cellStyle name="40% - Accent1 3 12 4" xfId="12510"/>
    <cellStyle name="40% - Accent1 3 12 4 2" xfId="19688"/>
    <cellStyle name="40% - Accent1 3 12 4 2 2" xfId="48549"/>
    <cellStyle name="40% - Accent1 3 12 4 3" xfId="41371"/>
    <cellStyle name="40% - Accent1 3 12 5" xfId="17008"/>
    <cellStyle name="40% - Accent1 3 12 5 2" xfId="45869"/>
    <cellStyle name="40% - Accent1 3 12 6" xfId="31233"/>
    <cellStyle name="40% - Accent1 3 13" xfId="2580"/>
    <cellStyle name="40% - Accent1 3 13 2" xfId="5466"/>
    <cellStyle name="40% - Accent1 3 13 2 2" xfId="11507"/>
    <cellStyle name="40% - Accent1 3 13 2 2 2" xfId="28554"/>
    <cellStyle name="40% - Accent1 3 13 2 2 2 2" xfId="57415"/>
    <cellStyle name="40% - Accent1 3 13 2 2 3" xfId="40368"/>
    <cellStyle name="40% - Accent1 3 13 2 3" xfId="22576"/>
    <cellStyle name="40% - Accent1 3 13 2 3 2" xfId="51437"/>
    <cellStyle name="40% - Accent1 3 13 2 4" xfId="34327"/>
    <cellStyle name="40% - Accent1 3 13 3" xfId="8621"/>
    <cellStyle name="40% - Accent1 3 13 3 2" xfId="25668"/>
    <cellStyle name="40% - Accent1 3 13 3 2 2" xfId="54529"/>
    <cellStyle name="40% - Accent1 3 13 3 3" xfId="37482"/>
    <cellStyle name="40% - Accent1 3 13 4" xfId="14368"/>
    <cellStyle name="40% - Accent1 3 13 4 2" xfId="19896"/>
    <cellStyle name="40% - Accent1 3 13 4 2 2" xfId="48757"/>
    <cellStyle name="40% - Accent1 3 13 4 3" xfId="43229"/>
    <cellStyle name="40% - Accent1 3 13 5" xfId="17216"/>
    <cellStyle name="40% - Accent1 3 13 5 2" xfId="46077"/>
    <cellStyle name="40% - Accent1 3 13 6" xfId="31441"/>
    <cellStyle name="40% - Accent1 3 14" xfId="2992"/>
    <cellStyle name="40% - Accent1 3 14 2" xfId="9033"/>
    <cellStyle name="40% - Accent1 3 14 2 2" xfId="26080"/>
    <cellStyle name="40% - Accent1 3 14 2 2 2" xfId="54941"/>
    <cellStyle name="40% - Accent1 3 14 2 3" xfId="37894"/>
    <cellStyle name="40% - Accent1 3 14 3" xfId="12493"/>
    <cellStyle name="40% - Accent1 3 14 3 2" xfId="20102"/>
    <cellStyle name="40% - Accent1 3 14 3 2 2" xfId="48963"/>
    <cellStyle name="40% - Accent1 3 14 3 3" xfId="41354"/>
    <cellStyle name="40% - Accent1 3 14 4" xfId="14742"/>
    <cellStyle name="40% - Accent1 3 14 4 2" xfId="43603"/>
    <cellStyle name="40% - Accent1 3 14 5" xfId="31853"/>
    <cellStyle name="40% - Accent1 3 15" xfId="2786"/>
    <cellStyle name="40% - Accent1 3 15 2" xfId="8827"/>
    <cellStyle name="40% - Accent1 3 15 2 2" xfId="25874"/>
    <cellStyle name="40% - Accent1 3 15 2 2 2" xfId="54735"/>
    <cellStyle name="40% - Accent1 3 15 2 3" xfId="37688"/>
    <cellStyle name="40% - Accent1 3 15 3" xfId="17422"/>
    <cellStyle name="40% - Accent1 3 15 3 2" xfId="46283"/>
    <cellStyle name="40% - Accent1 3 15 4" xfId="31647"/>
    <cellStyle name="40% - Accent1 3 16" xfId="5672"/>
    <cellStyle name="40% - Accent1 3 16 2" xfId="11713"/>
    <cellStyle name="40% - Accent1 3 16 2 2" xfId="28760"/>
    <cellStyle name="40% - Accent1 3 16 2 2 2" xfId="57621"/>
    <cellStyle name="40% - Accent1 3 16 2 3" xfId="40574"/>
    <cellStyle name="40% - Accent1 3 16 3" xfId="22782"/>
    <cellStyle name="40% - Accent1 3 16 3 2" xfId="51643"/>
    <cellStyle name="40% - Accent1 3 16 4" xfId="34533"/>
    <cellStyle name="40% - Accent1 3 17" xfId="5889"/>
    <cellStyle name="40% - Accent1 3 17 2" xfId="22988"/>
    <cellStyle name="40% - Accent1 3 17 2 2" xfId="51849"/>
    <cellStyle name="40% - Accent1 3 17 3" xfId="34750"/>
    <cellStyle name="40% - Accent1 3 18" xfId="6147"/>
    <cellStyle name="40% - Accent1 3 18 2" xfId="23194"/>
    <cellStyle name="40% - Accent1 3 18 2 2" xfId="52055"/>
    <cellStyle name="40% - Accent1 3 18 3" xfId="35008"/>
    <cellStyle name="40% - Accent1 3 19" xfId="14536"/>
    <cellStyle name="40% - Accent1 3 19 2" xfId="43397"/>
    <cellStyle name="40% - Accent1 3 2" xfId="311"/>
    <cellStyle name="40% - Accent1 3 2 10" xfId="2474"/>
    <cellStyle name="40% - Accent1 3 2 10 2" xfId="5361"/>
    <cellStyle name="40% - Accent1 3 2 10 2 2" xfId="11402"/>
    <cellStyle name="40% - Accent1 3 2 10 2 2 2" xfId="28449"/>
    <cellStyle name="40% - Accent1 3 2 10 2 2 2 2" xfId="57310"/>
    <cellStyle name="40% - Accent1 3 2 10 2 2 3" xfId="40263"/>
    <cellStyle name="40% - Accent1 3 2 10 2 3" xfId="22471"/>
    <cellStyle name="40% - Accent1 3 2 10 2 3 2" xfId="51332"/>
    <cellStyle name="40% - Accent1 3 2 10 2 4" xfId="34222"/>
    <cellStyle name="40% - Accent1 3 2 10 3" xfId="8516"/>
    <cellStyle name="40% - Accent1 3 2 10 3 2" xfId="25563"/>
    <cellStyle name="40% - Accent1 3 2 10 3 2 2" xfId="54424"/>
    <cellStyle name="40% - Accent1 3 2 10 3 3" xfId="37377"/>
    <cellStyle name="40% - Accent1 3 2 10 4" xfId="13202"/>
    <cellStyle name="40% - Accent1 3 2 10 4 2" xfId="19791"/>
    <cellStyle name="40% - Accent1 3 2 10 4 2 2" xfId="48652"/>
    <cellStyle name="40% - Accent1 3 2 10 4 3" xfId="42063"/>
    <cellStyle name="40% - Accent1 3 2 10 5" xfId="17111"/>
    <cellStyle name="40% - Accent1 3 2 10 5 2" xfId="45972"/>
    <cellStyle name="40% - Accent1 3 2 10 6" xfId="31336"/>
    <cellStyle name="40% - Accent1 3 2 11" xfId="2683"/>
    <cellStyle name="40% - Accent1 3 2 11 2" xfId="5569"/>
    <cellStyle name="40% - Accent1 3 2 11 2 2" xfId="11610"/>
    <cellStyle name="40% - Accent1 3 2 11 2 2 2" xfId="28657"/>
    <cellStyle name="40% - Accent1 3 2 11 2 2 2 2" xfId="57518"/>
    <cellStyle name="40% - Accent1 3 2 11 2 2 3" xfId="40471"/>
    <cellStyle name="40% - Accent1 3 2 11 2 3" xfId="22679"/>
    <cellStyle name="40% - Accent1 3 2 11 2 3 2" xfId="51540"/>
    <cellStyle name="40% - Accent1 3 2 11 2 4" xfId="34430"/>
    <cellStyle name="40% - Accent1 3 2 11 3" xfId="8724"/>
    <cellStyle name="40% - Accent1 3 2 11 3 2" xfId="25771"/>
    <cellStyle name="40% - Accent1 3 2 11 3 2 2" xfId="54632"/>
    <cellStyle name="40% - Accent1 3 2 11 3 3" xfId="37585"/>
    <cellStyle name="40% - Accent1 3 2 11 4" xfId="14191"/>
    <cellStyle name="40% - Accent1 3 2 11 4 2" xfId="19999"/>
    <cellStyle name="40% - Accent1 3 2 11 4 2 2" xfId="48860"/>
    <cellStyle name="40% - Accent1 3 2 11 4 3" xfId="43052"/>
    <cellStyle name="40% - Accent1 3 2 11 5" xfId="17319"/>
    <cellStyle name="40% - Accent1 3 2 11 5 2" xfId="46180"/>
    <cellStyle name="40% - Accent1 3 2 11 6" xfId="31544"/>
    <cellStyle name="40% - Accent1 3 2 12" xfId="3198"/>
    <cellStyle name="40% - Accent1 3 2 12 2" xfId="9239"/>
    <cellStyle name="40% - Accent1 3 2 12 2 2" xfId="26286"/>
    <cellStyle name="40% - Accent1 3 2 12 2 2 2" xfId="55147"/>
    <cellStyle name="40% - Accent1 3 2 12 2 3" xfId="38100"/>
    <cellStyle name="40% - Accent1 3 2 12 3" xfId="13467"/>
    <cellStyle name="40% - Accent1 3 2 12 3 2" xfId="20308"/>
    <cellStyle name="40% - Accent1 3 2 12 3 2 2" xfId="49169"/>
    <cellStyle name="40% - Accent1 3 2 12 3 3" xfId="42328"/>
    <cellStyle name="40% - Accent1 3 2 12 4" xfId="14948"/>
    <cellStyle name="40% - Accent1 3 2 12 4 2" xfId="43809"/>
    <cellStyle name="40% - Accent1 3 2 12 5" xfId="32059"/>
    <cellStyle name="40% - Accent1 3 2 13" xfId="2889"/>
    <cellStyle name="40% - Accent1 3 2 13 2" xfId="8930"/>
    <cellStyle name="40% - Accent1 3 2 13 2 2" xfId="25977"/>
    <cellStyle name="40% - Accent1 3 2 13 2 2 2" xfId="54838"/>
    <cellStyle name="40% - Accent1 3 2 13 2 3" xfId="37791"/>
    <cellStyle name="40% - Accent1 3 2 13 3" xfId="17525"/>
    <cellStyle name="40% - Accent1 3 2 13 3 2" xfId="46386"/>
    <cellStyle name="40% - Accent1 3 2 13 4" xfId="31750"/>
    <cellStyle name="40% - Accent1 3 2 14" xfId="5775"/>
    <cellStyle name="40% - Accent1 3 2 14 2" xfId="11816"/>
    <cellStyle name="40% - Accent1 3 2 14 2 2" xfId="28863"/>
    <cellStyle name="40% - Accent1 3 2 14 2 2 2" xfId="57724"/>
    <cellStyle name="40% - Accent1 3 2 14 2 3" xfId="40677"/>
    <cellStyle name="40% - Accent1 3 2 14 3" xfId="22885"/>
    <cellStyle name="40% - Accent1 3 2 14 3 2" xfId="51746"/>
    <cellStyle name="40% - Accent1 3 2 14 4" xfId="34636"/>
    <cellStyle name="40% - Accent1 3 2 15" xfId="5992"/>
    <cellStyle name="40% - Accent1 3 2 15 2" xfId="23091"/>
    <cellStyle name="40% - Accent1 3 2 15 2 2" xfId="51952"/>
    <cellStyle name="40% - Accent1 3 2 15 3" xfId="34853"/>
    <cellStyle name="40% - Accent1 3 2 16" xfId="6353"/>
    <cellStyle name="40% - Accent1 3 2 16 2" xfId="23400"/>
    <cellStyle name="40% - Accent1 3 2 16 2 2" xfId="52261"/>
    <cellStyle name="40% - Accent1 3 2 16 3" xfId="35214"/>
    <cellStyle name="40% - Accent1 3 2 17" xfId="14639"/>
    <cellStyle name="40% - Accent1 3 2 17 2" xfId="43500"/>
    <cellStyle name="40% - Accent1 3 2 18" xfId="29173"/>
    <cellStyle name="40% - Accent1 3 2 2" xfId="517"/>
    <cellStyle name="40% - Accent1 3 2 2 2" xfId="2268"/>
    <cellStyle name="40% - Accent1 3 2 2 2 2" xfId="5155"/>
    <cellStyle name="40% - Accent1 3 2 2 2 2 2" xfId="11196"/>
    <cellStyle name="40% - Accent1 3 2 2 2 2 2 2" xfId="28243"/>
    <cellStyle name="40% - Accent1 3 2 2 2 2 2 2 2" xfId="57104"/>
    <cellStyle name="40% - Accent1 3 2 2 2 2 2 3" xfId="40057"/>
    <cellStyle name="40% - Accent1 3 2 2 2 2 3" xfId="22265"/>
    <cellStyle name="40% - Accent1 3 2 2 2 2 3 2" xfId="51126"/>
    <cellStyle name="40% - Accent1 3 2 2 2 2 4" xfId="34016"/>
    <cellStyle name="40% - Accent1 3 2 2 2 3" xfId="8310"/>
    <cellStyle name="40% - Accent1 3 2 2 2 3 2" xfId="25357"/>
    <cellStyle name="40% - Accent1 3 2 2 2 3 2 2" xfId="54218"/>
    <cellStyle name="40% - Accent1 3 2 2 2 3 3" xfId="37171"/>
    <cellStyle name="40% - Accent1 3 2 2 2 4" xfId="14463"/>
    <cellStyle name="40% - Accent1 3 2 2 2 4 2" xfId="19585"/>
    <cellStyle name="40% - Accent1 3 2 2 2 4 2 2" xfId="48446"/>
    <cellStyle name="40% - Accent1 3 2 2 2 4 3" xfId="43324"/>
    <cellStyle name="40% - Accent1 3 2 2 2 5" xfId="16905"/>
    <cellStyle name="40% - Accent1 3 2 2 2 5 2" xfId="45766"/>
    <cellStyle name="40% - Accent1 3 2 2 2 6" xfId="31130"/>
    <cellStyle name="40% - Accent1 3 2 2 3" xfId="3404"/>
    <cellStyle name="40% - Accent1 3 2 2 3 2" xfId="9445"/>
    <cellStyle name="40% - Accent1 3 2 2 3 2 2" xfId="26492"/>
    <cellStyle name="40% - Accent1 3 2 2 3 2 2 2" xfId="55353"/>
    <cellStyle name="40% - Accent1 3 2 2 3 2 3" xfId="38306"/>
    <cellStyle name="40% - Accent1 3 2 2 3 3" xfId="20514"/>
    <cellStyle name="40% - Accent1 3 2 2 3 3 2" xfId="49375"/>
    <cellStyle name="40% - Accent1 3 2 2 3 4" xfId="32265"/>
    <cellStyle name="40% - Accent1 3 2 2 4" xfId="6559"/>
    <cellStyle name="40% - Accent1 3 2 2 4 2" xfId="23606"/>
    <cellStyle name="40% - Accent1 3 2 2 4 2 2" xfId="52467"/>
    <cellStyle name="40% - Accent1 3 2 2 4 3" xfId="35420"/>
    <cellStyle name="40% - Accent1 3 2 2 5" xfId="12090"/>
    <cellStyle name="40% - Accent1 3 2 2 5 2" xfId="17834"/>
    <cellStyle name="40% - Accent1 3 2 2 5 2 2" xfId="46695"/>
    <cellStyle name="40% - Accent1 3 2 2 5 3" xfId="40951"/>
    <cellStyle name="40% - Accent1 3 2 2 6" xfId="15154"/>
    <cellStyle name="40% - Accent1 3 2 2 6 2" xfId="44015"/>
    <cellStyle name="40% - Accent1 3 2 2 7" xfId="29379"/>
    <cellStyle name="40% - Accent1 3 2 3" xfId="826"/>
    <cellStyle name="40% - Accent1 3 2 3 2" xfId="3713"/>
    <cellStyle name="40% - Accent1 3 2 3 2 2" xfId="9754"/>
    <cellStyle name="40% - Accent1 3 2 3 2 2 2" xfId="26801"/>
    <cellStyle name="40% - Accent1 3 2 3 2 2 2 2" xfId="55662"/>
    <cellStyle name="40% - Accent1 3 2 3 2 2 3" xfId="38615"/>
    <cellStyle name="40% - Accent1 3 2 3 2 3" xfId="20823"/>
    <cellStyle name="40% - Accent1 3 2 3 2 3 2" xfId="49684"/>
    <cellStyle name="40% - Accent1 3 2 3 2 4" xfId="32574"/>
    <cellStyle name="40% - Accent1 3 2 3 3" xfId="6868"/>
    <cellStyle name="40% - Accent1 3 2 3 3 2" xfId="23915"/>
    <cellStyle name="40% - Accent1 3 2 3 3 2 2" xfId="52776"/>
    <cellStyle name="40% - Accent1 3 2 3 3 3" xfId="35729"/>
    <cellStyle name="40% - Accent1 3 2 3 4" xfId="12686"/>
    <cellStyle name="40% - Accent1 3 2 3 4 2" xfId="18143"/>
    <cellStyle name="40% - Accent1 3 2 3 4 2 2" xfId="47004"/>
    <cellStyle name="40% - Accent1 3 2 3 4 3" xfId="41547"/>
    <cellStyle name="40% - Accent1 3 2 3 5" xfId="15463"/>
    <cellStyle name="40% - Accent1 3 2 3 5 2" xfId="44324"/>
    <cellStyle name="40% - Accent1 3 2 3 6" xfId="29688"/>
    <cellStyle name="40% - Accent1 3 2 4" xfId="1032"/>
    <cellStyle name="40% - Accent1 3 2 4 2" xfId="3919"/>
    <cellStyle name="40% - Accent1 3 2 4 2 2" xfId="9960"/>
    <cellStyle name="40% - Accent1 3 2 4 2 2 2" xfId="27007"/>
    <cellStyle name="40% - Accent1 3 2 4 2 2 2 2" xfId="55868"/>
    <cellStyle name="40% - Accent1 3 2 4 2 2 3" xfId="38821"/>
    <cellStyle name="40% - Accent1 3 2 4 2 3" xfId="21029"/>
    <cellStyle name="40% - Accent1 3 2 4 2 3 2" xfId="49890"/>
    <cellStyle name="40% - Accent1 3 2 4 2 4" xfId="32780"/>
    <cellStyle name="40% - Accent1 3 2 4 3" xfId="7074"/>
    <cellStyle name="40% - Accent1 3 2 4 3 2" xfId="24121"/>
    <cellStyle name="40% - Accent1 3 2 4 3 2 2" xfId="52982"/>
    <cellStyle name="40% - Accent1 3 2 4 3 3" xfId="35935"/>
    <cellStyle name="40% - Accent1 3 2 4 4" xfId="14480"/>
    <cellStyle name="40% - Accent1 3 2 4 4 2" xfId="18349"/>
    <cellStyle name="40% - Accent1 3 2 4 4 2 2" xfId="47210"/>
    <cellStyle name="40% - Accent1 3 2 4 4 3" xfId="43341"/>
    <cellStyle name="40% - Accent1 3 2 4 5" xfId="15669"/>
    <cellStyle name="40% - Accent1 3 2 4 5 2" xfId="44530"/>
    <cellStyle name="40% - Accent1 3 2 4 6" xfId="29894"/>
    <cellStyle name="40% - Accent1 3 2 5" xfId="1238"/>
    <cellStyle name="40% - Accent1 3 2 5 2" xfId="4125"/>
    <cellStyle name="40% - Accent1 3 2 5 2 2" xfId="10166"/>
    <cellStyle name="40% - Accent1 3 2 5 2 2 2" xfId="27213"/>
    <cellStyle name="40% - Accent1 3 2 5 2 2 2 2" xfId="56074"/>
    <cellStyle name="40% - Accent1 3 2 5 2 2 3" xfId="39027"/>
    <cellStyle name="40% - Accent1 3 2 5 2 3" xfId="21235"/>
    <cellStyle name="40% - Accent1 3 2 5 2 3 2" xfId="50096"/>
    <cellStyle name="40% - Accent1 3 2 5 2 4" xfId="32986"/>
    <cellStyle name="40% - Accent1 3 2 5 3" xfId="7280"/>
    <cellStyle name="40% - Accent1 3 2 5 3 2" xfId="24327"/>
    <cellStyle name="40% - Accent1 3 2 5 3 2 2" xfId="53188"/>
    <cellStyle name="40% - Accent1 3 2 5 3 3" xfId="36141"/>
    <cellStyle name="40% - Accent1 3 2 5 4" xfId="6056"/>
    <cellStyle name="40% - Accent1 3 2 5 4 2" xfId="18555"/>
    <cellStyle name="40% - Accent1 3 2 5 4 2 2" xfId="47416"/>
    <cellStyle name="40% - Accent1 3 2 5 4 3" xfId="34917"/>
    <cellStyle name="40% - Accent1 3 2 5 5" xfId="15875"/>
    <cellStyle name="40% - Accent1 3 2 5 5 2" xfId="44736"/>
    <cellStyle name="40% - Accent1 3 2 5 6" xfId="30100"/>
    <cellStyle name="40% - Accent1 3 2 6" xfId="1444"/>
    <cellStyle name="40% - Accent1 3 2 6 2" xfId="4331"/>
    <cellStyle name="40% - Accent1 3 2 6 2 2" xfId="10372"/>
    <cellStyle name="40% - Accent1 3 2 6 2 2 2" xfId="27419"/>
    <cellStyle name="40% - Accent1 3 2 6 2 2 2 2" xfId="56280"/>
    <cellStyle name="40% - Accent1 3 2 6 2 2 3" xfId="39233"/>
    <cellStyle name="40% - Accent1 3 2 6 2 3" xfId="21441"/>
    <cellStyle name="40% - Accent1 3 2 6 2 3 2" xfId="50302"/>
    <cellStyle name="40% - Accent1 3 2 6 2 4" xfId="33192"/>
    <cellStyle name="40% - Accent1 3 2 6 3" xfId="7486"/>
    <cellStyle name="40% - Accent1 3 2 6 3 2" xfId="24533"/>
    <cellStyle name="40% - Accent1 3 2 6 3 2 2" xfId="53394"/>
    <cellStyle name="40% - Accent1 3 2 6 3 3" xfId="36347"/>
    <cellStyle name="40% - Accent1 3 2 6 4" xfId="12116"/>
    <cellStyle name="40% - Accent1 3 2 6 4 2" xfId="18761"/>
    <cellStyle name="40% - Accent1 3 2 6 4 2 2" xfId="47622"/>
    <cellStyle name="40% - Accent1 3 2 6 4 3" xfId="40977"/>
    <cellStyle name="40% - Accent1 3 2 6 5" xfId="16081"/>
    <cellStyle name="40% - Accent1 3 2 6 5 2" xfId="44942"/>
    <cellStyle name="40% - Accent1 3 2 6 6" xfId="30306"/>
    <cellStyle name="40% - Accent1 3 2 7" xfId="1650"/>
    <cellStyle name="40% - Accent1 3 2 7 2" xfId="4537"/>
    <cellStyle name="40% - Accent1 3 2 7 2 2" xfId="10578"/>
    <cellStyle name="40% - Accent1 3 2 7 2 2 2" xfId="27625"/>
    <cellStyle name="40% - Accent1 3 2 7 2 2 2 2" xfId="56486"/>
    <cellStyle name="40% - Accent1 3 2 7 2 2 3" xfId="39439"/>
    <cellStyle name="40% - Accent1 3 2 7 2 3" xfId="21647"/>
    <cellStyle name="40% - Accent1 3 2 7 2 3 2" xfId="50508"/>
    <cellStyle name="40% - Accent1 3 2 7 2 4" xfId="33398"/>
    <cellStyle name="40% - Accent1 3 2 7 3" xfId="7692"/>
    <cellStyle name="40% - Accent1 3 2 7 3 2" xfId="24739"/>
    <cellStyle name="40% - Accent1 3 2 7 3 2 2" xfId="53600"/>
    <cellStyle name="40% - Accent1 3 2 7 3 3" xfId="36553"/>
    <cellStyle name="40% - Accent1 3 2 7 4" xfId="14304"/>
    <cellStyle name="40% - Accent1 3 2 7 4 2" xfId="18967"/>
    <cellStyle name="40% - Accent1 3 2 7 4 2 2" xfId="47828"/>
    <cellStyle name="40% - Accent1 3 2 7 4 3" xfId="43165"/>
    <cellStyle name="40% - Accent1 3 2 7 5" xfId="16287"/>
    <cellStyle name="40% - Accent1 3 2 7 5 2" xfId="45148"/>
    <cellStyle name="40% - Accent1 3 2 7 6" xfId="30512"/>
    <cellStyle name="40% - Accent1 3 2 8" xfId="1856"/>
    <cellStyle name="40% - Accent1 3 2 8 2" xfId="4743"/>
    <cellStyle name="40% - Accent1 3 2 8 2 2" xfId="10784"/>
    <cellStyle name="40% - Accent1 3 2 8 2 2 2" xfId="27831"/>
    <cellStyle name="40% - Accent1 3 2 8 2 2 2 2" xfId="56692"/>
    <cellStyle name="40% - Accent1 3 2 8 2 2 3" xfId="39645"/>
    <cellStyle name="40% - Accent1 3 2 8 2 3" xfId="21853"/>
    <cellStyle name="40% - Accent1 3 2 8 2 3 2" xfId="50714"/>
    <cellStyle name="40% - Accent1 3 2 8 2 4" xfId="33604"/>
    <cellStyle name="40% - Accent1 3 2 8 3" xfId="7898"/>
    <cellStyle name="40% - Accent1 3 2 8 3 2" xfId="24945"/>
    <cellStyle name="40% - Accent1 3 2 8 3 2 2" xfId="53806"/>
    <cellStyle name="40% - Accent1 3 2 8 3 3" xfId="36759"/>
    <cellStyle name="40% - Accent1 3 2 8 4" xfId="12534"/>
    <cellStyle name="40% - Accent1 3 2 8 4 2" xfId="19173"/>
    <cellStyle name="40% - Accent1 3 2 8 4 2 2" xfId="48034"/>
    <cellStyle name="40% - Accent1 3 2 8 4 3" xfId="41395"/>
    <cellStyle name="40% - Accent1 3 2 8 5" xfId="16493"/>
    <cellStyle name="40% - Accent1 3 2 8 5 2" xfId="45354"/>
    <cellStyle name="40% - Accent1 3 2 8 6" xfId="30718"/>
    <cellStyle name="40% - Accent1 3 2 9" xfId="2062"/>
    <cellStyle name="40% - Accent1 3 2 9 2" xfId="4949"/>
    <cellStyle name="40% - Accent1 3 2 9 2 2" xfId="10990"/>
    <cellStyle name="40% - Accent1 3 2 9 2 2 2" xfId="28037"/>
    <cellStyle name="40% - Accent1 3 2 9 2 2 2 2" xfId="56898"/>
    <cellStyle name="40% - Accent1 3 2 9 2 2 3" xfId="39851"/>
    <cellStyle name="40% - Accent1 3 2 9 2 3" xfId="22059"/>
    <cellStyle name="40% - Accent1 3 2 9 2 3 2" xfId="50920"/>
    <cellStyle name="40% - Accent1 3 2 9 2 4" xfId="33810"/>
    <cellStyle name="40% - Accent1 3 2 9 3" xfId="8104"/>
    <cellStyle name="40% - Accent1 3 2 9 3 2" xfId="25151"/>
    <cellStyle name="40% - Accent1 3 2 9 3 2 2" xfId="54012"/>
    <cellStyle name="40% - Accent1 3 2 9 3 3" xfId="36965"/>
    <cellStyle name="40% - Accent1 3 2 9 4" xfId="14267"/>
    <cellStyle name="40% - Accent1 3 2 9 4 2" xfId="19379"/>
    <cellStyle name="40% - Accent1 3 2 9 4 2 2" xfId="48240"/>
    <cellStyle name="40% - Accent1 3 2 9 4 3" xfId="43128"/>
    <cellStyle name="40% - Accent1 3 2 9 5" xfId="16699"/>
    <cellStyle name="40% - Accent1 3 2 9 5 2" xfId="45560"/>
    <cellStyle name="40% - Accent1 3 2 9 6" xfId="30924"/>
    <cellStyle name="40% - Accent1 3 20" xfId="28967"/>
    <cellStyle name="40% - Accent1 3 3" xfId="208"/>
    <cellStyle name="40% - Accent1 3 3 2" xfId="620"/>
    <cellStyle name="40% - Accent1 3 3 2 2" xfId="3507"/>
    <cellStyle name="40% - Accent1 3 3 2 2 2" xfId="9548"/>
    <cellStyle name="40% - Accent1 3 3 2 2 2 2" xfId="26595"/>
    <cellStyle name="40% - Accent1 3 3 2 2 2 2 2" xfId="55456"/>
    <cellStyle name="40% - Accent1 3 3 2 2 2 3" xfId="38409"/>
    <cellStyle name="40% - Accent1 3 3 2 2 3" xfId="20617"/>
    <cellStyle name="40% - Accent1 3 3 2 2 3 2" xfId="49478"/>
    <cellStyle name="40% - Accent1 3 3 2 2 4" xfId="32368"/>
    <cellStyle name="40% - Accent1 3 3 2 3" xfId="6662"/>
    <cellStyle name="40% - Accent1 3 3 2 3 2" xfId="23709"/>
    <cellStyle name="40% - Accent1 3 3 2 3 2 2" xfId="52570"/>
    <cellStyle name="40% - Accent1 3 3 2 3 3" xfId="35523"/>
    <cellStyle name="40% - Accent1 3 3 2 4" xfId="12645"/>
    <cellStyle name="40% - Accent1 3 3 2 4 2" xfId="17937"/>
    <cellStyle name="40% - Accent1 3 3 2 4 2 2" xfId="46798"/>
    <cellStyle name="40% - Accent1 3 3 2 4 3" xfId="41506"/>
    <cellStyle name="40% - Accent1 3 3 2 5" xfId="15257"/>
    <cellStyle name="40% - Accent1 3 3 2 5 2" xfId="44118"/>
    <cellStyle name="40% - Accent1 3 3 2 6" xfId="29482"/>
    <cellStyle name="40% - Accent1 3 3 3" xfId="2165"/>
    <cellStyle name="40% - Accent1 3 3 3 2" xfId="5052"/>
    <cellStyle name="40% - Accent1 3 3 3 2 2" xfId="11093"/>
    <cellStyle name="40% - Accent1 3 3 3 2 2 2" xfId="28140"/>
    <cellStyle name="40% - Accent1 3 3 3 2 2 2 2" xfId="57001"/>
    <cellStyle name="40% - Accent1 3 3 3 2 2 3" xfId="39954"/>
    <cellStyle name="40% - Accent1 3 3 3 2 3" xfId="22162"/>
    <cellStyle name="40% - Accent1 3 3 3 2 3 2" xfId="51023"/>
    <cellStyle name="40% - Accent1 3 3 3 2 4" xfId="33913"/>
    <cellStyle name="40% - Accent1 3 3 3 3" xfId="8207"/>
    <cellStyle name="40% - Accent1 3 3 3 3 2" xfId="25254"/>
    <cellStyle name="40% - Accent1 3 3 3 3 2 2" xfId="54115"/>
    <cellStyle name="40% - Accent1 3 3 3 3 3" xfId="37068"/>
    <cellStyle name="40% - Accent1 3 3 3 4" xfId="13199"/>
    <cellStyle name="40% - Accent1 3 3 3 4 2" xfId="19482"/>
    <cellStyle name="40% - Accent1 3 3 3 4 2 2" xfId="48343"/>
    <cellStyle name="40% - Accent1 3 3 3 4 3" xfId="42060"/>
    <cellStyle name="40% - Accent1 3 3 3 5" xfId="16802"/>
    <cellStyle name="40% - Accent1 3 3 3 5 2" xfId="45663"/>
    <cellStyle name="40% - Accent1 3 3 3 6" xfId="31027"/>
    <cellStyle name="40% - Accent1 3 3 4" xfId="3095"/>
    <cellStyle name="40% - Accent1 3 3 4 2" xfId="9136"/>
    <cellStyle name="40% - Accent1 3 3 4 2 2" xfId="26183"/>
    <cellStyle name="40% - Accent1 3 3 4 2 2 2" xfId="55044"/>
    <cellStyle name="40% - Accent1 3 3 4 2 3" xfId="37997"/>
    <cellStyle name="40% - Accent1 3 3 4 3" xfId="20205"/>
    <cellStyle name="40% - Accent1 3 3 4 3 2" xfId="49066"/>
    <cellStyle name="40% - Accent1 3 3 4 4" xfId="31956"/>
    <cellStyle name="40% - Accent1 3 3 5" xfId="6250"/>
    <cellStyle name="40% - Accent1 3 3 5 2" xfId="23297"/>
    <cellStyle name="40% - Accent1 3 3 5 2 2" xfId="52158"/>
    <cellStyle name="40% - Accent1 3 3 5 3" xfId="35111"/>
    <cellStyle name="40% - Accent1 3 3 6" xfId="14453"/>
    <cellStyle name="40% - Accent1 3 3 6 2" xfId="17628"/>
    <cellStyle name="40% - Accent1 3 3 6 2 2" xfId="46489"/>
    <cellStyle name="40% - Accent1 3 3 6 3" xfId="43314"/>
    <cellStyle name="40% - Accent1 3 3 7" xfId="14845"/>
    <cellStyle name="40% - Accent1 3 3 7 2" xfId="43706"/>
    <cellStyle name="40% - Accent1 3 3 8" xfId="29070"/>
    <cellStyle name="40% - Accent1 3 4" xfId="414"/>
    <cellStyle name="40% - Accent1 3 4 2" xfId="3301"/>
    <cellStyle name="40% - Accent1 3 4 2 2" xfId="9342"/>
    <cellStyle name="40% - Accent1 3 4 2 2 2" xfId="26389"/>
    <cellStyle name="40% - Accent1 3 4 2 2 2 2" xfId="55250"/>
    <cellStyle name="40% - Accent1 3 4 2 2 3" xfId="38203"/>
    <cellStyle name="40% - Accent1 3 4 2 3" xfId="20411"/>
    <cellStyle name="40% - Accent1 3 4 2 3 2" xfId="49272"/>
    <cellStyle name="40% - Accent1 3 4 2 4" xfId="32162"/>
    <cellStyle name="40% - Accent1 3 4 3" xfId="6456"/>
    <cellStyle name="40% - Accent1 3 4 3 2" xfId="23503"/>
    <cellStyle name="40% - Accent1 3 4 3 2 2" xfId="52364"/>
    <cellStyle name="40% - Accent1 3 4 3 3" xfId="35317"/>
    <cellStyle name="40% - Accent1 3 4 4" xfId="12491"/>
    <cellStyle name="40% - Accent1 3 4 4 2" xfId="17731"/>
    <cellStyle name="40% - Accent1 3 4 4 2 2" xfId="46592"/>
    <cellStyle name="40% - Accent1 3 4 4 3" xfId="41352"/>
    <cellStyle name="40% - Accent1 3 4 5" xfId="15051"/>
    <cellStyle name="40% - Accent1 3 4 5 2" xfId="43912"/>
    <cellStyle name="40% - Accent1 3 4 6" xfId="29276"/>
    <cellStyle name="40% - Accent1 3 5" xfId="723"/>
    <cellStyle name="40% - Accent1 3 5 2" xfId="3610"/>
    <cellStyle name="40% - Accent1 3 5 2 2" xfId="9651"/>
    <cellStyle name="40% - Accent1 3 5 2 2 2" xfId="26698"/>
    <cellStyle name="40% - Accent1 3 5 2 2 2 2" xfId="55559"/>
    <cellStyle name="40% - Accent1 3 5 2 2 3" xfId="38512"/>
    <cellStyle name="40% - Accent1 3 5 2 3" xfId="20720"/>
    <cellStyle name="40% - Accent1 3 5 2 3 2" xfId="49581"/>
    <cellStyle name="40% - Accent1 3 5 2 4" xfId="32471"/>
    <cellStyle name="40% - Accent1 3 5 3" xfId="6765"/>
    <cellStyle name="40% - Accent1 3 5 3 2" xfId="23812"/>
    <cellStyle name="40% - Accent1 3 5 3 2 2" xfId="52673"/>
    <cellStyle name="40% - Accent1 3 5 3 3" xfId="35626"/>
    <cellStyle name="40% - Accent1 3 5 4" xfId="14135"/>
    <cellStyle name="40% - Accent1 3 5 4 2" xfId="18040"/>
    <cellStyle name="40% - Accent1 3 5 4 2 2" xfId="46901"/>
    <cellStyle name="40% - Accent1 3 5 4 3" xfId="42996"/>
    <cellStyle name="40% - Accent1 3 5 5" xfId="15360"/>
    <cellStyle name="40% - Accent1 3 5 5 2" xfId="44221"/>
    <cellStyle name="40% - Accent1 3 5 6" xfId="29585"/>
    <cellStyle name="40% - Accent1 3 6" xfId="929"/>
    <cellStyle name="40% - Accent1 3 6 2" xfId="3816"/>
    <cellStyle name="40% - Accent1 3 6 2 2" xfId="9857"/>
    <cellStyle name="40% - Accent1 3 6 2 2 2" xfId="26904"/>
    <cellStyle name="40% - Accent1 3 6 2 2 2 2" xfId="55765"/>
    <cellStyle name="40% - Accent1 3 6 2 2 3" xfId="38718"/>
    <cellStyle name="40% - Accent1 3 6 2 3" xfId="20926"/>
    <cellStyle name="40% - Accent1 3 6 2 3 2" xfId="49787"/>
    <cellStyle name="40% - Accent1 3 6 2 4" xfId="32677"/>
    <cellStyle name="40% - Accent1 3 6 3" xfId="6971"/>
    <cellStyle name="40% - Accent1 3 6 3 2" xfId="24018"/>
    <cellStyle name="40% - Accent1 3 6 3 2 2" xfId="52879"/>
    <cellStyle name="40% - Accent1 3 6 3 3" xfId="35832"/>
    <cellStyle name="40% - Accent1 3 6 4" xfId="13960"/>
    <cellStyle name="40% - Accent1 3 6 4 2" xfId="18246"/>
    <cellStyle name="40% - Accent1 3 6 4 2 2" xfId="47107"/>
    <cellStyle name="40% - Accent1 3 6 4 3" xfId="42821"/>
    <cellStyle name="40% - Accent1 3 6 5" xfId="15566"/>
    <cellStyle name="40% - Accent1 3 6 5 2" xfId="44427"/>
    <cellStyle name="40% - Accent1 3 6 6" xfId="29791"/>
    <cellStyle name="40% - Accent1 3 7" xfId="1135"/>
    <cellStyle name="40% - Accent1 3 7 2" xfId="4022"/>
    <cellStyle name="40% - Accent1 3 7 2 2" xfId="10063"/>
    <cellStyle name="40% - Accent1 3 7 2 2 2" xfId="27110"/>
    <cellStyle name="40% - Accent1 3 7 2 2 2 2" xfId="55971"/>
    <cellStyle name="40% - Accent1 3 7 2 2 3" xfId="38924"/>
    <cellStyle name="40% - Accent1 3 7 2 3" xfId="21132"/>
    <cellStyle name="40% - Accent1 3 7 2 3 2" xfId="49993"/>
    <cellStyle name="40% - Accent1 3 7 2 4" xfId="32883"/>
    <cellStyle name="40% - Accent1 3 7 3" xfId="7177"/>
    <cellStyle name="40% - Accent1 3 7 3 2" xfId="24224"/>
    <cellStyle name="40% - Accent1 3 7 3 2 2" xfId="53085"/>
    <cellStyle name="40% - Accent1 3 7 3 3" xfId="36038"/>
    <cellStyle name="40% - Accent1 3 7 4" xfId="13376"/>
    <cellStyle name="40% - Accent1 3 7 4 2" xfId="18452"/>
    <cellStyle name="40% - Accent1 3 7 4 2 2" xfId="47313"/>
    <cellStyle name="40% - Accent1 3 7 4 3" xfId="42237"/>
    <cellStyle name="40% - Accent1 3 7 5" xfId="15772"/>
    <cellStyle name="40% - Accent1 3 7 5 2" xfId="44633"/>
    <cellStyle name="40% - Accent1 3 7 6" xfId="29997"/>
    <cellStyle name="40% - Accent1 3 8" xfId="1341"/>
    <cellStyle name="40% - Accent1 3 8 2" xfId="4228"/>
    <cellStyle name="40% - Accent1 3 8 2 2" xfId="10269"/>
    <cellStyle name="40% - Accent1 3 8 2 2 2" xfId="27316"/>
    <cellStyle name="40% - Accent1 3 8 2 2 2 2" xfId="56177"/>
    <cellStyle name="40% - Accent1 3 8 2 2 3" xfId="39130"/>
    <cellStyle name="40% - Accent1 3 8 2 3" xfId="21338"/>
    <cellStyle name="40% - Accent1 3 8 2 3 2" xfId="50199"/>
    <cellStyle name="40% - Accent1 3 8 2 4" xfId="33089"/>
    <cellStyle name="40% - Accent1 3 8 3" xfId="7383"/>
    <cellStyle name="40% - Accent1 3 8 3 2" xfId="24430"/>
    <cellStyle name="40% - Accent1 3 8 3 2 2" xfId="53291"/>
    <cellStyle name="40% - Accent1 3 8 3 3" xfId="36244"/>
    <cellStyle name="40% - Accent1 3 8 4" xfId="12267"/>
    <cellStyle name="40% - Accent1 3 8 4 2" xfId="18658"/>
    <cellStyle name="40% - Accent1 3 8 4 2 2" xfId="47519"/>
    <cellStyle name="40% - Accent1 3 8 4 3" xfId="41128"/>
    <cellStyle name="40% - Accent1 3 8 5" xfId="15978"/>
    <cellStyle name="40% - Accent1 3 8 5 2" xfId="44839"/>
    <cellStyle name="40% - Accent1 3 8 6" xfId="30203"/>
    <cellStyle name="40% - Accent1 3 9" xfId="1547"/>
    <cellStyle name="40% - Accent1 3 9 2" xfId="4434"/>
    <cellStyle name="40% - Accent1 3 9 2 2" xfId="10475"/>
    <cellStyle name="40% - Accent1 3 9 2 2 2" xfId="27522"/>
    <cellStyle name="40% - Accent1 3 9 2 2 2 2" xfId="56383"/>
    <cellStyle name="40% - Accent1 3 9 2 2 3" xfId="39336"/>
    <cellStyle name="40% - Accent1 3 9 2 3" xfId="21544"/>
    <cellStyle name="40% - Accent1 3 9 2 3 2" xfId="50405"/>
    <cellStyle name="40% - Accent1 3 9 2 4" xfId="33295"/>
    <cellStyle name="40% - Accent1 3 9 3" xfId="7589"/>
    <cellStyle name="40% - Accent1 3 9 3 2" xfId="24636"/>
    <cellStyle name="40% - Accent1 3 9 3 2 2" xfId="53497"/>
    <cellStyle name="40% - Accent1 3 9 3 3" xfId="36450"/>
    <cellStyle name="40% - Accent1 3 9 4" xfId="13886"/>
    <cellStyle name="40% - Accent1 3 9 4 2" xfId="18864"/>
    <cellStyle name="40% - Accent1 3 9 4 2 2" xfId="47725"/>
    <cellStyle name="40% - Accent1 3 9 4 3" xfId="42747"/>
    <cellStyle name="40% - Accent1 3 9 5" xfId="16184"/>
    <cellStyle name="40% - Accent1 3 9 5 2" xfId="45045"/>
    <cellStyle name="40% - Accent1 3 9 6" xfId="30409"/>
    <cellStyle name="40% - Accent1 4" xfId="131"/>
    <cellStyle name="40% - Accent1 4 10" xfId="1779"/>
    <cellStyle name="40% - Accent1 4 10 2" xfId="4666"/>
    <cellStyle name="40% - Accent1 4 10 2 2" xfId="10707"/>
    <cellStyle name="40% - Accent1 4 10 2 2 2" xfId="27754"/>
    <cellStyle name="40% - Accent1 4 10 2 2 2 2" xfId="56615"/>
    <cellStyle name="40% - Accent1 4 10 2 2 3" xfId="39568"/>
    <cellStyle name="40% - Accent1 4 10 2 3" xfId="21776"/>
    <cellStyle name="40% - Accent1 4 10 2 3 2" xfId="50637"/>
    <cellStyle name="40% - Accent1 4 10 2 4" xfId="33527"/>
    <cellStyle name="40% - Accent1 4 10 3" xfId="7821"/>
    <cellStyle name="40% - Accent1 4 10 3 2" xfId="24868"/>
    <cellStyle name="40% - Accent1 4 10 3 2 2" xfId="53729"/>
    <cellStyle name="40% - Accent1 4 10 3 3" xfId="36682"/>
    <cellStyle name="40% - Accent1 4 10 4" xfId="13495"/>
    <cellStyle name="40% - Accent1 4 10 4 2" xfId="19096"/>
    <cellStyle name="40% - Accent1 4 10 4 2 2" xfId="47957"/>
    <cellStyle name="40% - Accent1 4 10 4 3" xfId="42356"/>
    <cellStyle name="40% - Accent1 4 10 5" xfId="16416"/>
    <cellStyle name="40% - Accent1 4 10 5 2" xfId="45277"/>
    <cellStyle name="40% - Accent1 4 10 6" xfId="30641"/>
    <cellStyle name="40% - Accent1 4 11" xfId="1985"/>
    <cellStyle name="40% - Accent1 4 11 2" xfId="4872"/>
    <cellStyle name="40% - Accent1 4 11 2 2" xfId="10913"/>
    <cellStyle name="40% - Accent1 4 11 2 2 2" xfId="27960"/>
    <cellStyle name="40% - Accent1 4 11 2 2 2 2" xfId="56821"/>
    <cellStyle name="40% - Accent1 4 11 2 2 3" xfId="39774"/>
    <cellStyle name="40% - Accent1 4 11 2 3" xfId="21982"/>
    <cellStyle name="40% - Accent1 4 11 2 3 2" xfId="50843"/>
    <cellStyle name="40% - Accent1 4 11 2 4" xfId="33733"/>
    <cellStyle name="40% - Accent1 4 11 3" xfId="8027"/>
    <cellStyle name="40% - Accent1 4 11 3 2" xfId="25074"/>
    <cellStyle name="40% - Accent1 4 11 3 2 2" xfId="53935"/>
    <cellStyle name="40% - Accent1 4 11 3 3" xfId="36888"/>
    <cellStyle name="40% - Accent1 4 11 4" xfId="13614"/>
    <cellStyle name="40% - Accent1 4 11 4 2" xfId="19302"/>
    <cellStyle name="40% - Accent1 4 11 4 2 2" xfId="48163"/>
    <cellStyle name="40% - Accent1 4 11 4 3" xfId="42475"/>
    <cellStyle name="40% - Accent1 4 11 5" xfId="16622"/>
    <cellStyle name="40% - Accent1 4 11 5 2" xfId="45483"/>
    <cellStyle name="40% - Accent1 4 11 6" xfId="30847"/>
    <cellStyle name="40% - Accent1 4 12" xfId="2397"/>
    <cellStyle name="40% - Accent1 4 12 2" xfId="5284"/>
    <cellStyle name="40% - Accent1 4 12 2 2" xfId="11325"/>
    <cellStyle name="40% - Accent1 4 12 2 2 2" xfId="28372"/>
    <cellStyle name="40% - Accent1 4 12 2 2 2 2" xfId="57233"/>
    <cellStyle name="40% - Accent1 4 12 2 2 3" xfId="40186"/>
    <cellStyle name="40% - Accent1 4 12 2 3" xfId="22394"/>
    <cellStyle name="40% - Accent1 4 12 2 3 2" xfId="51255"/>
    <cellStyle name="40% - Accent1 4 12 2 4" xfId="34145"/>
    <cellStyle name="40% - Accent1 4 12 3" xfId="8439"/>
    <cellStyle name="40% - Accent1 4 12 3 2" xfId="25486"/>
    <cellStyle name="40% - Accent1 4 12 3 2 2" xfId="54347"/>
    <cellStyle name="40% - Accent1 4 12 3 3" xfId="37300"/>
    <cellStyle name="40% - Accent1 4 12 4" xfId="14385"/>
    <cellStyle name="40% - Accent1 4 12 4 2" xfId="19714"/>
    <cellStyle name="40% - Accent1 4 12 4 2 2" xfId="48575"/>
    <cellStyle name="40% - Accent1 4 12 4 3" xfId="43246"/>
    <cellStyle name="40% - Accent1 4 12 5" xfId="17034"/>
    <cellStyle name="40% - Accent1 4 12 5 2" xfId="45895"/>
    <cellStyle name="40% - Accent1 4 12 6" xfId="31259"/>
    <cellStyle name="40% - Accent1 4 13" xfId="2606"/>
    <cellStyle name="40% - Accent1 4 13 2" xfId="5492"/>
    <cellStyle name="40% - Accent1 4 13 2 2" xfId="11533"/>
    <cellStyle name="40% - Accent1 4 13 2 2 2" xfId="28580"/>
    <cellStyle name="40% - Accent1 4 13 2 2 2 2" xfId="57441"/>
    <cellStyle name="40% - Accent1 4 13 2 2 3" xfId="40394"/>
    <cellStyle name="40% - Accent1 4 13 2 3" xfId="22602"/>
    <cellStyle name="40% - Accent1 4 13 2 3 2" xfId="51463"/>
    <cellStyle name="40% - Accent1 4 13 2 4" xfId="34353"/>
    <cellStyle name="40% - Accent1 4 13 3" xfId="8647"/>
    <cellStyle name="40% - Accent1 4 13 3 2" xfId="25694"/>
    <cellStyle name="40% - Accent1 4 13 3 2 2" xfId="54555"/>
    <cellStyle name="40% - Accent1 4 13 3 3" xfId="37508"/>
    <cellStyle name="40% - Accent1 4 13 4" xfId="13862"/>
    <cellStyle name="40% - Accent1 4 13 4 2" xfId="19922"/>
    <cellStyle name="40% - Accent1 4 13 4 2 2" xfId="48783"/>
    <cellStyle name="40% - Accent1 4 13 4 3" xfId="42723"/>
    <cellStyle name="40% - Accent1 4 13 5" xfId="17242"/>
    <cellStyle name="40% - Accent1 4 13 5 2" xfId="46103"/>
    <cellStyle name="40% - Accent1 4 13 6" xfId="31467"/>
    <cellStyle name="40% - Accent1 4 14" xfId="3018"/>
    <cellStyle name="40% - Accent1 4 14 2" xfId="9059"/>
    <cellStyle name="40% - Accent1 4 14 2 2" xfId="26106"/>
    <cellStyle name="40% - Accent1 4 14 2 2 2" xfId="54967"/>
    <cellStyle name="40% - Accent1 4 14 2 3" xfId="37920"/>
    <cellStyle name="40% - Accent1 4 14 3" xfId="12306"/>
    <cellStyle name="40% - Accent1 4 14 3 2" xfId="20128"/>
    <cellStyle name="40% - Accent1 4 14 3 2 2" xfId="48989"/>
    <cellStyle name="40% - Accent1 4 14 3 3" xfId="41167"/>
    <cellStyle name="40% - Accent1 4 14 4" xfId="14768"/>
    <cellStyle name="40% - Accent1 4 14 4 2" xfId="43629"/>
    <cellStyle name="40% - Accent1 4 14 5" xfId="31879"/>
    <cellStyle name="40% - Accent1 4 15" xfId="2812"/>
    <cellStyle name="40% - Accent1 4 15 2" xfId="8853"/>
    <cellStyle name="40% - Accent1 4 15 2 2" xfId="25900"/>
    <cellStyle name="40% - Accent1 4 15 2 2 2" xfId="54761"/>
    <cellStyle name="40% - Accent1 4 15 2 3" xfId="37714"/>
    <cellStyle name="40% - Accent1 4 15 3" xfId="17448"/>
    <cellStyle name="40% - Accent1 4 15 3 2" xfId="46309"/>
    <cellStyle name="40% - Accent1 4 15 4" xfId="31673"/>
    <cellStyle name="40% - Accent1 4 16" xfId="5698"/>
    <cellStyle name="40% - Accent1 4 16 2" xfId="11739"/>
    <cellStyle name="40% - Accent1 4 16 2 2" xfId="28786"/>
    <cellStyle name="40% - Accent1 4 16 2 2 2" xfId="57647"/>
    <cellStyle name="40% - Accent1 4 16 2 3" xfId="40600"/>
    <cellStyle name="40% - Accent1 4 16 3" xfId="22808"/>
    <cellStyle name="40% - Accent1 4 16 3 2" xfId="51669"/>
    <cellStyle name="40% - Accent1 4 16 4" xfId="34559"/>
    <cellStyle name="40% - Accent1 4 17" xfId="5915"/>
    <cellStyle name="40% - Accent1 4 17 2" xfId="23014"/>
    <cellStyle name="40% - Accent1 4 17 2 2" xfId="51875"/>
    <cellStyle name="40% - Accent1 4 17 3" xfId="34776"/>
    <cellStyle name="40% - Accent1 4 18" xfId="6173"/>
    <cellStyle name="40% - Accent1 4 18 2" xfId="23220"/>
    <cellStyle name="40% - Accent1 4 18 2 2" xfId="52081"/>
    <cellStyle name="40% - Accent1 4 18 3" xfId="35034"/>
    <cellStyle name="40% - Accent1 4 19" xfId="14562"/>
    <cellStyle name="40% - Accent1 4 19 2" xfId="43423"/>
    <cellStyle name="40% - Accent1 4 2" xfId="337"/>
    <cellStyle name="40% - Accent1 4 2 10" xfId="2500"/>
    <cellStyle name="40% - Accent1 4 2 10 2" xfId="5387"/>
    <cellStyle name="40% - Accent1 4 2 10 2 2" xfId="11428"/>
    <cellStyle name="40% - Accent1 4 2 10 2 2 2" xfId="28475"/>
    <cellStyle name="40% - Accent1 4 2 10 2 2 2 2" xfId="57336"/>
    <cellStyle name="40% - Accent1 4 2 10 2 2 3" xfId="40289"/>
    <cellStyle name="40% - Accent1 4 2 10 2 3" xfId="22497"/>
    <cellStyle name="40% - Accent1 4 2 10 2 3 2" xfId="51358"/>
    <cellStyle name="40% - Accent1 4 2 10 2 4" xfId="34248"/>
    <cellStyle name="40% - Accent1 4 2 10 3" xfId="8542"/>
    <cellStyle name="40% - Accent1 4 2 10 3 2" xfId="25589"/>
    <cellStyle name="40% - Accent1 4 2 10 3 2 2" xfId="54450"/>
    <cellStyle name="40% - Accent1 4 2 10 3 3" xfId="37403"/>
    <cellStyle name="40% - Accent1 4 2 10 4" xfId="13734"/>
    <cellStyle name="40% - Accent1 4 2 10 4 2" xfId="19817"/>
    <cellStyle name="40% - Accent1 4 2 10 4 2 2" xfId="48678"/>
    <cellStyle name="40% - Accent1 4 2 10 4 3" xfId="42595"/>
    <cellStyle name="40% - Accent1 4 2 10 5" xfId="17137"/>
    <cellStyle name="40% - Accent1 4 2 10 5 2" xfId="45998"/>
    <cellStyle name="40% - Accent1 4 2 10 6" xfId="31362"/>
    <cellStyle name="40% - Accent1 4 2 11" xfId="2709"/>
    <cellStyle name="40% - Accent1 4 2 11 2" xfId="5595"/>
    <cellStyle name="40% - Accent1 4 2 11 2 2" xfId="11636"/>
    <cellStyle name="40% - Accent1 4 2 11 2 2 2" xfId="28683"/>
    <cellStyle name="40% - Accent1 4 2 11 2 2 2 2" xfId="57544"/>
    <cellStyle name="40% - Accent1 4 2 11 2 2 3" xfId="40497"/>
    <cellStyle name="40% - Accent1 4 2 11 2 3" xfId="22705"/>
    <cellStyle name="40% - Accent1 4 2 11 2 3 2" xfId="51566"/>
    <cellStyle name="40% - Accent1 4 2 11 2 4" xfId="34456"/>
    <cellStyle name="40% - Accent1 4 2 11 3" xfId="8750"/>
    <cellStyle name="40% - Accent1 4 2 11 3 2" xfId="25797"/>
    <cellStyle name="40% - Accent1 4 2 11 3 2 2" xfId="54658"/>
    <cellStyle name="40% - Accent1 4 2 11 3 3" xfId="37611"/>
    <cellStyle name="40% - Accent1 4 2 11 4" xfId="13553"/>
    <cellStyle name="40% - Accent1 4 2 11 4 2" xfId="20025"/>
    <cellStyle name="40% - Accent1 4 2 11 4 2 2" xfId="48886"/>
    <cellStyle name="40% - Accent1 4 2 11 4 3" xfId="42414"/>
    <cellStyle name="40% - Accent1 4 2 11 5" xfId="17345"/>
    <cellStyle name="40% - Accent1 4 2 11 5 2" xfId="46206"/>
    <cellStyle name="40% - Accent1 4 2 11 6" xfId="31570"/>
    <cellStyle name="40% - Accent1 4 2 12" xfId="3224"/>
    <cellStyle name="40% - Accent1 4 2 12 2" xfId="9265"/>
    <cellStyle name="40% - Accent1 4 2 12 2 2" xfId="26312"/>
    <cellStyle name="40% - Accent1 4 2 12 2 2 2" xfId="55173"/>
    <cellStyle name="40% - Accent1 4 2 12 2 3" xfId="38126"/>
    <cellStyle name="40% - Accent1 4 2 12 3" xfId="13788"/>
    <cellStyle name="40% - Accent1 4 2 12 3 2" xfId="20334"/>
    <cellStyle name="40% - Accent1 4 2 12 3 2 2" xfId="49195"/>
    <cellStyle name="40% - Accent1 4 2 12 3 3" xfId="42649"/>
    <cellStyle name="40% - Accent1 4 2 12 4" xfId="14974"/>
    <cellStyle name="40% - Accent1 4 2 12 4 2" xfId="43835"/>
    <cellStyle name="40% - Accent1 4 2 12 5" xfId="32085"/>
    <cellStyle name="40% - Accent1 4 2 13" xfId="2915"/>
    <cellStyle name="40% - Accent1 4 2 13 2" xfId="8956"/>
    <cellStyle name="40% - Accent1 4 2 13 2 2" xfId="26003"/>
    <cellStyle name="40% - Accent1 4 2 13 2 2 2" xfId="54864"/>
    <cellStyle name="40% - Accent1 4 2 13 2 3" xfId="37817"/>
    <cellStyle name="40% - Accent1 4 2 13 3" xfId="17551"/>
    <cellStyle name="40% - Accent1 4 2 13 3 2" xfId="46412"/>
    <cellStyle name="40% - Accent1 4 2 13 4" xfId="31776"/>
    <cellStyle name="40% - Accent1 4 2 14" xfId="5801"/>
    <cellStyle name="40% - Accent1 4 2 14 2" xfId="11842"/>
    <cellStyle name="40% - Accent1 4 2 14 2 2" xfId="28889"/>
    <cellStyle name="40% - Accent1 4 2 14 2 2 2" xfId="57750"/>
    <cellStyle name="40% - Accent1 4 2 14 2 3" xfId="40703"/>
    <cellStyle name="40% - Accent1 4 2 14 3" xfId="22911"/>
    <cellStyle name="40% - Accent1 4 2 14 3 2" xfId="51772"/>
    <cellStyle name="40% - Accent1 4 2 14 4" xfId="34662"/>
    <cellStyle name="40% - Accent1 4 2 15" xfId="6018"/>
    <cellStyle name="40% - Accent1 4 2 15 2" xfId="23117"/>
    <cellStyle name="40% - Accent1 4 2 15 2 2" xfId="51978"/>
    <cellStyle name="40% - Accent1 4 2 15 3" xfId="34879"/>
    <cellStyle name="40% - Accent1 4 2 16" xfId="6379"/>
    <cellStyle name="40% - Accent1 4 2 16 2" xfId="23426"/>
    <cellStyle name="40% - Accent1 4 2 16 2 2" xfId="52287"/>
    <cellStyle name="40% - Accent1 4 2 16 3" xfId="35240"/>
    <cellStyle name="40% - Accent1 4 2 17" xfId="14665"/>
    <cellStyle name="40% - Accent1 4 2 17 2" xfId="43526"/>
    <cellStyle name="40% - Accent1 4 2 18" xfId="29199"/>
    <cellStyle name="40% - Accent1 4 2 2" xfId="543"/>
    <cellStyle name="40% - Accent1 4 2 2 2" xfId="2294"/>
    <cellStyle name="40% - Accent1 4 2 2 2 2" xfId="5181"/>
    <cellStyle name="40% - Accent1 4 2 2 2 2 2" xfId="11222"/>
    <cellStyle name="40% - Accent1 4 2 2 2 2 2 2" xfId="28269"/>
    <cellStyle name="40% - Accent1 4 2 2 2 2 2 2 2" xfId="57130"/>
    <cellStyle name="40% - Accent1 4 2 2 2 2 2 3" xfId="40083"/>
    <cellStyle name="40% - Accent1 4 2 2 2 2 3" xfId="22291"/>
    <cellStyle name="40% - Accent1 4 2 2 2 2 3 2" xfId="51152"/>
    <cellStyle name="40% - Accent1 4 2 2 2 2 4" xfId="34042"/>
    <cellStyle name="40% - Accent1 4 2 2 2 3" xfId="8336"/>
    <cellStyle name="40% - Accent1 4 2 2 2 3 2" xfId="25383"/>
    <cellStyle name="40% - Accent1 4 2 2 2 3 2 2" xfId="54244"/>
    <cellStyle name="40% - Accent1 4 2 2 2 3 3" xfId="37197"/>
    <cellStyle name="40% - Accent1 4 2 2 2 4" xfId="14060"/>
    <cellStyle name="40% - Accent1 4 2 2 2 4 2" xfId="19611"/>
    <cellStyle name="40% - Accent1 4 2 2 2 4 2 2" xfId="48472"/>
    <cellStyle name="40% - Accent1 4 2 2 2 4 3" xfId="42921"/>
    <cellStyle name="40% - Accent1 4 2 2 2 5" xfId="16931"/>
    <cellStyle name="40% - Accent1 4 2 2 2 5 2" xfId="45792"/>
    <cellStyle name="40% - Accent1 4 2 2 2 6" xfId="31156"/>
    <cellStyle name="40% - Accent1 4 2 2 3" xfId="3430"/>
    <cellStyle name="40% - Accent1 4 2 2 3 2" xfId="9471"/>
    <cellStyle name="40% - Accent1 4 2 2 3 2 2" xfId="26518"/>
    <cellStyle name="40% - Accent1 4 2 2 3 2 2 2" xfId="55379"/>
    <cellStyle name="40% - Accent1 4 2 2 3 2 3" xfId="38332"/>
    <cellStyle name="40% - Accent1 4 2 2 3 3" xfId="20540"/>
    <cellStyle name="40% - Accent1 4 2 2 3 3 2" xfId="49401"/>
    <cellStyle name="40% - Accent1 4 2 2 3 4" xfId="32291"/>
    <cellStyle name="40% - Accent1 4 2 2 4" xfId="6585"/>
    <cellStyle name="40% - Accent1 4 2 2 4 2" xfId="23632"/>
    <cellStyle name="40% - Accent1 4 2 2 4 2 2" xfId="52493"/>
    <cellStyle name="40% - Accent1 4 2 2 4 3" xfId="35446"/>
    <cellStyle name="40% - Accent1 4 2 2 5" xfId="13133"/>
    <cellStyle name="40% - Accent1 4 2 2 5 2" xfId="17860"/>
    <cellStyle name="40% - Accent1 4 2 2 5 2 2" xfId="46721"/>
    <cellStyle name="40% - Accent1 4 2 2 5 3" xfId="41994"/>
    <cellStyle name="40% - Accent1 4 2 2 6" xfId="15180"/>
    <cellStyle name="40% - Accent1 4 2 2 6 2" xfId="44041"/>
    <cellStyle name="40% - Accent1 4 2 2 7" xfId="29405"/>
    <cellStyle name="40% - Accent1 4 2 3" xfId="852"/>
    <cellStyle name="40% - Accent1 4 2 3 2" xfId="3739"/>
    <cellStyle name="40% - Accent1 4 2 3 2 2" xfId="9780"/>
    <cellStyle name="40% - Accent1 4 2 3 2 2 2" xfId="26827"/>
    <cellStyle name="40% - Accent1 4 2 3 2 2 2 2" xfId="55688"/>
    <cellStyle name="40% - Accent1 4 2 3 2 2 3" xfId="38641"/>
    <cellStyle name="40% - Accent1 4 2 3 2 3" xfId="20849"/>
    <cellStyle name="40% - Accent1 4 2 3 2 3 2" xfId="49710"/>
    <cellStyle name="40% - Accent1 4 2 3 2 4" xfId="32600"/>
    <cellStyle name="40% - Accent1 4 2 3 3" xfId="6894"/>
    <cellStyle name="40% - Accent1 4 2 3 3 2" xfId="23941"/>
    <cellStyle name="40% - Accent1 4 2 3 3 2 2" xfId="52802"/>
    <cellStyle name="40% - Accent1 4 2 3 3 3" xfId="35755"/>
    <cellStyle name="40% - Accent1 4 2 3 4" xfId="13776"/>
    <cellStyle name="40% - Accent1 4 2 3 4 2" xfId="18169"/>
    <cellStyle name="40% - Accent1 4 2 3 4 2 2" xfId="47030"/>
    <cellStyle name="40% - Accent1 4 2 3 4 3" xfId="42637"/>
    <cellStyle name="40% - Accent1 4 2 3 5" xfId="15489"/>
    <cellStyle name="40% - Accent1 4 2 3 5 2" xfId="44350"/>
    <cellStyle name="40% - Accent1 4 2 3 6" xfId="29714"/>
    <cellStyle name="40% - Accent1 4 2 4" xfId="1058"/>
    <cellStyle name="40% - Accent1 4 2 4 2" xfId="3945"/>
    <cellStyle name="40% - Accent1 4 2 4 2 2" xfId="9986"/>
    <cellStyle name="40% - Accent1 4 2 4 2 2 2" xfId="27033"/>
    <cellStyle name="40% - Accent1 4 2 4 2 2 2 2" xfId="55894"/>
    <cellStyle name="40% - Accent1 4 2 4 2 2 3" xfId="38847"/>
    <cellStyle name="40% - Accent1 4 2 4 2 3" xfId="21055"/>
    <cellStyle name="40% - Accent1 4 2 4 2 3 2" xfId="49916"/>
    <cellStyle name="40% - Accent1 4 2 4 2 4" xfId="32806"/>
    <cellStyle name="40% - Accent1 4 2 4 3" xfId="7100"/>
    <cellStyle name="40% - Accent1 4 2 4 3 2" xfId="24147"/>
    <cellStyle name="40% - Accent1 4 2 4 3 2 2" xfId="53008"/>
    <cellStyle name="40% - Accent1 4 2 4 3 3" xfId="35961"/>
    <cellStyle name="40% - Accent1 4 2 4 4" xfId="12834"/>
    <cellStyle name="40% - Accent1 4 2 4 4 2" xfId="18375"/>
    <cellStyle name="40% - Accent1 4 2 4 4 2 2" xfId="47236"/>
    <cellStyle name="40% - Accent1 4 2 4 4 3" xfId="41695"/>
    <cellStyle name="40% - Accent1 4 2 4 5" xfId="15695"/>
    <cellStyle name="40% - Accent1 4 2 4 5 2" xfId="44556"/>
    <cellStyle name="40% - Accent1 4 2 4 6" xfId="29920"/>
    <cellStyle name="40% - Accent1 4 2 5" xfId="1264"/>
    <cellStyle name="40% - Accent1 4 2 5 2" xfId="4151"/>
    <cellStyle name="40% - Accent1 4 2 5 2 2" xfId="10192"/>
    <cellStyle name="40% - Accent1 4 2 5 2 2 2" xfId="27239"/>
    <cellStyle name="40% - Accent1 4 2 5 2 2 2 2" xfId="56100"/>
    <cellStyle name="40% - Accent1 4 2 5 2 2 3" xfId="39053"/>
    <cellStyle name="40% - Accent1 4 2 5 2 3" xfId="21261"/>
    <cellStyle name="40% - Accent1 4 2 5 2 3 2" xfId="50122"/>
    <cellStyle name="40% - Accent1 4 2 5 2 4" xfId="33012"/>
    <cellStyle name="40% - Accent1 4 2 5 3" xfId="7306"/>
    <cellStyle name="40% - Accent1 4 2 5 3 2" xfId="24353"/>
    <cellStyle name="40% - Accent1 4 2 5 3 2 2" xfId="53214"/>
    <cellStyle name="40% - Accent1 4 2 5 3 3" xfId="36167"/>
    <cellStyle name="40% - Accent1 4 2 5 4" xfId="12046"/>
    <cellStyle name="40% - Accent1 4 2 5 4 2" xfId="18581"/>
    <cellStyle name="40% - Accent1 4 2 5 4 2 2" xfId="47442"/>
    <cellStyle name="40% - Accent1 4 2 5 4 3" xfId="40907"/>
    <cellStyle name="40% - Accent1 4 2 5 5" xfId="15901"/>
    <cellStyle name="40% - Accent1 4 2 5 5 2" xfId="44762"/>
    <cellStyle name="40% - Accent1 4 2 5 6" xfId="30126"/>
    <cellStyle name="40% - Accent1 4 2 6" xfId="1470"/>
    <cellStyle name="40% - Accent1 4 2 6 2" xfId="4357"/>
    <cellStyle name="40% - Accent1 4 2 6 2 2" xfId="10398"/>
    <cellStyle name="40% - Accent1 4 2 6 2 2 2" xfId="27445"/>
    <cellStyle name="40% - Accent1 4 2 6 2 2 2 2" xfId="56306"/>
    <cellStyle name="40% - Accent1 4 2 6 2 2 3" xfId="39259"/>
    <cellStyle name="40% - Accent1 4 2 6 2 3" xfId="21467"/>
    <cellStyle name="40% - Accent1 4 2 6 2 3 2" xfId="50328"/>
    <cellStyle name="40% - Accent1 4 2 6 2 4" xfId="33218"/>
    <cellStyle name="40% - Accent1 4 2 6 3" xfId="7512"/>
    <cellStyle name="40% - Accent1 4 2 6 3 2" xfId="24559"/>
    <cellStyle name="40% - Accent1 4 2 6 3 2 2" xfId="53420"/>
    <cellStyle name="40% - Accent1 4 2 6 3 3" xfId="36373"/>
    <cellStyle name="40% - Accent1 4 2 6 4" xfId="12000"/>
    <cellStyle name="40% - Accent1 4 2 6 4 2" xfId="18787"/>
    <cellStyle name="40% - Accent1 4 2 6 4 2 2" xfId="47648"/>
    <cellStyle name="40% - Accent1 4 2 6 4 3" xfId="40861"/>
    <cellStyle name="40% - Accent1 4 2 6 5" xfId="16107"/>
    <cellStyle name="40% - Accent1 4 2 6 5 2" xfId="44968"/>
    <cellStyle name="40% - Accent1 4 2 6 6" xfId="30332"/>
    <cellStyle name="40% - Accent1 4 2 7" xfId="1676"/>
    <cellStyle name="40% - Accent1 4 2 7 2" xfId="4563"/>
    <cellStyle name="40% - Accent1 4 2 7 2 2" xfId="10604"/>
    <cellStyle name="40% - Accent1 4 2 7 2 2 2" xfId="27651"/>
    <cellStyle name="40% - Accent1 4 2 7 2 2 2 2" xfId="56512"/>
    <cellStyle name="40% - Accent1 4 2 7 2 2 3" xfId="39465"/>
    <cellStyle name="40% - Accent1 4 2 7 2 3" xfId="21673"/>
    <cellStyle name="40% - Accent1 4 2 7 2 3 2" xfId="50534"/>
    <cellStyle name="40% - Accent1 4 2 7 2 4" xfId="33424"/>
    <cellStyle name="40% - Accent1 4 2 7 3" xfId="7718"/>
    <cellStyle name="40% - Accent1 4 2 7 3 2" xfId="24765"/>
    <cellStyle name="40% - Accent1 4 2 7 3 2 2" xfId="53626"/>
    <cellStyle name="40% - Accent1 4 2 7 3 3" xfId="36579"/>
    <cellStyle name="40% - Accent1 4 2 7 4" xfId="13834"/>
    <cellStyle name="40% - Accent1 4 2 7 4 2" xfId="18993"/>
    <cellStyle name="40% - Accent1 4 2 7 4 2 2" xfId="47854"/>
    <cellStyle name="40% - Accent1 4 2 7 4 3" xfId="42695"/>
    <cellStyle name="40% - Accent1 4 2 7 5" xfId="16313"/>
    <cellStyle name="40% - Accent1 4 2 7 5 2" xfId="45174"/>
    <cellStyle name="40% - Accent1 4 2 7 6" xfId="30538"/>
    <cellStyle name="40% - Accent1 4 2 8" xfId="1882"/>
    <cellStyle name="40% - Accent1 4 2 8 2" xfId="4769"/>
    <cellStyle name="40% - Accent1 4 2 8 2 2" xfId="10810"/>
    <cellStyle name="40% - Accent1 4 2 8 2 2 2" xfId="27857"/>
    <cellStyle name="40% - Accent1 4 2 8 2 2 2 2" xfId="56718"/>
    <cellStyle name="40% - Accent1 4 2 8 2 2 3" xfId="39671"/>
    <cellStyle name="40% - Accent1 4 2 8 2 3" xfId="21879"/>
    <cellStyle name="40% - Accent1 4 2 8 2 3 2" xfId="50740"/>
    <cellStyle name="40% - Accent1 4 2 8 2 4" xfId="33630"/>
    <cellStyle name="40% - Accent1 4 2 8 3" xfId="7924"/>
    <cellStyle name="40% - Accent1 4 2 8 3 2" xfId="24971"/>
    <cellStyle name="40% - Accent1 4 2 8 3 2 2" xfId="53832"/>
    <cellStyle name="40% - Accent1 4 2 8 3 3" xfId="36785"/>
    <cellStyle name="40% - Accent1 4 2 8 4" xfId="12546"/>
    <cellStyle name="40% - Accent1 4 2 8 4 2" xfId="19199"/>
    <cellStyle name="40% - Accent1 4 2 8 4 2 2" xfId="48060"/>
    <cellStyle name="40% - Accent1 4 2 8 4 3" xfId="41407"/>
    <cellStyle name="40% - Accent1 4 2 8 5" xfId="16519"/>
    <cellStyle name="40% - Accent1 4 2 8 5 2" xfId="45380"/>
    <cellStyle name="40% - Accent1 4 2 8 6" xfId="30744"/>
    <cellStyle name="40% - Accent1 4 2 9" xfId="2088"/>
    <cellStyle name="40% - Accent1 4 2 9 2" xfId="4975"/>
    <cellStyle name="40% - Accent1 4 2 9 2 2" xfId="11016"/>
    <cellStyle name="40% - Accent1 4 2 9 2 2 2" xfId="28063"/>
    <cellStyle name="40% - Accent1 4 2 9 2 2 2 2" xfId="56924"/>
    <cellStyle name="40% - Accent1 4 2 9 2 2 3" xfId="39877"/>
    <cellStyle name="40% - Accent1 4 2 9 2 3" xfId="22085"/>
    <cellStyle name="40% - Accent1 4 2 9 2 3 2" xfId="50946"/>
    <cellStyle name="40% - Accent1 4 2 9 2 4" xfId="33836"/>
    <cellStyle name="40% - Accent1 4 2 9 3" xfId="8130"/>
    <cellStyle name="40% - Accent1 4 2 9 3 2" xfId="25177"/>
    <cellStyle name="40% - Accent1 4 2 9 3 2 2" xfId="54038"/>
    <cellStyle name="40% - Accent1 4 2 9 3 3" xfId="36991"/>
    <cellStyle name="40% - Accent1 4 2 9 4" xfId="12871"/>
    <cellStyle name="40% - Accent1 4 2 9 4 2" xfId="19405"/>
    <cellStyle name="40% - Accent1 4 2 9 4 2 2" xfId="48266"/>
    <cellStyle name="40% - Accent1 4 2 9 4 3" xfId="41732"/>
    <cellStyle name="40% - Accent1 4 2 9 5" xfId="16725"/>
    <cellStyle name="40% - Accent1 4 2 9 5 2" xfId="45586"/>
    <cellStyle name="40% - Accent1 4 2 9 6" xfId="30950"/>
    <cellStyle name="40% - Accent1 4 20" xfId="28993"/>
    <cellStyle name="40% - Accent1 4 3" xfId="234"/>
    <cellStyle name="40% - Accent1 4 3 2" xfId="646"/>
    <cellStyle name="40% - Accent1 4 3 2 2" xfId="3533"/>
    <cellStyle name="40% - Accent1 4 3 2 2 2" xfId="9574"/>
    <cellStyle name="40% - Accent1 4 3 2 2 2 2" xfId="26621"/>
    <cellStyle name="40% - Accent1 4 3 2 2 2 2 2" xfId="55482"/>
    <cellStyle name="40% - Accent1 4 3 2 2 2 3" xfId="38435"/>
    <cellStyle name="40% - Accent1 4 3 2 2 3" xfId="20643"/>
    <cellStyle name="40% - Accent1 4 3 2 2 3 2" xfId="49504"/>
    <cellStyle name="40% - Accent1 4 3 2 2 4" xfId="32394"/>
    <cellStyle name="40% - Accent1 4 3 2 3" xfId="6688"/>
    <cellStyle name="40% - Accent1 4 3 2 3 2" xfId="23735"/>
    <cellStyle name="40% - Accent1 4 3 2 3 2 2" xfId="52596"/>
    <cellStyle name="40% - Accent1 4 3 2 3 3" xfId="35549"/>
    <cellStyle name="40% - Accent1 4 3 2 4" xfId="11945"/>
    <cellStyle name="40% - Accent1 4 3 2 4 2" xfId="17963"/>
    <cellStyle name="40% - Accent1 4 3 2 4 2 2" xfId="46824"/>
    <cellStyle name="40% - Accent1 4 3 2 4 3" xfId="40806"/>
    <cellStyle name="40% - Accent1 4 3 2 5" xfId="15283"/>
    <cellStyle name="40% - Accent1 4 3 2 5 2" xfId="44144"/>
    <cellStyle name="40% - Accent1 4 3 2 6" xfId="29508"/>
    <cellStyle name="40% - Accent1 4 3 3" xfId="2191"/>
    <cellStyle name="40% - Accent1 4 3 3 2" xfId="5078"/>
    <cellStyle name="40% - Accent1 4 3 3 2 2" xfId="11119"/>
    <cellStyle name="40% - Accent1 4 3 3 2 2 2" xfId="28166"/>
    <cellStyle name="40% - Accent1 4 3 3 2 2 2 2" xfId="57027"/>
    <cellStyle name="40% - Accent1 4 3 3 2 2 3" xfId="39980"/>
    <cellStyle name="40% - Accent1 4 3 3 2 3" xfId="22188"/>
    <cellStyle name="40% - Accent1 4 3 3 2 3 2" xfId="51049"/>
    <cellStyle name="40% - Accent1 4 3 3 2 4" xfId="33939"/>
    <cellStyle name="40% - Accent1 4 3 3 3" xfId="8233"/>
    <cellStyle name="40% - Accent1 4 3 3 3 2" xfId="25280"/>
    <cellStyle name="40% - Accent1 4 3 3 3 2 2" xfId="54141"/>
    <cellStyle name="40% - Accent1 4 3 3 3 3" xfId="37094"/>
    <cellStyle name="40% - Accent1 4 3 3 4" xfId="13769"/>
    <cellStyle name="40% - Accent1 4 3 3 4 2" xfId="19508"/>
    <cellStyle name="40% - Accent1 4 3 3 4 2 2" xfId="48369"/>
    <cellStyle name="40% - Accent1 4 3 3 4 3" xfId="42630"/>
    <cellStyle name="40% - Accent1 4 3 3 5" xfId="16828"/>
    <cellStyle name="40% - Accent1 4 3 3 5 2" xfId="45689"/>
    <cellStyle name="40% - Accent1 4 3 3 6" xfId="31053"/>
    <cellStyle name="40% - Accent1 4 3 4" xfId="3121"/>
    <cellStyle name="40% - Accent1 4 3 4 2" xfId="9162"/>
    <cellStyle name="40% - Accent1 4 3 4 2 2" xfId="26209"/>
    <cellStyle name="40% - Accent1 4 3 4 2 2 2" xfId="55070"/>
    <cellStyle name="40% - Accent1 4 3 4 2 3" xfId="38023"/>
    <cellStyle name="40% - Accent1 4 3 4 3" xfId="20231"/>
    <cellStyle name="40% - Accent1 4 3 4 3 2" xfId="49092"/>
    <cellStyle name="40% - Accent1 4 3 4 4" xfId="31982"/>
    <cellStyle name="40% - Accent1 4 3 5" xfId="6276"/>
    <cellStyle name="40% - Accent1 4 3 5 2" xfId="23323"/>
    <cellStyle name="40% - Accent1 4 3 5 2 2" xfId="52184"/>
    <cellStyle name="40% - Accent1 4 3 5 3" xfId="35137"/>
    <cellStyle name="40% - Accent1 4 3 6" xfId="13291"/>
    <cellStyle name="40% - Accent1 4 3 6 2" xfId="17654"/>
    <cellStyle name="40% - Accent1 4 3 6 2 2" xfId="46515"/>
    <cellStyle name="40% - Accent1 4 3 6 3" xfId="42152"/>
    <cellStyle name="40% - Accent1 4 3 7" xfId="14871"/>
    <cellStyle name="40% - Accent1 4 3 7 2" xfId="43732"/>
    <cellStyle name="40% - Accent1 4 3 8" xfId="29096"/>
    <cellStyle name="40% - Accent1 4 4" xfId="440"/>
    <cellStyle name="40% - Accent1 4 4 2" xfId="3327"/>
    <cellStyle name="40% - Accent1 4 4 2 2" xfId="9368"/>
    <cellStyle name="40% - Accent1 4 4 2 2 2" xfId="26415"/>
    <cellStyle name="40% - Accent1 4 4 2 2 2 2" xfId="55276"/>
    <cellStyle name="40% - Accent1 4 4 2 2 3" xfId="38229"/>
    <cellStyle name="40% - Accent1 4 4 2 3" xfId="20437"/>
    <cellStyle name="40% - Accent1 4 4 2 3 2" xfId="49298"/>
    <cellStyle name="40% - Accent1 4 4 2 4" xfId="32188"/>
    <cellStyle name="40% - Accent1 4 4 3" xfId="6482"/>
    <cellStyle name="40% - Accent1 4 4 3 2" xfId="23529"/>
    <cellStyle name="40% - Accent1 4 4 3 2 2" xfId="52390"/>
    <cellStyle name="40% - Accent1 4 4 3 3" xfId="35343"/>
    <cellStyle name="40% - Accent1 4 4 4" xfId="14063"/>
    <cellStyle name="40% - Accent1 4 4 4 2" xfId="17757"/>
    <cellStyle name="40% - Accent1 4 4 4 2 2" xfId="46618"/>
    <cellStyle name="40% - Accent1 4 4 4 3" xfId="42924"/>
    <cellStyle name="40% - Accent1 4 4 5" xfId="15077"/>
    <cellStyle name="40% - Accent1 4 4 5 2" xfId="43938"/>
    <cellStyle name="40% - Accent1 4 4 6" xfId="29302"/>
    <cellStyle name="40% - Accent1 4 5" xfId="749"/>
    <cellStyle name="40% - Accent1 4 5 2" xfId="3636"/>
    <cellStyle name="40% - Accent1 4 5 2 2" xfId="9677"/>
    <cellStyle name="40% - Accent1 4 5 2 2 2" xfId="26724"/>
    <cellStyle name="40% - Accent1 4 5 2 2 2 2" xfId="55585"/>
    <cellStyle name="40% - Accent1 4 5 2 2 3" xfId="38538"/>
    <cellStyle name="40% - Accent1 4 5 2 3" xfId="20746"/>
    <cellStyle name="40% - Accent1 4 5 2 3 2" xfId="49607"/>
    <cellStyle name="40% - Accent1 4 5 2 4" xfId="32497"/>
    <cellStyle name="40% - Accent1 4 5 3" xfId="6791"/>
    <cellStyle name="40% - Accent1 4 5 3 2" xfId="23838"/>
    <cellStyle name="40% - Accent1 4 5 3 2 2" xfId="52699"/>
    <cellStyle name="40% - Accent1 4 5 3 3" xfId="35652"/>
    <cellStyle name="40% - Accent1 4 5 4" xfId="14150"/>
    <cellStyle name="40% - Accent1 4 5 4 2" xfId="18066"/>
    <cellStyle name="40% - Accent1 4 5 4 2 2" xfId="46927"/>
    <cellStyle name="40% - Accent1 4 5 4 3" xfId="43011"/>
    <cellStyle name="40% - Accent1 4 5 5" xfId="15386"/>
    <cellStyle name="40% - Accent1 4 5 5 2" xfId="44247"/>
    <cellStyle name="40% - Accent1 4 5 6" xfId="29611"/>
    <cellStyle name="40% - Accent1 4 6" xfId="955"/>
    <cellStyle name="40% - Accent1 4 6 2" xfId="3842"/>
    <cellStyle name="40% - Accent1 4 6 2 2" xfId="9883"/>
    <cellStyle name="40% - Accent1 4 6 2 2 2" xfId="26930"/>
    <cellStyle name="40% - Accent1 4 6 2 2 2 2" xfId="55791"/>
    <cellStyle name="40% - Accent1 4 6 2 2 3" xfId="38744"/>
    <cellStyle name="40% - Accent1 4 6 2 3" xfId="20952"/>
    <cellStyle name="40% - Accent1 4 6 2 3 2" xfId="49813"/>
    <cellStyle name="40% - Accent1 4 6 2 4" xfId="32703"/>
    <cellStyle name="40% - Accent1 4 6 3" xfId="6997"/>
    <cellStyle name="40% - Accent1 4 6 3 2" xfId="24044"/>
    <cellStyle name="40% - Accent1 4 6 3 2 2" xfId="52905"/>
    <cellStyle name="40% - Accent1 4 6 3 3" xfId="35858"/>
    <cellStyle name="40% - Accent1 4 6 4" xfId="13388"/>
    <cellStyle name="40% - Accent1 4 6 4 2" xfId="18272"/>
    <cellStyle name="40% - Accent1 4 6 4 2 2" xfId="47133"/>
    <cellStyle name="40% - Accent1 4 6 4 3" xfId="42249"/>
    <cellStyle name="40% - Accent1 4 6 5" xfId="15592"/>
    <cellStyle name="40% - Accent1 4 6 5 2" xfId="44453"/>
    <cellStyle name="40% - Accent1 4 6 6" xfId="29817"/>
    <cellStyle name="40% - Accent1 4 7" xfId="1161"/>
    <cellStyle name="40% - Accent1 4 7 2" xfId="4048"/>
    <cellStyle name="40% - Accent1 4 7 2 2" xfId="10089"/>
    <cellStyle name="40% - Accent1 4 7 2 2 2" xfId="27136"/>
    <cellStyle name="40% - Accent1 4 7 2 2 2 2" xfId="55997"/>
    <cellStyle name="40% - Accent1 4 7 2 2 3" xfId="38950"/>
    <cellStyle name="40% - Accent1 4 7 2 3" xfId="21158"/>
    <cellStyle name="40% - Accent1 4 7 2 3 2" xfId="50019"/>
    <cellStyle name="40% - Accent1 4 7 2 4" xfId="32909"/>
    <cellStyle name="40% - Accent1 4 7 3" xfId="7203"/>
    <cellStyle name="40% - Accent1 4 7 3 2" xfId="24250"/>
    <cellStyle name="40% - Accent1 4 7 3 2 2" xfId="53111"/>
    <cellStyle name="40% - Accent1 4 7 3 3" xfId="36064"/>
    <cellStyle name="40% - Accent1 4 7 4" xfId="13419"/>
    <cellStyle name="40% - Accent1 4 7 4 2" xfId="18478"/>
    <cellStyle name="40% - Accent1 4 7 4 2 2" xfId="47339"/>
    <cellStyle name="40% - Accent1 4 7 4 3" xfId="42280"/>
    <cellStyle name="40% - Accent1 4 7 5" xfId="15798"/>
    <cellStyle name="40% - Accent1 4 7 5 2" xfId="44659"/>
    <cellStyle name="40% - Accent1 4 7 6" xfId="30023"/>
    <cellStyle name="40% - Accent1 4 8" xfId="1367"/>
    <cellStyle name="40% - Accent1 4 8 2" xfId="4254"/>
    <cellStyle name="40% - Accent1 4 8 2 2" xfId="10295"/>
    <cellStyle name="40% - Accent1 4 8 2 2 2" xfId="27342"/>
    <cellStyle name="40% - Accent1 4 8 2 2 2 2" xfId="56203"/>
    <cellStyle name="40% - Accent1 4 8 2 2 3" xfId="39156"/>
    <cellStyle name="40% - Accent1 4 8 2 3" xfId="21364"/>
    <cellStyle name="40% - Accent1 4 8 2 3 2" xfId="50225"/>
    <cellStyle name="40% - Accent1 4 8 2 4" xfId="33115"/>
    <cellStyle name="40% - Accent1 4 8 3" xfId="7409"/>
    <cellStyle name="40% - Accent1 4 8 3 2" xfId="24456"/>
    <cellStyle name="40% - Accent1 4 8 3 2 2" xfId="53317"/>
    <cellStyle name="40% - Accent1 4 8 3 3" xfId="36270"/>
    <cellStyle name="40% - Accent1 4 8 4" xfId="12476"/>
    <cellStyle name="40% - Accent1 4 8 4 2" xfId="18684"/>
    <cellStyle name="40% - Accent1 4 8 4 2 2" xfId="47545"/>
    <cellStyle name="40% - Accent1 4 8 4 3" xfId="41337"/>
    <cellStyle name="40% - Accent1 4 8 5" xfId="16004"/>
    <cellStyle name="40% - Accent1 4 8 5 2" xfId="44865"/>
    <cellStyle name="40% - Accent1 4 8 6" xfId="30229"/>
    <cellStyle name="40% - Accent1 4 9" xfId="1573"/>
    <cellStyle name="40% - Accent1 4 9 2" xfId="4460"/>
    <cellStyle name="40% - Accent1 4 9 2 2" xfId="10501"/>
    <cellStyle name="40% - Accent1 4 9 2 2 2" xfId="27548"/>
    <cellStyle name="40% - Accent1 4 9 2 2 2 2" xfId="56409"/>
    <cellStyle name="40% - Accent1 4 9 2 2 3" xfId="39362"/>
    <cellStyle name="40% - Accent1 4 9 2 3" xfId="21570"/>
    <cellStyle name="40% - Accent1 4 9 2 3 2" xfId="50431"/>
    <cellStyle name="40% - Accent1 4 9 2 4" xfId="33321"/>
    <cellStyle name="40% - Accent1 4 9 3" xfId="7615"/>
    <cellStyle name="40% - Accent1 4 9 3 2" xfId="24662"/>
    <cellStyle name="40% - Accent1 4 9 3 2 2" xfId="53523"/>
    <cellStyle name="40% - Accent1 4 9 3 3" xfId="36476"/>
    <cellStyle name="40% - Accent1 4 9 4" xfId="13896"/>
    <cellStyle name="40% - Accent1 4 9 4 2" xfId="18890"/>
    <cellStyle name="40% - Accent1 4 9 4 2 2" xfId="47751"/>
    <cellStyle name="40% - Accent1 4 9 4 3" xfId="42757"/>
    <cellStyle name="40% - Accent1 4 9 5" xfId="16210"/>
    <cellStyle name="40% - Accent1 4 9 5 2" xfId="45071"/>
    <cellStyle name="40% - Accent1 4 9 6" xfId="30435"/>
    <cellStyle name="40% - Accent1 5" xfId="284"/>
    <cellStyle name="40% - Accent1 5 10" xfId="2447"/>
    <cellStyle name="40% - Accent1 5 10 2" xfId="5334"/>
    <cellStyle name="40% - Accent1 5 10 2 2" xfId="11375"/>
    <cellStyle name="40% - Accent1 5 10 2 2 2" xfId="28422"/>
    <cellStyle name="40% - Accent1 5 10 2 2 2 2" xfId="57283"/>
    <cellStyle name="40% - Accent1 5 10 2 2 3" xfId="40236"/>
    <cellStyle name="40% - Accent1 5 10 2 3" xfId="22444"/>
    <cellStyle name="40% - Accent1 5 10 2 3 2" xfId="51305"/>
    <cellStyle name="40% - Accent1 5 10 2 4" xfId="34195"/>
    <cellStyle name="40% - Accent1 5 10 3" xfId="8489"/>
    <cellStyle name="40% - Accent1 5 10 3 2" xfId="25536"/>
    <cellStyle name="40% - Accent1 5 10 3 2 2" xfId="54397"/>
    <cellStyle name="40% - Accent1 5 10 3 3" xfId="37350"/>
    <cellStyle name="40% - Accent1 5 10 4" xfId="14275"/>
    <cellStyle name="40% - Accent1 5 10 4 2" xfId="19764"/>
    <cellStyle name="40% - Accent1 5 10 4 2 2" xfId="48625"/>
    <cellStyle name="40% - Accent1 5 10 4 3" xfId="43136"/>
    <cellStyle name="40% - Accent1 5 10 5" xfId="17084"/>
    <cellStyle name="40% - Accent1 5 10 5 2" xfId="45945"/>
    <cellStyle name="40% - Accent1 5 10 6" xfId="31309"/>
    <cellStyle name="40% - Accent1 5 11" xfId="2656"/>
    <cellStyle name="40% - Accent1 5 11 2" xfId="5542"/>
    <cellStyle name="40% - Accent1 5 11 2 2" xfId="11583"/>
    <cellStyle name="40% - Accent1 5 11 2 2 2" xfId="28630"/>
    <cellStyle name="40% - Accent1 5 11 2 2 2 2" xfId="57491"/>
    <cellStyle name="40% - Accent1 5 11 2 2 3" xfId="40444"/>
    <cellStyle name="40% - Accent1 5 11 2 3" xfId="22652"/>
    <cellStyle name="40% - Accent1 5 11 2 3 2" xfId="51513"/>
    <cellStyle name="40% - Accent1 5 11 2 4" xfId="34403"/>
    <cellStyle name="40% - Accent1 5 11 3" xfId="8697"/>
    <cellStyle name="40% - Accent1 5 11 3 2" xfId="25744"/>
    <cellStyle name="40% - Accent1 5 11 3 2 2" xfId="54605"/>
    <cellStyle name="40% - Accent1 5 11 3 3" xfId="37558"/>
    <cellStyle name="40% - Accent1 5 11 4" xfId="13261"/>
    <cellStyle name="40% - Accent1 5 11 4 2" xfId="19972"/>
    <cellStyle name="40% - Accent1 5 11 4 2 2" xfId="48833"/>
    <cellStyle name="40% - Accent1 5 11 4 3" xfId="42122"/>
    <cellStyle name="40% - Accent1 5 11 5" xfId="17292"/>
    <cellStyle name="40% - Accent1 5 11 5 2" xfId="46153"/>
    <cellStyle name="40% - Accent1 5 11 6" xfId="31517"/>
    <cellStyle name="40% - Accent1 5 12" xfId="3171"/>
    <cellStyle name="40% - Accent1 5 12 2" xfId="9212"/>
    <cellStyle name="40% - Accent1 5 12 2 2" xfId="26259"/>
    <cellStyle name="40% - Accent1 5 12 2 2 2" xfId="55120"/>
    <cellStyle name="40% - Accent1 5 12 2 3" xfId="38073"/>
    <cellStyle name="40% - Accent1 5 12 3" xfId="12790"/>
    <cellStyle name="40% - Accent1 5 12 3 2" xfId="20281"/>
    <cellStyle name="40% - Accent1 5 12 3 2 2" xfId="49142"/>
    <cellStyle name="40% - Accent1 5 12 3 3" xfId="41651"/>
    <cellStyle name="40% - Accent1 5 12 4" xfId="14921"/>
    <cellStyle name="40% - Accent1 5 12 4 2" xfId="43782"/>
    <cellStyle name="40% - Accent1 5 12 5" xfId="32032"/>
    <cellStyle name="40% - Accent1 5 13" xfId="2862"/>
    <cellStyle name="40% - Accent1 5 13 2" xfId="8903"/>
    <cellStyle name="40% - Accent1 5 13 2 2" xfId="25950"/>
    <cellStyle name="40% - Accent1 5 13 2 2 2" xfId="54811"/>
    <cellStyle name="40% - Accent1 5 13 2 3" xfId="37764"/>
    <cellStyle name="40% - Accent1 5 13 3" xfId="17498"/>
    <cellStyle name="40% - Accent1 5 13 3 2" xfId="46359"/>
    <cellStyle name="40% - Accent1 5 13 4" xfId="31723"/>
    <cellStyle name="40% - Accent1 5 14" xfId="5748"/>
    <cellStyle name="40% - Accent1 5 14 2" xfId="11789"/>
    <cellStyle name="40% - Accent1 5 14 2 2" xfId="28836"/>
    <cellStyle name="40% - Accent1 5 14 2 2 2" xfId="57697"/>
    <cellStyle name="40% - Accent1 5 14 2 3" xfId="40650"/>
    <cellStyle name="40% - Accent1 5 14 3" xfId="22858"/>
    <cellStyle name="40% - Accent1 5 14 3 2" xfId="51719"/>
    <cellStyle name="40% - Accent1 5 14 4" xfId="34609"/>
    <cellStyle name="40% - Accent1 5 15" xfId="5965"/>
    <cellStyle name="40% - Accent1 5 15 2" xfId="23064"/>
    <cellStyle name="40% - Accent1 5 15 2 2" xfId="51925"/>
    <cellStyle name="40% - Accent1 5 15 3" xfId="34826"/>
    <cellStyle name="40% - Accent1 5 16" xfId="6326"/>
    <cellStyle name="40% - Accent1 5 16 2" xfId="23373"/>
    <cellStyle name="40% - Accent1 5 16 2 2" xfId="52234"/>
    <cellStyle name="40% - Accent1 5 16 3" xfId="35187"/>
    <cellStyle name="40% - Accent1 5 17" xfId="14612"/>
    <cellStyle name="40% - Accent1 5 17 2" xfId="43473"/>
    <cellStyle name="40% - Accent1 5 18" xfId="29146"/>
    <cellStyle name="40% - Accent1 5 2" xfId="490"/>
    <cellStyle name="40% - Accent1 5 2 2" xfId="2241"/>
    <cellStyle name="40% - Accent1 5 2 2 2" xfId="5128"/>
    <cellStyle name="40% - Accent1 5 2 2 2 2" xfId="11169"/>
    <cellStyle name="40% - Accent1 5 2 2 2 2 2" xfId="28216"/>
    <cellStyle name="40% - Accent1 5 2 2 2 2 2 2" xfId="57077"/>
    <cellStyle name="40% - Accent1 5 2 2 2 2 3" xfId="40030"/>
    <cellStyle name="40% - Accent1 5 2 2 2 3" xfId="22238"/>
    <cellStyle name="40% - Accent1 5 2 2 2 3 2" xfId="51099"/>
    <cellStyle name="40% - Accent1 5 2 2 2 4" xfId="33989"/>
    <cellStyle name="40% - Accent1 5 2 2 3" xfId="8283"/>
    <cellStyle name="40% - Accent1 5 2 2 3 2" xfId="25330"/>
    <cellStyle name="40% - Accent1 5 2 2 3 2 2" xfId="54191"/>
    <cellStyle name="40% - Accent1 5 2 2 3 3" xfId="37144"/>
    <cellStyle name="40% - Accent1 5 2 2 4" xfId="13848"/>
    <cellStyle name="40% - Accent1 5 2 2 4 2" xfId="19558"/>
    <cellStyle name="40% - Accent1 5 2 2 4 2 2" xfId="48419"/>
    <cellStyle name="40% - Accent1 5 2 2 4 3" xfId="42709"/>
    <cellStyle name="40% - Accent1 5 2 2 5" xfId="16878"/>
    <cellStyle name="40% - Accent1 5 2 2 5 2" xfId="45739"/>
    <cellStyle name="40% - Accent1 5 2 2 6" xfId="31103"/>
    <cellStyle name="40% - Accent1 5 2 3" xfId="3377"/>
    <cellStyle name="40% - Accent1 5 2 3 2" xfId="9418"/>
    <cellStyle name="40% - Accent1 5 2 3 2 2" xfId="26465"/>
    <cellStyle name="40% - Accent1 5 2 3 2 2 2" xfId="55326"/>
    <cellStyle name="40% - Accent1 5 2 3 2 3" xfId="38279"/>
    <cellStyle name="40% - Accent1 5 2 3 3" xfId="20487"/>
    <cellStyle name="40% - Accent1 5 2 3 3 2" xfId="49348"/>
    <cellStyle name="40% - Accent1 5 2 3 4" xfId="32238"/>
    <cellStyle name="40% - Accent1 5 2 4" xfId="6532"/>
    <cellStyle name="40% - Accent1 5 2 4 2" xfId="23579"/>
    <cellStyle name="40% - Accent1 5 2 4 2 2" xfId="52440"/>
    <cellStyle name="40% - Accent1 5 2 4 3" xfId="35393"/>
    <cellStyle name="40% - Accent1 5 2 5" xfId="13857"/>
    <cellStyle name="40% - Accent1 5 2 5 2" xfId="17807"/>
    <cellStyle name="40% - Accent1 5 2 5 2 2" xfId="46668"/>
    <cellStyle name="40% - Accent1 5 2 5 3" xfId="42718"/>
    <cellStyle name="40% - Accent1 5 2 6" xfId="15127"/>
    <cellStyle name="40% - Accent1 5 2 6 2" xfId="43988"/>
    <cellStyle name="40% - Accent1 5 2 7" xfId="29352"/>
    <cellStyle name="40% - Accent1 5 3" xfId="799"/>
    <cellStyle name="40% - Accent1 5 3 2" xfId="3686"/>
    <cellStyle name="40% - Accent1 5 3 2 2" xfId="9727"/>
    <cellStyle name="40% - Accent1 5 3 2 2 2" xfId="26774"/>
    <cellStyle name="40% - Accent1 5 3 2 2 2 2" xfId="55635"/>
    <cellStyle name="40% - Accent1 5 3 2 2 3" xfId="38588"/>
    <cellStyle name="40% - Accent1 5 3 2 3" xfId="20796"/>
    <cellStyle name="40% - Accent1 5 3 2 3 2" xfId="49657"/>
    <cellStyle name="40% - Accent1 5 3 2 4" xfId="32547"/>
    <cellStyle name="40% - Accent1 5 3 3" xfId="6841"/>
    <cellStyle name="40% - Accent1 5 3 3 2" xfId="23888"/>
    <cellStyle name="40% - Accent1 5 3 3 2 2" xfId="52749"/>
    <cellStyle name="40% - Accent1 5 3 3 3" xfId="35702"/>
    <cellStyle name="40% - Accent1 5 3 4" xfId="14034"/>
    <cellStyle name="40% - Accent1 5 3 4 2" xfId="18116"/>
    <cellStyle name="40% - Accent1 5 3 4 2 2" xfId="46977"/>
    <cellStyle name="40% - Accent1 5 3 4 3" xfId="42895"/>
    <cellStyle name="40% - Accent1 5 3 5" xfId="15436"/>
    <cellStyle name="40% - Accent1 5 3 5 2" xfId="44297"/>
    <cellStyle name="40% - Accent1 5 3 6" xfId="29661"/>
    <cellStyle name="40% - Accent1 5 4" xfId="1005"/>
    <cellStyle name="40% - Accent1 5 4 2" xfId="3892"/>
    <cellStyle name="40% - Accent1 5 4 2 2" xfId="9933"/>
    <cellStyle name="40% - Accent1 5 4 2 2 2" xfId="26980"/>
    <cellStyle name="40% - Accent1 5 4 2 2 2 2" xfId="55841"/>
    <cellStyle name="40% - Accent1 5 4 2 2 3" xfId="38794"/>
    <cellStyle name="40% - Accent1 5 4 2 3" xfId="21002"/>
    <cellStyle name="40% - Accent1 5 4 2 3 2" xfId="49863"/>
    <cellStyle name="40% - Accent1 5 4 2 4" xfId="32753"/>
    <cellStyle name="40% - Accent1 5 4 3" xfId="7047"/>
    <cellStyle name="40% - Accent1 5 4 3 2" xfId="24094"/>
    <cellStyle name="40% - Accent1 5 4 3 2 2" xfId="52955"/>
    <cellStyle name="40% - Accent1 5 4 3 3" xfId="35908"/>
    <cellStyle name="40% - Accent1 5 4 4" xfId="14421"/>
    <cellStyle name="40% - Accent1 5 4 4 2" xfId="18322"/>
    <cellStyle name="40% - Accent1 5 4 4 2 2" xfId="47183"/>
    <cellStyle name="40% - Accent1 5 4 4 3" xfId="43282"/>
    <cellStyle name="40% - Accent1 5 4 5" xfId="15642"/>
    <cellStyle name="40% - Accent1 5 4 5 2" xfId="44503"/>
    <cellStyle name="40% - Accent1 5 4 6" xfId="29867"/>
    <cellStyle name="40% - Accent1 5 5" xfId="1211"/>
    <cellStyle name="40% - Accent1 5 5 2" xfId="4098"/>
    <cellStyle name="40% - Accent1 5 5 2 2" xfId="10139"/>
    <cellStyle name="40% - Accent1 5 5 2 2 2" xfId="27186"/>
    <cellStyle name="40% - Accent1 5 5 2 2 2 2" xfId="56047"/>
    <cellStyle name="40% - Accent1 5 5 2 2 3" xfId="39000"/>
    <cellStyle name="40% - Accent1 5 5 2 3" xfId="21208"/>
    <cellStyle name="40% - Accent1 5 5 2 3 2" xfId="50069"/>
    <cellStyle name="40% - Accent1 5 5 2 4" xfId="32959"/>
    <cellStyle name="40% - Accent1 5 5 3" xfId="7253"/>
    <cellStyle name="40% - Accent1 5 5 3 2" xfId="24300"/>
    <cellStyle name="40% - Accent1 5 5 3 2 2" xfId="53161"/>
    <cellStyle name="40% - Accent1 5 5 3 3" xfId="36114"/>
    <cellStyle name="40% - Accent1 5 5 4" xfId="12617"/>
    <cellStyle name="40% - Accent1 5 5 4 2" xfId="18528"/>
    <cellStyle name="40% - Accent1 5 5 4 2 2" xfId="47389"/>
    <cellStyle name="40% - Accent1 5 5 4 3" xfId="41478"/>
    <cellStyle name="40% - Accent1 5 5 5" xfId="15848"/>
    <cellStyle name="40% - Accent1 5 5 5 2" xfId="44709"/>
    <cellStyle name="40% - Accent1 5 5 6" xfId="30073"/>
    <cellStyle name="40% - Accent1 5 6" xfId="1417"/>
    <cellStyle name="40% - Accent1 5 6 2" xfId="4304"/>
    <cellStyle name="40% - Accent1 5 6 2 2" xfId="10345"/>
    <cellStyle name="40% - Accent1 5 6 2 2 2" xfId="27392"/>
    <cellStyle name="40% - Accent1 5 6 2 2 2 2" xfId="56253"/>
    <cellStyle name="40% - Accent1 5 6 2 2 3" xfId="39206"/>
    <cellStyle name="40% - Accent1 5 6 2 3" xfId="21414"/>
    <cellStyle name="40% - Accent1 5 6 2 3 2" xfId="50275"/>
    <cellStyle name="40% - Accent1 5 6 2 4" xfId="33165"/>
    <cellStyle name="40% - Accent1 5 6 3" xfId="7459"/>
    <cellStyle name="40% - Accent1 5 6 3 2" xfId="24506"/>
    <cellStyle name="40% - Accent1 5 6 3 2 2" xfId="53367"/>
    <cellStyle name="40% - Accent1 5 6 3 3" xfId="36320"/>
    <cellStyle name="40% - Accent1 5 6 4" xfId="11887"/>
    <cellStyle name="40% - Accent1 5 6 4 2" xfId="18734"/>
    <cellStyle name="40% - Accent1 5 6 4 2 2" xfId="47595"/>
    <cellStyle name="40% - Accent1 5 6 4 3" xfId="40748"/>
    <cellStyle name="40% - Accent1 5 6 5" xfId="16054"/>
    <cellStyle name="40% - Accent1 5 6 5 2" xfId="44915"/>
    <cellStyle name="40% - Accent1 5 6 6" xfId="30279"/>
    <cellStyle name="40% - Accent1 5 7" xfId="1623"/>
    <cellStyle name="40% - Accent1 5 7 2" xfId="4510"/>
    <cellStyle name="40% - Accent1 5 7 2 2" xfId="10551"/>
    <cellStyle name="40% - Accent1 5 7 2 2 2" xfId="27598"/>
    <cellStyle name="40% - Accent1 5 7 2 2 2 2" xfId="56459"/>
    <cellStyle name="40% - Accent1 5 7 2 2 3" xfId="39412"/>
    <cellStyle name="40% - Accent1 5 7 2 3" xfId="21620"/>
    <cellStyle name="40% - Accent1 5 7 2 3 2" xfId="50481"/>
    <cellStyle name="40% - Accent1 5 7 2 4" xfId="33371"/>
    <cellStyle name="40% - Accent1 5 7 3" xfId="7665"/>
    <cellStyle name="40% - Accent1 5 7 3 2" xfId="24712"/>
    <cellStyle name="40% - Accent1 5 7 3 2 2" xfId="53573"/>
    <cellStyle name="40% - Accent1 5 7 3 3" xfId="36526"/>
    <cellStyle name="40% - Accent1 5 7 4" xfId="13092"/>
    <cellStyle name="40% - Accent1 5 7 4 2" xfId="18940"/>
    <cellStyle name="40% - Accent1 5 7 4 2 2" xfId="47801"/>
    <cellStyle name="40% - Accent1 5 7 4 3" xfId="41953"/>
    <cellStyle name="40% - Accent1 5 7 5" xfId="16260"/>
    <cellStyle name="40% - Accent1 5 7 5 2" xfId="45121"/>
    <cellStyle name="40% - Accent1 5 7 6" xfId="30485"/>
    <cellStyle name="40% - Accent1 5 8" xfId="1829"/>
    <cellStyle name="40% - Accent1 5 8 2" xfId="4716"/>
    <cellStyle name="40% - Accent1 5 8 2 2" xfId="10757"/>
    <cellStyle name="40% - Accent1 5 8 2 2 2" xfId="27804"/>
    <cellStyle name="40% - Accent1 5 8 2 2 2 2" xfId="56665"/>
    <cellStyle name="40% - Accent1 5 8 2 2 3" xfId="39618"/>
    <cellStyle name="40% - Accent1 5 8 2 3" xfId="21826"/>
    <cellStyle name="40% - Accent1 5 8 2 3 2" xfId="50687"/>
    <cellStyle name="40% - Accent1 5 8 2 4" xfId="33577"/>
    <cellStyle name="40% - Accent1 5 8 3" xfId="7871"/>
    <cellStyle name="40% - Accent1 5 8 3 2" xfId="24918"/>
    <cellStyle name="40% - Accent1 5 8 3 2 2" xfId="53779"/>
    <cellStyle name="40% - Accent1 5 8 3 3" xfId="36732"/>
    <cellStyle name="40% - Accent1 5 8 4" xfId="13474"/>
    <cellStyle name="40% - Accent1 5 8 4 2" xfId="19146"/>
    <cellStyle name="40% - Accent1 5 8 4 2 2" xfId="48007"/>
    <cellStyle name="40% - Accent1 5 8 4 3" xfId="42335"/>
    <cellStyle name="40% - Accent1 5 8 5" xfId="16466"/>
    <cellStyle name="40% - Accent1 5 8 5 2" xfId="45327"/>
    <cellStyle name="40% - Accent1 5 8 6" xfId="30691"/>
    <cellStyle name="40% - Accent1 5 9" xfId="2035"/>
    <cellStyle name="40% - Accent1 5 9 2" xfId="4922"/>
    <cellStyle name="40% - Accent1 5 9 2 2" xfId="10963"/>
    <cellStyle name="40% - Accent1 5 9 2 2 2" xfId="28010"/>
    <cellStyle name="40% - Accent1 5 9 2 2 2 2" xfId="56871"/>
    <cellStyle name="40% - Accent1 5 9 2 2 3" xfId="39824"/>
    <cellStyle name="40% - Accent1 5 9 2 3" xfId="22032"/>
    <cellStyle name="40% - Accent1 5 9 2 3 2" xfId="50893"/>
    <cellStyle name="40% - Accent1 5 9 2 4" xfId="33783"/>
    <cellStyle name="40% - Accent1 5 9 3" xfId="8077"/>
    <cellStyle name="40% - Accent1 5 9 3 2" xfId="25124"/>
    <cellStyle name="40% - Accent1 5 9 3 2 2" xfId="53985"/>
    <cellStyle name="40% - Accent1 5 9 3 3" xfId="36938"/>
    <cellStyle name="40% - Accent1 5 9 4" xfId="14350"/>
    <cellStyle name="40% - Accent1 5 9 4 2" xfId="19352"/>
    <cellStyle name="40% - Accent1 5 9 4 2 2" xfId="48213"/>
    <cellStyle name="40% - Accent1 5 9 4 3" xfId="43211"/>
    <cellStyle name="40% - Accent1 5 9 5" xfId="16672"/>
    <cellStyle name="40% - Accent1 5 9 5 2" xfId="45533"/>
    <cellStyle name="40% - Accent1 5 9 6" xfId="30897"/>
    <cellStyle name="40% - Accent1 6" xfId="181"/>
    <cellStyle name="40% - Accent1 6 2" xfId="593"/>
    <cellStyle name="40% - Accent1 6 2 2" xfId="3480"/>
    <cellStyle name="40% - Accent1 6 2 2 2" xfId="9521"/>
    <cellStyle name="40% - Accent1 6 2 2 2 2" xfId="26568"/>
    <cellStyle name="40% - Accent1 6 2 2 2 2 2" xfId="55429"/>
    <cellStyle name="40% - Accent1 6 2 2 2 3" xfId="38382"/>
    <cellStyle name="40% - Accent1 6 2 2 3" xfId="20590"/>
    <cellStyle name="40% - Accent1 6 2 2 3 2" xfId="49451"/>
    <cellStyle name="40% - Accent1 6 2 2 4" xfId="32341"/>
    <cellStyle name="40% - Accent1 6 2 3" xfId="6635"/>
    <cellStyle name="40% - Accent1 6 2 3 2" xfId="23682"/>
    <cellStyle name="40% - Accent1 6 2 3 2 2" xfId="52543"/>
    <cellStyle name="40% - Accent1 6 2 3 3" xfId="35496"/>
    <cellStyle name="40% - Accent1 6 2 4" xfId="12607"/>
    <cellStyle name="40% - Accent1 6 2 4 2" xfId="17910"/>
    <cellStyle name="40% - Accent1 6 2 4 2 2" xfId="46771"/>
    <cellStyle name="40% - Accent1 6 2 4 3" xfId="41468"/>
    <cellStyle name="40% - Accent1 6 2 5" xfId="15230"/>
    <cellStyle name="40% - Accent1 6 2 5 2" xfId="44091"/>
    <cellStyle name="40% - Accent1 6 2 6" xfId="29455"/>
    <cellStyle name="40% - Accent1 6 3" xfId="2138"/>
    <cellStyle name="40% - Accent1 6 3 2" xfId="5025"/>
    <cellStyle name="40% - Accent1 6 3 2 2" xfId="11066"/>
    <cellStyle name="40% - Accent1 6 3 2 2 2" xfId="28113"/>
    <cellStyle name="40% - Accent1 6 3 2 2 2 2" xfId="56974"/>
    <cellStyle name="40% - Accent1 6 3 2 2 3" xfId="39927"/>
    <cellStyle name="40% - Accent1 6 3 2 3" xfId="22135"/>
    <cellStyle name="40% - Accent1 6 3 2 3 2" xfId="50996"/>
    <cellStyle name="40% - Accent1 6 3 2 4" xfId="33886"/>
    <cellStyle name="40% - Accent1 6 3 3" xfId="8180"/>
    <cellStyle name="40% - Accent1 6 3 3 2" xfId="25227"/>
    <cellStyle name="40% - Accent1 6 3 3 2 2" xfId="54088"/>
    <cellStyle name="40% - Accent1 6 3 3 3" xfId="37041"/>
    <cellStyle name="40% - Accent1 6 3 4" xfId="12040"/>
    <cellStyle name="40% - Accent1 6 3 4 2" xfId="19455"/>
    <cellStyle name="40% - Accent1 6 3 4 2 2" xfId="48316"/>
    <cellStyle name="40% - Accent1 6 3 4 3" xfId="40901"/>
    <cellStyle name="40% - Accent1 6 3 5" xfId="16775"/>
    <cellStyle name="40% - Accent1 6 3 5 2" xfId="45636"/>
    <cellStyle name="40% - Accent1 6 3 6" xfId="31000"/>
    <cellStyle name="40% - Accent1 6 4" xfId="3068"/>
    <cellStyle name="40% - Accent1 6 4 2" xfId="9109"/>
    <cellStyle name="40% - Accent1 6 4 2 2" xfId="26156"/>
    <cellStyle name="40% - Accent1 6 4 2 2 2" xfId="55017"/>
    <cellStyle name="40% - Accent1 6 4 2 3" xfId="37970"/>
    <cellStyle name="40% - Accent1 6 4 3" xfId="20178"/>
    <cellStyle name="40% - Accent1 6 4 3 2" xfId="49039"/>
    <cellStyle name="40% - Accent1 6 4 4" xfId="31929"/>
    <cellStyle name="40% - Accent1 6 5" xfId="6223"/>
    <cellStyle name="40% - Accent1 6 5 2" xfId="23270"/>
    <cellStyle name="40% - Accent1 6 5 2 2" xfId="52131"/>
    <cellStyle name="40% - Accent1 6 5 3" xfId="35084"/>
    <cellStyle name="40% - Accent1 6 6" xfId="12437"/>
    <cellStyle name="40% - Accent1 6 6 2" xfId="17601"/>
    <cellStyle name="40% - Accent1 6 6 2 2" xfId="46462"/>
    <cellStyle name="40% - Accent1 6 6 3" xfId="41298"/>
    <cellStyle name="40% - Accent1 6 7" xfId="14818"/>
    <cellStyle name="40% - Accent1 6 7 2" xfId="43679"/>
    <cellStyle name="40% - Accent1 6 8" xfId="29043"/>
    <cellStyle name="40% - Accent1 7" xfId="387"/>
    <cellStyle name="40% - Accent1 7 2" xfId="3274"/>
    <cellStyle name="40% - Accent1 7 2 2" xfId="9315"/>
    <cellStyle name="40% - Accent1 7 2 2 2" xfId="26362"/>
    <cellStyle name="40% - Accent1 7 2 2 2 2" xfId="55223"/>
    <cellStyle name="40% - Accent1 7 2 2 3" xfId="38176"/>
    <cellStyle name="40% - Accent1 7 2 3" xfId="20384"/>
    <cellStyle name="40% - Accent1 7 2 3 2" xfId="49245"/>
    <cellStyle name="40% - Accent1 7 2 4" xfId="32135"/>
    <cellStyle name="40% - Accent1 7 3" xfId="6429"/>
    <cellStyle name="40% - Accent1 7 3 2" xfId="23476"/>
    <cellStyle name="40% - Accent1 7 3 2 2" xfId="52337"/>
    <cellStyle name="40% - Accent1 7 3 3" xfId="35290"/>
    <cellStyle name="40% - Accent1 7 4" xfId="11959"/>
    <cellStyle name="40% - Accent1 7 4 2" xfId="17704"/>
    <cellStyle name="40% - Accent1 7 4 2 2" xfId="46565"/>
    <cellStyle name="40% - Accent1 7 4 3" xfId="40820"/>
    <cellStyle name="40% - Accent1 7 5" xfId="15024"/>
    <cellStyle name="40% - Accent1 7 5 2" xfId="43885"/>
    <cellStyle name="40% - Accent1 7 6" xfId="29249"/>
    <cellStyle name="40% - Accent1 8" xfId="696"/>
    <cellStyle name="40% - Accent1 8 2" xfId="3583"/>
    <cellStyle name="40% - Accent1 8 2 2" xfId="9624"/>
    <cellStyle name="40% - Accent1 8 2 2 2" xfId="26671"/>
    <cellStyle name="40% - Accent1 8 2 2 2 2" xfId="55532"/>
    <cellStyle name="40% - Accent1 8 2 2 3" xfId="38485"/>
    <cellStyle name="40% - Accent1 8 2 3" xfId="20693"/>
    <cellStyle name="40% - Accent1 8 2 3 2" xfId="49554"/>
    <cellStyle name="40% - Accent1 8 2 4" xfId="32444"/>
    <cellStyle name="40% - Accent1 8 3" xfId="6738"/>
    <cellStyle name="40% - Accent1 8 3 2" xfId="23785"/>
    <cellStyle name="40% - Accent1 8 3 2 2" xfId="52646"/>
    <cellStyle name="40% - Accent1 8 3 3" xfId="35599"/>
    <cellStyle name="40% - Accent1 8 4" xfId="13031"/>
    <cellStyle name="40% - Accent1 8 4 2" xfId="18013"/>
    <cellStyle name="40% - Accent1 8 4 2 2" xfId="46874"/>
    <cellStyle name="40% - Accent1 8 4 3" xfId="41892"/>
    <cellStyle name="40% - Accent1 8 5" xfId="15333"/>
    <cellStyle name="40% - Accent1 8 5 2" xfId="44194"/>
    <cellStyle name="40% - Accent1 8 6" xfId="29558"/>
    <cellStyle name="40% - Accent1 9" xfId="902"/>
    <cellStyle name="40% - Accent1 9 2" xfId="3789"/>
    <cellStyle name="40% - Accent1 9 2 2" xfId="9830"/>
    <cellStyle name="40% - Accent1 9 2 2 2" xfId="26877"/>
    <cellStyle name="40% - Accent1 9 2 2 2 2" xfId="55738"/>
    <cellStyle name="40% - Accent1 9 2 2 3" xfId="38691"/>
    <cellStyle name="40% - Accent1 9 2 3" xfId="20899"/>
    <cellStyle name="40% - Accent1 9 2 3 2" xfId="49760"/>
    <cellStyle name="40% - Accent1 9 2 4" xfId="32650"/>
    <cellStyle name="40% - Accent1 9 3" xfId="6944"/>
    <cellStyle name="40% - Accent1 9 3 2" xfId="23991"/>
    <cellStyle name="40% - Accent1 9 3 2 2" xfId="52852"/>
    <cellStyle name="40% - Accent1 9 3 3" xfId="35805"/>
    <cellStyle name="40% - Accent1 9 4" xfId="13780"/>
    <cellStyle name="40% - Accent1 9 4 2" xfId="18219"/>
    <cellStyle name="40% - Accent1 9 4 2 2" xfId="47080"/>
    <cellStyle name="40% - Accent1 9 4 3" xfId="42641"/>
    <cellStyle name="40% - Accent1 9 5" xfId="15539"/>
    <cellStyle name="40% - Accent1 9 5 2" xfId="44400"/>
    <cellStyle name="40% - Accent1 9 6" xfId="29764"/>
    <cellStyle name="40% - Accent2" xfId="71" builtinId="35" customBuiltin="1"/>
    <cellStyle name="40% - Accent2 10" xfId="1110"/>
    <cellStyle name="40% - Accent2 10 2" xfId="3997"/>
    <cellStyle name="40% - Accent2 10 2 2" xfId="10038"/>
    <cellStyle name="40% - Accent2 10 2 2 2" xfId="27085"/>
    <cellStyle name="40% - Accent2 10 2 2 2 2" xfId="55946"/>
    <cellStyle name="40% - Accent2 10 2 2 3" xfId="38899"/>
    <cellStyle name="40% - Accent2 10 2 3" xfId="21107"/>
    <cellStyle name="40% - Accent2 10 2 3 2" xfId="49968"/>
    <cellStyle name="40% - Accent2 10 2 4" xfId="32858"/>
    <cellStyle name="40% - Accent2 10 3" xfId="7152"/>
    <cellStyle name="40% - Accent2 10 3 2" xfId="24199"/>
    <cellStyle name="40% - Accent2 10 3 2 2" xfId="53060"/>
    <cellStyle name="40% - Accent2 10 3 3" xfId="36013"/>
    <cellStyle name="40% - Accent2 10 4" xfId="13160"/>
    <cellStyle name="40% - Accent2 10 4 2" xfId="18427"/>
    <cellStyle name="40% - Accent2 10 4 2 2" xfId="47288"/>
    <cellStyle name="40% - Accent2 10 4 3" xfId="42021"/>
    <cellStyle name="40% - Accent2 10 5" xfId="15747"/>
    <cellStyle name="40% - Accent2 10 5 2" xfId="44608"/>
    <cellStyle name="40% - Accent2 10 6" xfId="29972"/>
    <cellStyle name="40% - Accent2 11" xfId="1316"/>
    <cellStyle name="40% - Accent2 11 2" xfId="4203"/>
    <cellStyle name="40% - Accent2 11 2 2" xfId="10244"/>
    <cellStyle name="40% - Accent2 11 2 2 2" xfId="27291"/>
    <cellStyle name="40% - Accent2 11 2 2 2 2" xfId="56152"/>
    <cellStyle name="40% - Accent2 11 2 2 3" xfId="39105"/>
    <cellStyle name="40% - Accent2 11 2 3" xfId="21313"/>
    <cellStyle name="40% - Accent2 11 2 3 2" xfId="50174"/>
    <cellStyle name="40% - Accent2 11 2 4" xfId="33064"/>
    <cellStyle name="40% - Accent2 11 3" xfId="7358"/>
    <cellStyle name="40% - Accent2 11 3 2" xfId="24405"/>
    <cellStyle name="40% - Accent2 11 3 2 2" xfId="53266"/>
    <cellStyle name="40% - Accent2 11 3 3" xfId="36219"/>
    <cellStyle name="40% - Accent2 11 4" xfId="13065"/>
    <cellStyle name="40% - Accent2 11 4 2" xfId="18633"/>
    <cellStyle name="40% - Accent2 11 4 2 2" xfId="47494"/>
    <cellStyle name="40% - Accent2 11 4 3" xfId="41926"/>
    <cellStyle name="40% - Accent2 11 5" xfId="15953"/>
    <cellStyle name="40% - Accent2 11 5 2" xfId="44814"/>
    <cellStyle name="40% - Accent2 11 6" xfId="30178"/>
    <cellStyle name="40% - Accent2 12" xfId="1522"/>
    <cellStyle name="40% - Accent2 12 2" xfId="4409"/>
    <cellStyle name="40% - Accent2 12 2 2" xfId="10450"/>
    <cellStyle name="40% - Accent2 12 2 2 2" xfId="27497"/>
    <cellStyle name="40% - Accent2 12 2 2 2 2" xfId="56358"/>
    <cellStyle name="40% - Accent2 12 2 2 3" xfId="39311"/>
    <cellStyle name="40% - Accent2 12 2 3" xfId="21519"/>
    <cellStyle name="40% - Accent2 12 2 3 2" xfId="50380"/>
    <cellStyle name="40% - Accent2 12 2 4" xfId="33270"/>
    <cellStyle name="40% - Accent2 12 3" xfId="7564"/>
    <cellStyle name="40% - Accent2 12 3 2" xfId="24611"/>
    <cellStyle name="40% - Accent2 12 3 2 2" xfId="53472"/>
    <cellStyle name="40% - Accent2 12 3 3" xfId="36425"/>
    <cellStyle name="40% - Accent2 12 4" xfId="12699"/>
    <cellStyle name="40% - Accent2 12 4 2" xfId="18839"/>
    <cellStyle name="40% - Accent2 12 4 2 2" xfId="47700"/>
    <cellStyle name="40% - Accent2 12 4 3" xfId="41560"/>
    <cellStyle name="40% - Accent2 12 5" xfId="16159"/>
    <cellStyle name="40% - Accent2 12 5 2" xfId="45020"/>
    <cellStyle name="40% - Accent2 12 6" xfId="30384"/>
    <cellStyle name="40% - Accent2 13" xfId="1728"/>
    <cellStyle name="40% - Accent2 13 2" xfId="4615"/>
    <cellStyle name="40% - Accent2 13 2 2" xfId="10656"/>
    <cellStyle name="40% - Accent2 13 2 2 2" xfId="27703"/>
    <cellStyle name="40% - Accent2 13 2 2 2 2" xfId="56564"/>
    <cellStyle name="40% - Accent2 13 2 2 3" xfId="39517"/>
    <cellStyle name="40% - Accent2 13 2 3" xfId="21725"/>
    <cellStyle name="40% - Accent2 13 2 3 2" xfId="50586"/>
    <cellStyle name="40% - Accent2 13 2 4" xfId="33476"/>
    <cellStyle name="40% - Accent2 13 3" xfId="7770"/>
    <cellStyle name="40% - Accent2 13 3 2" xfId="24817"/>
    <cellStyle name="40% - Accent2 13 3 2 2" xfId="53678"/>
    <cellStyle name="40% - Accent2 13 3 3" xfId="36631"/>
    <cellStyle name="40% - Accent2 13 4" xfId="12286"/>
    <cellStyle name="40% - Accent2 13 4 2" xfId="19045"/>
    <cellStyle name="40% - Accent2 13 4 2 2" xfId="47906"/>
    <cellStyle name="40% - Accent2 13 4 3" xfId="41147"/>
    <cellStyle name="40% - Accent2 13 5" xfId="16365"/>
    <cellStyle name="40% - Accent2 13 5 2" xfId="45226"/>
    <cellStyle name="40% - Accent2 13 6" xfId="30590"/>
    <cellStyle name="40% - Accent2 14" xfId="1934"/>
    <cellStyle name="40% - Accent2 14 2" xfId="4821"/>
    <cellStyle name="40% - Accent2 14 2 2" xfId="10862"/>
    <cellStyle name="40% - Accent2 14 2 2 2" xfId="27909"/>
    <cellStyle name="40% - Accent2 14 2 2 2 2" xfId="56770"/>
    <cellStyle name="40% - Accent2 14 2 2 3" xfId="39723"/>
    <cellStyle name="40% - Accent2 14 2 3" xfId="21931"/>
    <cellStyle name="40% - Accent2 14 2 3 2" xfId="50792"/>
    <cellStyle name="40% - Accent2 14 2 4" xfId="33682"/>
    <cellStyle name="40% - Accent2 14 3" xfId="7976"/>
    <cellStyle name="40% - Accent2 14 3 2" xfId="25023"/>
    <cellStyle name="40% - Accent2 14 3 2 2" xfId="53884"/>
    <cellStyle name="40% - Accent2 14 3 3" xfId="36837"/>
    <cellStyle name="40% - Accent2 14 4" xfId="13978"/>
    <cellStyle name="40% - Accent2 14 4 2" xfId="19251"/>
    <cellStyle name="40% - Accent2 14 4 2 2" xfId="48112"/>
    <cellStyle name="40% - Accent2 14 4 3" xfId="42839"/>
    <cellStyle name="40% - Accent2 14 5" xfId="16571"/>
    <cellStyle name="40% - Accent2 14 5 2" xfId="45432"/>
    <cellStyle name="40% - Accent2 14 6" xfId="30796"/>
    <cellStyle name="40% - Accent2 15" xfId="2346"/>
    <cellStyle name="40% - Accent2 15 2" xfId="5233"/>
    <cellStyle name="40% - Accent2 15 2 2" xfId="11274"/>
    <cellStyle name="40% - Accent2 15 2 2 2" xfId="28321"/>
    <cellStyle name="40% - Accent2 15 2 2 2 2" xfId="57182"/>
    <cellStyle name="40% - Accent2 15 2 2 3" xfId="40135"/>
    <cellStyle name="40% - Accent2 15 2 3" xfId="22343"/>
    <cellStyle name="40% - Accent2 15 2 3 2" xfId="51204"/>
    <cellStyle name="40% - Accent2 15 2 4" xfId="34094"/>
    <cellStyle name="40% - Accent2 15 3" xfId="8388"/>
    <cellStyle name="40% - Accent2 15 3 2" xfId="25435"/>
    <cellStyle name="40% - Accent2 15 3 2 2" xfId="54296"/>
    <cellStyle name="40% - Accent2 15 3 3" xfId="37249"/>
    <cellStyle name="40% - Accent2 15 4" xfId="12074"/>
    <cellStyle name="40% - Accent2 15 4 2" xfId="19663"/>
    <cellStyle name="40% - Accent2 15 4 2 2" xfId="48524"/>
    <cellStyle name="40% - Accent2 15 4 3" xfId="40935"/>
    <cellStyle name="40% - Accent2 15 5" xfId="16983"/>
    <cellStyle name="40% - Accent2 15 5 2" xfId="45844"/>
    <cellStyle name="40% - Accent2 15 6" xfId="31208"/>
    <cellStyle name="40% - Accent2 16" xfId="2555"/>
    <cellStyle name="40% - Accent2 16 2" xfId="5441"/>
    <cellStyle name="40% - Accent2 16 2 2" xfId="11482"/>
    <cellStyle name="40% - Accent2 16 2 2 2" xfId="28529"/>
    <cellStyle name="40% - Accent2 16 2 2 2 2" xfId="57390"/>
    <cellStyle name="40% - Accent2 16 2 2 3" xfId="40343"/>
    <cellStyle name="40% - Accent2 16 2 3" xfId="22551"/>
    <cellStyle name="40% - Accent2 16 2 3 2" xfId="51412"/>
    <cellStyle name="40% - Accent2 16 2 4" xfId="34302"/>
    <cellStyle name="40% - Accent2 16 3" xfId="8596"/>
    <cellStyle name="40% - Accent2 16 3 2" xfId="25643"/>
    <cellStyle name="40% - Accent2 16 3 2 2" xfId="54504"/>
    <cellStyle name="40% - Accent2 16 3 3" xfId="37457"/>
    <cellStyle name="40% - Accent2 16 4" xfId="6088"/>
    <cellStyle name="40% - Accent2 16 4 2" xfId="19871"/>
    <cellStyle name="40% - Accent2 16 4 2 2" xfId="48732"/>
    <cellStyle name="40% - Accent2 16 4 3" xfId="34949"/>
    <cellStyle name="40% - Accent2 16 5" xfId="17191"/>
    <cellStyle name="40% - Accent2 16 5 2" xfId="46052"/>
    <cellStyle name="40% - Accent2 16 6" xfId="31416"/>
    <cellStyle name="40% - Accent2 17" xfId="2967"/>
    <cellStyle name="40% - Accent2 17 2" xfId="9008"/>
    <cellStyle name="40% - Accent2 17 2 2" xfId="26055"/>
    <cellStyle name="40% - Accent2 17 2 2 2" xfId="54916"/>
    <cellStyle name="40% - Accent2 17 2 3" xfId="37869"/>
    <cellStyle name="40% - Accent2 17 3" xfId="14355"/>
    <cellStyle name="40% - Accent2 17 3 2" xfId="20077"/>
    <cellStyle name="40% - Accent2 17 3 2 2" xfId="48938"/>
    <cellStyle name="40% - Accent2 17 3 3" xfId="43216"/>
    <cellStyle name="40% - Accent2 17 4" xfId="14717"/>
    <cellStyle name="40% - Accent2 17 4 2" xfId="43578"/>
    <cellStyle name="40% - Accent2 17 5" xfId="31828"/>
    <cellStyle name="40% - Accent2 18" xfId="2761"/>
    <cellStyle name="40% - Accent2 18 2" xfId="8802"/>
    <cellStyle name="40% - Accent2 18 2 2" xfId="25849"/>
    <cellStyle name="40% - Accent2 18 2 2 2" xfId="54710"/>
    <cellStyle name="40% - Accent2 18 2 3" xfId="37663"/>
    <cellStyle name="40% - Accent2 18 3" xfId="17397"/>
    <cellStyle name="40% - Accent2 18 3 2" xfId="46258"/>
    <cellStyle name="40% - Accent2 18 4" xfId="31622"/>
    <cellStyle name="40% - Accent2 19" xfId="5647"/>
    <cellStyle name="40% - Accent2 19 2" xfId="11688"/>
    <cellStyle name="40% - Accent2 19 2 2" xfId="28735"/>
    <cellStyle name="40% - Accent2 19 2 2 2" xfId="57596"/>
    <cellStyle name="40% - Accent2 19 2 3" xfId="40549"/>
    <cellStyle name="40% - Accent2 19 3" xfId="22757"/>
    <cellStyle name="40% - Accent2 19 3 2" xfId="51618"/>
    <cellStyle name="40% - Accent2 19 4" xfId="34508"/>
    <cellStyle name="40% - Accent2 2" xfId="94"/>
    <cellStyle name="40% - Accent2 2 10" xfId="1330"/>
    <cellStyle name="40% - Accent2 2 10 2" xfId="4217"/>
    <cellStyle name="40% - Accent2 2 10 2 2" xfId="10258"/>
    <cellStyle name="40% - Accent2 2 10 2 2 2" xfId="27305"/>
    <cellStyle name="40% - Accent2 2 10 2 2 2 2" xfId="56166"/>
    <cellStyle name="40% - Accent2 2 10 2 2 3" xfId="39119"/>
    <cellStyle name="40% - Accent2 2 10 2 3" xfId="21327"/>
    <cellStyle name="40% - Accent2 2 10 2 3 2" xfId="50188"/>
    <cellStyle name="40% - Accent2 2 10 2 4" xfId="33078"/>
    <cellStyle name="40% - Accent2 2 10 3" xfId="7372"/>
    <cellStyle name="40% - Accent2 2 10 3 2" xfId="24419"/>
    <cellStyle name="40% - Accent2 2 10 3 2 2" xfId="53280"/>
    <cellStyle name="40% - Accent2 2 10 3 3" xfId="36233"/>
    <cellStyle name="40% - Accent2 2 10 4" xfId="12424"/>
    <cellStyle name="40% - Accent2 2 10 4 2" xfId="18647"/>
    <cellStyle name="40% - Accent2 2 10 4 2 2" xfId="47508"/>
    <cellStyle name="40% - Accent2 2 10 4 3" xfId="41285"/>
    <cellStyle name="40% - Accent2 2 10 5" xfId="15967"/>
    <cellStyle name="40% - Accent2 2 10 5 2" xfId="44828"/>
    <cellStyle name="40% - Accent2 2 10 6" xfId="30192"/>
    <cellStyle name="40% - Accent2 2 11" xfId="1536"/>
    <cellStyle name="40% - Accent2 2 11 2" xfId="4423"/>
    <cellStyle name="40% - Accent2 2 11 2 2" xfId="10464"/>
    <cellStyle name="40% - Accent2 2 11 2 2 2" xfId="27511"/>
    <cellStyle name="40% - Accent2 2 11 2 2 2 2" xfId="56372"/>
    <cellStyle name="40% - Accent2 2 11 2 2 3" xfId="39325"/>
    <cellStyle name="40% - Accent2 2 11 2 3" xfId="21533"/>
    <cellStyle name="40% - Accent2 2 11 2 3 2" xfId="50394"/>
    <cellStyle name="40% - Accent2 2 11 2 4" xfId="33284"/>
    <cellStyle name="40% - Accent2 2 11 3" xfId="7578"/>
    <cellStyle name="40% - Accent2 2 11 3 2" xfId="24625"/>
    <cellStyle name="40% - Accent2 2 11 3 2 2" xfId="53486"/>
    <cellStyle name="40% - Accent2 2 11 3 3" xfId="36439"/>
    <cellStyle name="40% - Accent2 2 11 4" xfId="12802"/>
    <cellStyle name="40% - Accent2 2 11 4 2" xfId="18853"/>
    <cellStyle name="40% - Accent2 2 11 4 2 2" xfId="47714"/>
    <cellStyle name="40% - Accent2 2 11 4 3" xfId="41663"/>
    <cellStyle name="40% - Accent2 2 11 5" xfId="16173"/>
    <cellStyle name="40% - Accent2 2 11 5 2" xfId="45034"/>
    <cellStyle name="40% - Accent2 2 11 6" xfId="30398"/>
    <cellStyle name="40% - Accent2 2 12" xfId="1742"/>
    <cellStyle name="40% - Accent2 2 12 2" xfId="4629"/>
    <cellStyle name="40% - Accent2 2 12 2 2" xfId="10670"/>
    <cellStyle name="40% - Accent2 2 12 2 2 2" xfId="27717"/>
    <cellStyle name="40% - Accent2 2 12 2 2 2 2" xfId="56578"/>
    <cellStyle name="40% - Accent2 2 12 2 2 3" xfId="39531"/>
    <cellStyle name="40% - Accent2 2 12 2 3" xfId="21739"/>
    <cellStyle name="40% - Accent2 2 12 2 3 2" xfId="50600"/>
    <cellStyle name="40% - Accent2 2 12 2 4" xfId="33490"/>
    <cellStyle name="40% - Accent2 2 12 3" xfId="7784"/>
    <cellStyle name="40% - Accent2 2 12 3 2" xfId="24831"/>
    <cellStyle name="40% - Accent2 2 12 3 2 2" xfId="53692"/>
    <cellStyle name="40% - Accent2 2 12 3 3" xfId="36645"/>
    <cellStyle name="40% - Accent2 2 12 4" xfId="12643"/>
    <cellStyle name="40% - Accent2 2 12 4 2" xfId="19059"/>
    <cellStyle name="40% - Accent2 2 12 4 2 2" xfId="47920"/>
    <cellStyle name="40% - Accent2 2 12 4 3" xfId="41504"/>
    <cellStyle name="40% - Accent2 2 12 5" xfId="16379"/>
    <cellStyle name="40% - Accent2 2 12 5 2" xfId="45240"/>
    <cellStyle name="40% - Accent2 2 12 6" xfId="30604"/>
    <cellStyle name="40% - Accent2 2 13" xfId="1948"/>
    <cellStyle name="40% - Accent2 2 13 2" xfId="4835"/>
    <cellStyle name="40% - Accent2 2 13 2 2" xfId="10876"/>
    <cellStyle name="40% - Accent2 2 13 2 2 2" xfId="27923"/>
    <cellStyle name="40% - Accent2 2 13 2 2 2 2" xfId="56784"/>
    <cellStyle name="40% - Accent2 2 13 2 2 3" xfId="39737"/>
    <cellStyle name="40% - Accent2 2 13 2 3" xfId="21945"/>
    <cellStyle name="40% - Accent2 2 13 2 3 2" xfId="50806"/>
    <cellStyle name="40% - Accent2 2 13 2 4" xfId="33696"/>
    <cellStyle name="40% - Accent2 2 13 3" xfId="7990"/>
    <cellStyle name="40% - Accent2 2 13 3 2" xfId="25037"/>
    <cellStyle name="40% - Accent2 2 13 3 2 2" xfId="53898"/>
    <cellStyle name="40% - Accent2 2 13 3 3" xfId="36851"/>
    <cellStyle name="40% - Accent2 2 13 4" xfId="14335"/>
    <cellStyle name="40% - Accent2 2 13 4 2" xfId="19265"/>
    <cellStyle name="40% - Accent2 2 13 4 2 2" xfId="48126"/>
    <cellStyle name="40% - Accent2 2 13 4 3" xfId="43196"/>
    <cellStyle name="40% - Accent2 2 13 5" xfId="16585"/>
    <cellStyle name="40% - Accent2 2 13 5 2" xfId="45446"/>
    <cellStyle name="40% - Accent2 2 13 6" xfId="30810"/>
    <cellStyle name="40% - Accent2 2 14" xfId="2360"/>
    <cellStyle name="40% - Accent2 2 14 2" xfId="5247"/>
    <cellStyle name="40% - Accent2 2 14 2 2" xfId="11288"/>
    <cellStyle name="40% - Accent2 2 14 2 2 2" xfId="28335"/>
    <cellStyle name="40% - Accent2 2 14 2 2 2 2" xfId="57196"/>
    <cellStyle name="40% - Accent2 2 14 2 2 3" xfId="40149"/>
    <cellStyle name="40% - Accent2 2 14 2 3" xfId="22357"/>
    <cellStyle name="40% - Accent2 2 14 2 3 2" xfId="51218"/>
    <cellStyle name="40% - Accent2 2 14 2 4" xfId="34108"/>
    <cellStyle name="40% - Accent2 2 14 3" xfId="8402"/>
    <cellStyle name="40% - Accent2 2 14 3 2" xfId="25449"/>
    <cellStyle name="40% - Accent2 2 14 3 2 2" xfId="54310"/>
    <cellStyle name="40% - Accent2 2 14 3 3" xfId="37263"/>
    <cellStyle name="40% - Accent2 2 14 4" xfId="6054"/>
    <cellStyle name="40% - Accent2 2 14 4 2" xfId="19677"/>
    <cellStyle name="40% - Accent2 2 14 4 2 2" xfId="48538"/>
    <cellStyle name="40% - Accent2 2 14 4 3" xfId="34915"/>
    <cellStyle name="40% - Accent2 2 14 5" xfId="16997"/>
    <cellStyle name="40% - Accent2 2 14 5 2" xfId="45858"/>
    <cellStyle name="40% - Accent2 2 14 6" xfId="31222"/>
    <cellStyle name="40% - Accent2 2 15" xfId="2569"/>
    <cellStyle name="40% - Accent2 2 15 2" xfId="5455"/>
    <cellStyle name="40% - Accent2 2 15 2 2" xfId="11496"/>
    <cellStyle name="40% - Accent2 2 15 2 2 2" xfId="28543"/>
    <cellStyle name="40% - Accent2 2 15 2 2 2 2" xfId="57404"/>
    <cellStyle name="40% - Accent2 2 15 2 2 3" xfId="40357"/>
    <cellStyle name="40% - Accent2 2 15 2 3" xfId="22565"/>
    <cellStyle name="40% - Accent2 2 15 2 3 2" xfId="51426"/>
    <cellStyle name="40% - Accent2 2 15 2 4" xfId="34316"/>
    <cellStyle name="40% - Accent2 2 15 3" xfId="8610"/>
    <cellStyle name="40% - Accent2 2 15 3 2" xfId="25657"/>
    <cellStyle name="40% - Accent2 2 15 3 2 2" xfId="54518"/>
    <cellStyle name="40% - Accent2 2 15 3 3" xfId="37471"/>
    <cellStyle name="40% - Accent2 2 15 4" xfId="13228"/>
    <cellStyle name="40% - Accent2 2 15 4 2" xfId="19885"/>
    <cellStyle name="40% - Accent2 2 15 4 2 2" xfId="48746"/>
    <cellStyle name="40% - Accent2 2 15 4 3" xfId="42089"/>
    <cellStyle name="40% - Accent2 2 15 5" xfId="17205"/>
    <cellStyle name="40% - Accent2 2 15 5 2" xfId="46066"/>
    <cellStyle name="40% - Accent2 2 15 6" xfId="31430"/>
    <cellStyle name="40% - Accent2 2 16" xfId="2981"/>
    <cellStyle name="40% - Accent2 2 16 2" xfId="9022"/>
    <cellStyle name="40% - Accent2 2 16 2 2" xfId="26069"/>
    <cellStyle name="40% - Accent2 2 16 2 2 2" xfId="54930"/>
    <cellStyle name="40% - Accent2 2 16 2 3" xfId="37883"/>
    <cellStyle name="40% - Accent2 2 16 3" xfId="14393"/>
    <cellStyle name="40% - Accent2 2 16 3 2" xfId="20091"/>
    <cellStyle name="40% - Accent2 2 16 3 2 2" xfId="48952"/>
    <cellStyle name="40% - Accent2 2 16 3 3" xfId="43254"/>
    <cellStyle name="40% - Accent2 2 16 4" xfId="14731"/>
    <cellStyle name="40% - Accent2 2 16 4 2" xfId="43592"/>
    <cellStyle name="40% - Accent2 2 16 5" xfId="31842"/>
    <cellStyle name="40% - Accent2 2 17" xfId="2775"/>
    <cellStyle name="40% - Accent2 2 17 2" xfId="8816"/>
    <cellStyle name="40% - Accent2 2 17 2 2" xfId="25863"/>
    <cellStyle name="40% - Accent2 2 17 2 2 2" xfId="54724"/>
    <cellStyle name="40% - Accent2 2 17 2 3" xfId="37677"/>
    <cellStyle name="40% - Accent2 2 17 3" xfId="17411"/>
    <cellStyle name="40% - Accent2 2 17 3 2" xfId="46272"/>
    <cellStyle name="40% - Accent2 2 17 4" xfId="31636"/>
    <cellStyle name="40% - Accent2 2 18" xfId="5661"/>
    <cellStyle name="40% - Accent2 2 18 2" xfId="11702"/>
    <cellStyle name="40% - Accent2 2 18 2 2" xfId="28749"/>
    <cellStyle name="40% - Accent2 2 18 2 2 2" xfId="57610"/>
    <cellStyle name="40% - Accent2 2 18 2 3" xfId="40563"/>
    <cellStyle name="40% - Accent2 2 18 3" xfId="22771"/>
    <cellStyle name="40% - Accent2 2 18 3 2" xfId="51632"/>
    <cellStyle name="40% - Accent2 2 18 4" xfId="34522"/>
    <cellStyle name="40% - Accent2 2 19" xfId="5878"/>
    <cellStyle name="40% - Accent2 2 19 2" xfId="22977"/>
    <cellStyle name="40% - Accent2 2 19 2 2" xfId="51838"/>
    <cellStyle name="40% - Accent2 2 19 3" xfId="34739"/>
    <cellStyle name="40% - Accent2 2 2" xfId="120"/>
    <cellStyle name="40% - Accent2 2 2 10" xfId="1768"/>
    <cellStyle name="40% - Accent2 2 2 10 2" xfId="4655"/>
    <cellStyle name="40% - Accent2 2 2 10 2 2" xfId="10696"/>
    <cellStyle name="40% - Accent2 2 2 10 2 2 2" xfId="27743"/>
    <cellStyle name="40% - Accent2 2 2 10 2 2 2 2" xfId="56604"/>
    <cellStyle name="40% - Accent2 2 2 10 2 2 3" xfId="39557"/>
    <cellStyle name="40% - Accent2 2 2 10 2 3" xfId="21765"/>
    <cellStyle name="40% - Accent2 2 2 10 2 3 2" xfId="50626"/>
    <cellStyle name="40% - Accent2 2 2 10 2 4" xfId="33516"/>
    <cellStyle name="40% - Accent2 2 2 10 3" xfId="7810"/>
    <cellStyle name="40% - Accent2 2 2 10 3 2" xfId="24857"/>
    <cellStyle name="40% - Accent2 2 2 10 3 2 2" xfId="53718"/>
    <cellStyle name="40% - Accent2 2 2 10 3 3" xfId="36671"/>
    <cellStyle name="40% - Accent2 2 2 10 4" xfId="13816"/>
    <cellStyle name="40% - Accent2 2 2 10 4 2" xfId="19085"/>
    <cellStyle name="40% - Accent2 2 2 10 4 2 2" xfId="47946"/>
    <cellStyle name="40% - Accent2 2 2 10 4 3" xfId="42677"/>
    <cellStyle name="40% - Accent2 2 2 10 5" xfId="16405"/>
    <cellStyle name="40% - Accent2 2 2 10 5 2" xfId="45266"/>
    <cellStyle name="40% - Accent2 2 2 10 6" xfId="30630"/>
    <cellStyle name="40% - Accent2 2 2 11" xfId="1974"/>
    <cellStyle name="40% - Accent2 2 2 11 2" xfId="4861"/>
    <cellStyle name="40% - Accent2 2 2 11 2 2" xfId="10902"/>
    <cellStyle name="40% - Accent2 2 2 11 2 2 2" xfId="27949"/>
    <cellStyle name="40% - Accent2 2 2 11 2 2 2 2" xfId="56810"/>
    <cellStyle name="40% - Accent2 2 2 11 2 2 3" xfId="39763"/>
    <cellStyle name="40% - Accent2 2 2 11 2 3" xfId="21971"/>
    <cellStyle name="40% - Accent2 2 2 11 2 3 2" xfId="50832"/>
    <cellStyle name="40% - Accent2 2 2 11 2 4" xfId="33722"/>
    <cellStyle name="40% - Accent2 2 2 11 3" xfId="8016"/>
    <cellStyle name="40% - Accent2 2 2 11 3 2" xfId="25063"/>
    <cellStyle name="40% - Accent2 2 2 11 3 2 2" xfId="53924"/>
    <cellStyle name="40% - Accent2 2 2 11 3 3" xfId="36877"/>
    <cellStyle name="40% - Accent2 2 2 11 4" xfId="13260"/>
    <cellStyle name="40% - Accent2 2 2 11 4 2" xfId="19291"/>
    <cellStyle name="40% - Accent2 2 2 11 4 2 2" xfId="48152"/>
    <cellStyle name="40% - Accent2 2 2 11 4 3" xfId="42121"/>
    <cellStyle name="40% - Accent2 2 2 11 5" xfId="16611"/>
    <cellStyle name="40% - Accent2 2 2 11 5 2" xfId="45472"/>
    <cellStyle name="40% - Accent2 2 2 11 6" xfId="30836"/>
    <cellStyle name="40% - Accent2 2 2 12" xfId="2386"/>
    <cellStyle name="40% - Accent2 2 2 12 2" xfId="5273"/>
    <cellStyle name="40% - Accent2 2 2 12 2 2" xfId="11314"/>
    <cellStyle name="40% - Accent2 2 2 12 2 2 2" xfId="28361"/>
    <cellStyle name="40% - Accent2 2 2 12 2 2 2 2" xfId="57222"/>
    <cellStyle name="40% - Accent2 2 2 12 2 2 3" xfId="40175"/>
    <cellStyle name="40% - Accent2 2 2 12 2 3" xfId="22383"/>
    <cellStyle name="40% - Accent2 2 2 12 2 3 2" xfId="51244"/>
    <cellStyle name="40% - Accent2 2 2 12 2 4" xfId="34134"/>
    <cellStyle name="40% - Accent2 2 2 12 3" xfId="8428"/>
    <cellStyle name="40% - Accent2 2 2 12 3 2" xfId="25475"/>
    <cellStyle name="40% - Accent2 2 2 12 3 2 2" xfId="54336"/>
    <cellStyle name="40% - Accent2 2 2 12 3 3" xfId="37289"/>
    <cellStyle name="40% - Accent2 2 2 12 4" xfId="13610"/>
    <cellStyle name="40% - Accent2 2 2 12 4 2" xfId="19703"/>
    <cellStyle name="40% - Accent2 2 2 12 4 2 2" xfId="48564"/>
    <cellStyle name="40% - Accent2 2 2 12 4 3" xfId="42471"/>
    <cellStyle name="40% - Accent2 2 2 12 5" xfId="17023"/>
    <cellStyle name="40% - Accent2 2 2 12 5 2" xfId="45884"/>
    <cellStyle name="40% - Accent2 2 2 12 6" xfId="31248"/>
    <cellStyle name="40% - Accent2 2 2 13" xfId="2595"/>
    <cellStyle name="40% - Accent2 2 2 13 2" xfId="5481"/>
    <cellStyle name="40% - Accent2 2 2 13 2 2" xfId="11522"/>
    <cellStyle name="40% - Accent2 2 2 13 2 2 2" xfId="28569"/>
    <cellStyle name="40% - Accent2 2 2 13 2 2 2 2" xfId="57430"/>
    <cellStyle name="40% - Accent2 2 2 13 2 2 3" xfId="40383"/>
    <cellStyle name="40% - Accent2 2 2 13 2 3" xfId="22591"/>
    <cellStyle name="40% - Accent2 2 2 13 2 3 2" xfId="51452"/>
    <cellStyle name="40% - Accent2 2 2 13 2 4" xfId="34342"/>
    <cellStyle name="40% - Accent2 2 2 13 3" xfId="8636"/>
    <cellStyle name="40% - Accent2 2 2 13 3 2" xfId="25683"/>
    <cellStyle name="40% - Accent2 2 2 13 3 2 2" xfId="54544"/>
    <cellStyle name="40% - Accent2 2 2 13 3 3" xfId="37497"/>
    <cellStyle name="40% - Accent2 2 2 13 4" xfId="13748"/>
    <cellStyle name="40% - Accent2 2 2 13 4 2" xfId="19911"/>
    <cellStyle name="40% - Accent2 2 2 13 4 2 2" xfId="48772"/>
    <cellStyle name="40% - Accent2 2 2 13 4 3" xfId="42609"/>
    <cellStyle name="40% - Accent2 2 2 13 5" xfId="17231"/>
    <cellStyle name="40% - Accent2 2 2 13 5 2" xfId="46092"/>
    <cellStyle name="40% - Accent2 2 2 13 6" xfId="31456"/>
    <cellStyle name="40% - Accent2 2 2 14" xfId="3007"/>
    <cellStyle name="40% - Accent2 2 2 14 2" xfId="9048"/>
    <cellStyle name="40% - Accent2 2 2 14 2 2" xfId="26095"/>
    <cellStyle name="40% - Accent2 2 2 14 2 2 2" xfId="54956"/>
    <cellStyle name="40% - Accent2 2 2 14 2 3" xfId="37909"/>
    <cellStyle name="40% - Accent2 2 2 14 3" xfId="12573"/>
    <cellStyle name="40% - Accent2 2 2 14 3 2" xfId="20117"/>
    <cellStyle name="40% - Accent2 2 2 14 3 2 2" xfId="48978"/>
    <cellStyle name="40% - Accent2 2 2 14 3 3" xfId="41434"/>
    <cellStyle name="40% - Accent2 2 2 14 4" xfId="14757"/>
    <cellStyle name="40% - Accent2 2 2 14 4 2" xfId="43618"/>
    <cellStyle name="40% - Accent2 2 2 14 5" xfId="31868"/>
    <cellStyle name="40% - Accent2 2 2 15" xfId="2801"/>
    <cellStyle name="40% - Accent2 2 2 15 2" xfId="8842"/>
    <cellStyle name="40% - Accent2 2 2 15 2 2" xfId="25889"/>
    <cellStyle name="40% - Accent2 2 2 15 2 2 2" xfId="54750"/>
    <cellStyle name="40% - Accent2 2 2 15 2 3" xfId="37703"/>
    <cellStyle name="40% - Accent2 2 2 15 3" xfId="17437"/>
    <cellStyle name="40% - Accent2 2 2 15 3 2" xfId="46298"/>
    <cellStyle name="40% - Accent2 2 2 15 4" xfId="31662"/>
    <cellStyle name="40% - Accent2 2 2 16" xfId="5687"/>
    <cellStyle name="40% - Accent2 2 2 16 2" xfId="11728"/>
    <cellStyle name="40% - Accent2 2 2 16 2 2" xfId="28775"/>
    <cellStyle name="40% - Accent2 2 2 16 2 2 2" xfId="57636"/>
    <cellStyle name="40% - Accent2 2 2 16 2 3" xfId="40589"/>
    <cellStyle name="40% - Accent2 2 2 16 3" xfId="22797"/>
    <cellStyle name="40% - Accent2 2 2 16 3 2" xfId="51658"/>
    <cellStyle name="40% - Accent2 2 2 16 4" xfId="34548"/>
    <cellStyle name="40% - Accent2 2 2 17" xfId="5904"/>
    <cellStyle name="40% - Accent2 2 2 17 2" xfId="23003"/>
    <cellStyle name="40% - Accent2 2 2 17 2 2" xfId="51864"/>
    <cellStyle name="40% - Accent2 2 2 17 3" xfId="34765"/>
    <cellStyle name="40% - Accent2 2 2 18" xfId="6162"/>
    <cellStyle name="40% - Accent2 2 2 18 2" xfId="23209"/>
    <cellStyle name="40% - Accent2 2 2 18 2 2" xfId="52070"/>
    <cellStyle name="40% - Accent2 2 2 18 3" xfId="35023"/>
    <cellStyle name="40% - Accent2 2 2 19" xfId="14551"/>
    <cellStyle name="40% - Accent2 2 2 19 2" xfId="43412"/>
    <cellStyle name="40% - Accent2 2 2 2" xfId="326"/>
    <cellStyle name="40% - Accent2 2 2 2 10" xfId="2489"/>
    <cellStyle name="40% - Accent2 2 2 2 10 2" xfId="5376"/>
    <cellStyle name="40% - Accent2 2 2 2 10 2 2" xfId="11417"/>
    <cellStyle name="40% - Accent2 2 2 2 10 2 2 2" xfId="28464"/>
    <cellStyle name="40% - Accent2 2 2 2 10 2 2 2 2" xfId="57325"/>
    <cellStyle name="40% - Accent2 2 2 2 10 2 2 3" xfId="40278"/>
    <cellStyle name="40% - Accent2 2 2 2 10 2 3" xfId="22486"/>
    <cellStyle name="40% - Accent2 2 2 2 10 2 3 2" xfId="51347"/>
    <cellStyle name="40% - Accent2 2 2 2 10 2 4" xfId="34237"/>
    <cellStyle name="40% - Accent2 2 2 2 10 3" xfId="8531"/>
    <cellStyle name="40% - Accent2 2 2 2 10 3 2" xfId="25578"/>
    <cellStyle name="40% - Accent2 2 2 2 10 3 2 2" xfId="54439"/>
    <cellStyle name="40% - Accent2 2 2 2 10 3 3" xfId="37392"/>
    <cellStyle name="40% - Accent2 2 2 2 10 4" xfId="13650"/>
    <cellStyle name="40% - Accent2 2 2 2 10 4 2" xfId="19806"/>
    <cellStyle name="40% - Accent2 2 2 2 10 4 2 2" xfId="48667"/>
    <cellStyle name="40% - Accent2 2 2 2 10 4 3" xfId="42511"/>
    <cellStyle name="40% - Accent2 2 2 2 10 5" xfId="17126"/>
    <cellStyle name="40% - Accent2 2 2 2 10 5 2" xfId="45987"/>
    <cellStyle name="40% - Accent2 2 2 2 10 6" xfId="31351"/>
    <cellStyle name="40% - Accent2 2 2 2 11" xfId="2698"/>
    <cellStyle name="40% - Accent2 2 2 2 11 2" xfId="5584"/>
    <cellStyle name="40% - Accent2 2 2 2 11 2 2" xfId="11625"/>
    <cellStyle name="40% - Accent2 2 2 2 11 2 2 2" xfId="28672"/>
    <cellStyle name="40% - Accent2 2 2 2 11 2 2 2 2" xfId="57533"/>
    <cellStyle name="40% - Accent2 2 2 2 11 2 2 3" xfId="40486"/>
    <cellStyle name="40% - Accent2 2 2 2 11 2 3" xfId="22694"/>
    <cellStyle name="40% - Accent2 2 2 2 11 2 3 2" xfId="51555"/>
    <cellStyle name="40% - Accent2 2 2 2 11 2 4" xfId="34445"/>
    <cellStyle name="40% - Accent2 2 2 2 11 3" xfId="8739"/>
    <cellStyle name="40% - Accent2 2 2 2 11 3 2" xfId="25786"/>
    <cellStyle name="40% - Accent2 2 2 2 11 3 2 2" xfId="54647"/>
    <cellStyle name="40% - Accent2 2 2 2 11 3 3" xfId="37600"/>
    <cellStyle name="40% - Accent2 2 2 2 11 4" xfId="13837"/>
    <cellStyle name="40% - Accent2 2 2 2 11 4 2" xfId="20014"/>
    <cellStyle name="40% - Accent2 2 2 2 11 4 2 2" xfId="48875"/>
    <cellStyle name="40% - Accent2 2 2 2 11 4 3" xfId="42698"/>
    <cellStyle name="40% - Accent2 2 2 2 11 5" xfId="17334"/>
    <cellStyle name="40% - Accent2 2 2 2 11 5 2" xfId="46195"/>
    <cellStyle name="40% - Accent2 2 2 2 11 6" xfId="31559"/>
    <cellStyle name="40% - Accent2 2 2 2 12" xfId="3213"/>
    <cellStyle name="40% - Accent2 2 2 2 12 2" xfId="9254"/>
    <cellStyle name="40% - Accent2 2 2 2 12 2 2" xfId="26301"/>
    <cellStyle name="40% - Accent2 2 2 2 12 2 2 2" xfId="55162"/>
    <cellStyle name="40% - Accent2 2 2 2 12 2 3" xfId="38115"/>
    <cellStyle name="40% - Accent2 2 2 2 12 3" xfId="12636"/>
    <cellStyle name="40% - Accent2 2 2 2 12 3 2" xfId="20323"/>
    <cellStyle name="40% - Accent2 2 2 2 12 3 2 2" xfId="49184"/>
    <cellStyle name="40% - Accent2 2 2 2 12 3 3" xfId="41497"/>
    <cellStyle name="40% - Accent2 2 2 2 12 4" xfId="14963"/>
    <cellStyle name="40% - Accent2 2 2 2 12 4 2" xfId="43824"/>
    <cellStyle name="40% - Accent2 2 2 2 12 5" xfId="32074"/>
    <cellStyle name="40% - Accent2 2 2 2 13" xfId="2904"/>
    <cellStyle name="40% - Accent2 2 2 2 13 2" xfId="8945"/>
    <cellStyle name="40% - Accent2 2 2 2 13 2 2" xfId="25992"/>
    <cellStyle name="40% - Accent2 2 2 2 13 2 2 2" xfId="54853"/>
    <cellStyle name="40% - Accent2 2 2 2 13 2 3" xfId="37806"/>
    <cellStyle name="40% - Accent2 2 2 2 13 3" xfId="17540"/>
    <cellStyle name="40% - Accent2 2 2 2 13 3 2" xfId="46401"/>
    <cellStyle name="40% - Accent2 2 2 2 13 4" xfId="31765"/>
    <cellStyle name="40% - Accent2 2 2 2 14" xfId="5790"/>
    <cellStyle name="40% - Accent2 2 2 2 14 2" xfId="11831"/>
    <cellStyle name="40% - Accent2 2 2 2 14 2 2" xfId="28878"/>
    <cellStyle name="40% - Accent2 2 2 2 14 2 2 2" xfId="57739"/>
    <cellStyle name="40% - Accent2 2 2 2 14 2 3" xfId="40692"/>
    <cellStyle name="40% - Accent2 2 2 2 14 3" xfId="22900"/>
    <cellStyle name="40% - Accent2 2 2 2 14 3 2" xfId="51761"/>
    <cellStyle name="40% - Accent2 2 2 2 14 4" xfId="34651"/>
    <cellStyle name="40% - Accent2 2 2 2 15" xfId="6007"/>
    <cellStyle name="40% - Accent2 2 2 2 15 2" xfId="23106"/>
    <cellStyle name="40% - Accent2 2 2 2 15 2 2" xfId="51967"/>
    <cellStyle name="40% - Accent2 2 2 2 15 3" xfId="34868"/>
    <cellStyle name="40% - Accent2 2 2 2 16" xfId="6368"/>
    <cellStyle name="40% - Accent2 2 2 2 16 2" xfId="23415"/>
    <cellStyle name="40% - Accent2 2 2 2 16 2 2" xfId="52276"/>
    <cellStyle name="40% - Accent2 2 2 2 16 3" xfId="35229"/>
    <cellStyle name="40% - Accent2 2 2 2 17" xfId="14654"/>
    <cellStyle name="40% - Accent2 2 2 2 17 2" xfId="43515"/>
    <cellStyle name="40% - Accent2 2 2 2 18" xfId="29188"/>
    <cellStyle name="40% - Accent2 2 2 2 2" xfId="532"/>
    <cellStyle name="40% - Accent2 2 2 2 2 2" xfId="2283"/>
    <cellStyle name="40% - Accent2 2 2 2 2 2 2" xfId="5170"/>
    <cellStyle name="40% - Accent2 2 2 2 2 2 2 2" xfId="11211"/>
    <cellStyle name="40% - Accent2 2 2 2 2 2 2 2 2" xfId="28258"/>
    <cellStyle name="40% - Accent2 2 2 2 2 2 2 2 2 2" xfId="57119"/>
    <cellStyle name="40% - Accent2 2 2 2 2 2 2 2 3" xfId="40072"/>
    <cellStyle name="40% - Accent2 2 2 2 2 2 2 3" xfId="22280"/>
    <cellStyle name="40% - Accent2 2 2 2 2 2 2 3 2" xfId="51141"/>
    <cellStyle name="40% - Accent2 2 2 2 2 2 2 4" xfId="34031"/>
    <cellStyle name="40% - Accent2 2 2 2 2 2 3" xfId="8325"/>
    <cellStyle name="40% - Accent2 2 2 2 2 2 3 2" xfId="25372"/>
    <cellStyle name="40% - Accent2 2 2 2 2 2 3 2 2" xfId="54233"/>
    <cellStyle name="40% - Accent2 2 2 2 2 2 3 3" xfId="37186"/>
    <cellStyle name="40% - Accent2 2 2 2 2 2 4" xfId="13023"/>
    <cellStyle name="40% - Accent2 2 2 2 2 2 4 2" xfId="19600"/>
    <cellStyle name="40% - Accent2 2 2 2 2 2 4 2 2" xfId="48461"/>
    <cellStyle name="40% - Accent2 2 2 2 2 2 4 3" xfId="41884"/>
    <cellStyle name="40% - Accent2 2 2 2 2 2 5" xfId="16920"/>
    <cellStyle name="40% - Accent2 2 2 2 2 2 5 2" xfId="45781"/>
    <cellStyle name="40% - Accent2 2 2 2 2 2 6" xfId="31145"/>
    <cellStyle name="40% - Accent2 2 2 2 2 3" xfId="3419"/>
    <cellStyle name="40% - Accent2 2 2 2 2 3 2" xfId="9460"/>
    <cellStyle name="40% - Accent2 2 2 2 2 3 2 2" xfId="26507"/>
    <cellStyle name="40% - Accent2 2 2 2 2 3 2 2 2" xfId="55368"/>
    <cellStyle name="40% - Accent2 2 2 2 2 3 2 3" xfId="38321"/>
    <cellStyle name="40% - Accent2 2 2 2 2 3 3" xfId="20529"/>
    <cellStyle name="40% - Accent2 2 2 2 2 3 3 2" xfId="49390"/>
    <cellStyle name="40% - Accent2 2 2 2 2 3 4" xfId="32280"/>
    <cellStyle name="40% - Accent2 2 2 2 2 4" xfId="6574"/>
    <cellStyle name="40% - Accent2 2 2 2 2 4 2" xfId="23621"/>
    <cellStyle name="40% - Accent2 2 2 2 2 4 2 2" xfId="52482"/>
    <cellStyle name="40% - Accent2 2 2 2 2 4 3" xfId="35435"/>
    <cellStyle name="40% - Accent2 2 2 2 2 5" xfId="12752"/>
    <cellStyle name="40% - Accent2 2 2 2 2 5 2" xfId="17849"/>
    <cellStyle name="40% - Accent2 2 2 2 2 5 2 2" xfId="46710"/>
    <cellStyle name="40% - Accent2 2 2 2 2 5 3" xfId="41613"/>
    <cellStyle name="40% - Accent2 2 2 2 2 6" xfId="15169"/>
    <cellStyle name="40% - Accent2 2 2 2 2 6 2" xfId="44030"/>
    <cellStyle name="40% - Accent2 2 2 2 2 7" xfId="29394"/>
    <cellStyle name="40% - Accent2 2 2 2 3" xfId="841"/>
    <cellStyle name="40% - Accent2 2 2 2 3 2" xfId="3728"/>
    <cellStyle name="40% - Accent2 2 2 2 3 2 2" xfId="9769"/>
    <cellStyle name="40% - Accent2 2 2 2 3 2 2 2" xfId="26816"/>
    <cellStyle name="40% - Accent2 2 2 2 3 2 2 2 2" xfId="55677"/>
    <cellStyle name="40% - Accent2 2 2 2 3 2 2 3" xfId="38630"/>
    <cellStyle name="40% - Accent2 2 2 2 3 2 3" xfId="20838"/>
    <cellStyle name="40% - Accent2 2 2 2 3 2 3 2" xfId="49699"/>
    <cellStyle name="40% - Accent2 2 2 2 3 2 4" xfId="32589"/>
    <cellStyle name="40% - Accent2 2 2 2 3 3" xfId="6883"/>
    <cellStyle name="40% - Accent2 2 2 2 3 3 2" xfId="23930"/>
    <cellStyle name="40% - Accent2 2 2 2 3 3 2 2" xfId="52791"/>
    <cellStyle name="40% - Accent2 2 2 2 3 3 3" xfId="35744"/>
    <cellStyle name="40% - Accent2 2 2 2 3 4" xfId="13483"/>
    <cellStyle name="40% - Accent2 2 2 2 3 4 2" xfId="18158"/>
    <cellStyle name="40% - Accent2 2 2 2 3 4 2 2" xfId="47019"/>
    <cellStyle name="40% - Accent2 2 2 2 3 4 3" xfId="42344"/>
    <cellStyle name="40% - Accent2 2 2 2 3 5" xfId="15478"/>
    <cellStyle name="40% - Accent2 2 2 2 3 5 2" xfId="44339"/>
    <cellStyle name="40% - Accent2 2 2 2 3 6" xfId="29703"/>
    <cellStyle name="40% - Accent2 2 2 2 4" xfId="1047"/>
    <cellStyle name="40% - Accent2 2 2 2 4 2" xfId="3934"/>
    <cellStyle name="40% - Accent2 2 2 2 4 2 2" xfId="9975"/>
    <cellStyle name="40% - Accent2 2 2 2 4 2 2 2" xfId="27022"/>
    <cellStyle name="40% - Accent2 2 2 2 4 2 2 2 2" xfId="55883"/>
    <cellStyle name="40% - Accent2 2 2 2 4 2 2 3" xfId="38836"/>
    <cellStyle name="40% - Accent2 2 2 2 4 2 3" xfId="21044"/>
    <cellStyle name="40% - Accent2 2 2 2 4 2 3 2" xfId="49905"/>
    <cellStyle name="40% - Accent2 2 2 2 4 2 4" xfId="32795"/>
    <cellStyle name="40% - Accent2 2 2 2 4 3" xfId="7089"/>
    <cellStyle name="40% - Accent2 2 2 2 4 3 2" xfId="24136"/>
    <cellStyle name="40% - Accent2 2 2 2 4 3 2 2" xfId="52997"/>
    <cellStyle name="40% - Accent2 2 2 2 4 3 3" xfId="35950"/>
    <cellStyle name="40% - Accent2 2 2 2 4 4" xfId="12961"/>
    <cellStyle name="40% - Accent2 2 2 2 4 4 2" xfId="18364"/>
    <cellStyle name="40% - Accent2 2 2 2 4 4 2 2" xfId="47225"/>
    <cellStyle name="40% - Accent2 2 2 2 4 4 3" xfId="41822"/>
    <cellStyle name="40% - Accent2 2 2 2 4 5" xfId="15684"/>
    <cellStyle name="40% - Accent2 2 2 2 4 5 2" xfId="44545"/>
    <cellStyle name="40% - Accent2 2 2 2 4 6" xfId="29909"/>
    <cellStyle name="40% - Accent2 2 2 2 5" xfId="1253"/>
    <cellStyle name="40% - Accent2 2 2 2 5 2" xfId="4140"/>
    <cellStyle name="40% - Accent2 2 2 2 5 2 2" xfId="10181"/>
    <cellStyle name="40% - Accent2 2 2 2 5 2 2 2" xfId="27228"/>
    <cellStyle name="40% - Accent2 2 2 2 5 2 2 2 2" xfId="56089"/>
    <cellStyle name="40% - Accent2 2 2 2 5 2 2 3" xfId="39042"/>
    <cellStyle name="40% - Accent2 2 2 2 5 2 3" xfId="21250"/>
    <cellStyle name="40% - Accent2 2 2 2 5 2 3 2" xfId="50111"/>
    <cellStyle name="40% - Accent2 2 2 2 5 2 4" xfId="33001"/>
    <cellStyle name="40% - Accent2 2 2 2 5 3" xfId="7295"/>
    <cellStyle name="40% - Accent2 2 2 2 5 3 2" xfId="24342"/>
    <cellStyle name="40% - Accent2 2 2 2 5 3 2 2" xfId="53203"/>
    <cellStyle name="40% - Accent2 2 2 2 5 3 3" xfId="36156"/>
    <cellStyle name="40% - Accent2 2 2 2 5 4" xfId="13689"/>
    <cellStyle name="40% - Accent2 2 2 2 5 4 2" xfId="18570"/>
    <cellStyle name="40% - Accent2 2 2 2 5 4 2 2" xfId="47431"/>
    <cellStyle name="40% - Accent2 2 2 2 5 4 3" xfId="42550"/>
    <cellStyle name="40% - Accent2 2 2 2 5 5" xfId="15890"/>
    <cellStyle name="40% - Accent2 2 2 2 5 5 2" xfId="44751"/>
    <cellStyle name="40% - Accent2 2 2 2 5 6" xfId="30115"/>
    <cellStyle name="40% - Accent2 2 2 2 6" xfId="1459"/>
    <cellStyle name="40% - Accent2 2 2 2 6 2" xfId="4346"/>
    <cellStyle name="40% - Accent2 2 2 2 6 2 2" xfId="10387"/>
    <cellStyle name="40% - Accent2 2 2 2 6 2 2 2" xfId="27434"/>
    <cellStyle name="40% - Accent2 2 2 2 6 2 2 2 2" xfId="56295"/>
    <cellStyle name="40% - Accent2 2 2 2 6 2 2 3" xfId="39248"/>
    <cellStyle name="40% - Accent2 2 2 2 6 2 3" xfId="21456"/>
    <cellStyle name="40% - Accent2 2 2 2 6 2 3 2" xfId="50317"/>
    <cellStyle name="40% - Accent2 2 2 2 6 2 4" xfId="33207"/>
    <cellStyle name="40% - Accent2 2 2 2 6 3" xfId="7501"/>
    <cellStyle name="40% - Accent2 2 2 2 6 3 2" xfId="24548"/>
    <cellStyle name="40% - Accent2 2 2 2 6 3 2 2" xfId="53409"/>
    <cellStyle name="40% - Accent2 2 2 2 6 3 3" xfId="36362"/>
    <cellStyle name="40% - Accent2 2 2 2 6 4" xfId="12592"/>
    <cellStyle name="40% - Accent2 2 2 2 6 4 2" xfId="18776"/>
    <cellStyle name="40% - Accent2 2 2 2 6 4 2 2" xfId="47637"/>
    <cellStyle name="40% - Accent2 2 2 2 6 4 3" xfId="41453"/>
    <cellStyle name="40% - Accent2 2 2 2 6 5" xfId="16096"/>
    <cellStyle name="40% - Accent2 2 2 2 6 5 2" xfId="44957"/>
    <cellStyle name="40% - Accent2 2 2 2 6 6" xfId="30321"/>
    <cellStyle name="40% - Accent2 2 2 2 7" xfId="1665"/>
    <cellStyle name="40% - Accent2 2 2 2 7 2" xfId="4552"/>
    <cellStyle name="40% - Accent2 2 2 2 7 2 2" xfId="10593"/>
    <cellStyle name="40% - Accent2 2 2 2 7 2 2 2" xfId="27640"/>
    <cellStyle name="40% - Accent2 2 2 2 7 2 2 2 2" xfId="56501"/>
    <cellStyle name="40% - Accent2 2 2 2 7 2 2 3" xfId="39454"/>
    <cellStyle name="40% - Accent2 2 2 2 7 2 3" xfId="21662"/>
    <cellStyle name="40% - Accent2 2 2 2 7 2 3 2" xfId="50523"/>
    <cellStyle name="40% - Accent2 2 2 2 7 2 4" xfId="33413"/>
    <cellStyle name="40% - Accent2 2 2 2 7 3" xfId="7707"/>
    <cellStyle name="40% - Accent2 2 2 2 7 3 2" xfId="24754"/>
    <cellStyle name="40% - Accent2 2 2 2 7 3 2 2" xfId="53615"/>
    <cellStyle name="40% - Accent2 2 2 2 7 3 3" xfId="36568"/>
    <cellStyle name="40% - Accent2 2 2 2 7 4" xfId="13805"/>
    <cellStyle name="40% - Accent2 2 2 2 7 4 2" xfId="18982"/>
    <cellStyle name="40% - Accent2 2 2 2 7 4 2 2" xfId="47843"/>
    <cellStyle name="40% - Accent2 2 2 2 7 4 3" xfId="42666"/>
    <cellStyle name="40% - Accent2 2 2 2 7 5" xfId="16302"/>
    <cellStyle name="40% - Accent2 2 2 2 7 5 2" xfId="45163"/>
    <cellStyle name="40% - Accent2 2 2 2 7 6" xfId="30527"/>
    <cellStyle name="40% - Accent2 2 2 2 8" xfId="1871"/>
    <cellStyle name="40% - Accent2 2 2 2 8 2" xfId="4758"/>
    <cellStyle name="40% - Accent2 2 2 2 8 2 2" xfId="10799"/>
    <cellStyle name="40% - Accent2 2 2 2 8 2 2 2" xfId="27846"/>
    <cellStyle name="40% - Accent2 2 2 2 8 2 2 2 2" xfId="56707"/>
    <cellStyle name="40% - Accent2 2 2 2 8 2 2 3" xfId="39660"/>
    <cellStyle name="40% - Accent2 2 2 2 8 2 3" xfId="21868"/>
    <cellStyle name="40% - Accent2 2 2 2 8 2 3 2" xfId="50729"/>
    <cellStyle name="40% - Accent2 2 2 2 8 2 4" xfId="33619"/>
    <cellStyle name="40% - Accent2 2 2 2 8 3" xfId="7913"/>
    <cellStyle name="40% - Accent2 2 2 2 8 3 2" xfId="24960"/>
    <cellStyle name="40% - Accent2 2 2 2 8 3 2 2" xfId="53821"/>
    <cellStyle name="40% - Accent2 2 2 2 8 3 3" xfId="36774"/>
    <cellStyle name="40% - Accent2 2 2 2 8 4" xfId="12862"/>
    <cellStyle name="40% - Accent2 2 2 2 8 4 2" xfId="19188"/>
    <cellStyle name="40% - Accent2 2 2 2 8 4 2 2" xfId="48049"/>
    <cellStyle name="40% - Accent2 2 2 2 8 4 3" xfId="41723"/>
    <cellStyle name="40% - Accent2 2 2 2 8 5" xfId="16508"/>
    <cellStyle name="40% - Accent2 2 2 2 8 5 2" xfId="45369"/>
    <cellStyle name="40% - Accent2 2 2 2 8 6" xfId="30733"/>
    <cellStyle name="40% - Accent2 2 2 2 9" xfId="2077"/>
    <cellStyle name="40% - Accent2 2 2 2 9 2" xfId="4964"/>
    <cellStyle name="40% - Accent2 2 2 2 9 2 2" xfId="11005"/>
    <cellStyle name="40% - Accent2 2 2 2 9 2 2 2" xfId="28052"/>
    <cellStyle name="40% - Accent2 2 2 2 9 2 2 2 2" xfId="56913"/>
    <cellStyle name="40% - Accent2 2 2 2 9 2 2 3" xfId="39866"/>
    <cellStyle name="40% - Accent2 2 2 2 9 2 3" xfId="22074"/>
    <cellStyle name="40% - Accent2 2 2 2 9 2 3 2" xfId="50935"/>
    <cellStyle name="40% - Accent2 2 2 2 9 2 4" xfId="33825"/>
    <cellStyle name="40% - Accent2 2 2 2 9 3" xfId="8119"/>
    <cellStyle name="40% - Accent2 2 2 2 9 3 2" xfId="25166"/>
    <cellStyle name="40% - Accent2 2 2 2 9 3 2 2" xfId="54027"/>
    <cellStyle name="40% - Accent2 2 2 2 9 3 3" xfId="36980"/>
    <cellStyle name="40% - Accent2 2 2 2 9 4" xfId="12938"/>
    <cellStyle name="40% - Accent2 2 2 2 9 4 2" xfId="19394"/>
    <cellStyle name="40% - Accent2 2 2 2 9 4 2 2" xfId="48255"/>
    <cellStyle name="40% - Accent2 2 2 2 9 4 3" xfId="41799"/>
    <cellStyle name="40% - Accent2 2 2 2 9 5" xfId="16714"/>
    <cellStyle name="40% - Accent2 2 2 2 9 5 2" xfId="45575"/>
    <cellStyle name="40% - Accent2 2 2 2 9 6" xfId="30939"/>
    <cellStyle name="40% - Accent2 2 2 20" xfId="28982"/>
    <cellStyle name="40% - Accent2 2 2 3" xfId="223"/>
    <cellStyle name="40% - Accent2 2 2 3 2" xfId="635"/>
    <cellStyle name="40% - Accent2 2 2 3 2 2" xfId="3522"/>
    <cellStyle name="40% - Accent2 2 2 3 2 2 2" xfId="9563"/>
    <cellStyle name="40% - Accent2 2 2 3 2 2 2 2" xfId="26610"/>
    <cellStyle name="40% - Accent2 2 2 3 2 2 2 2 2" xfId="55471"/>
    <cellStyle name="40% - Accent2 2 2 3 2 2 2 3" xfId="38424"/>
    <cellStyle name="40% - Accent2 2 2 3 2 2 3" xfId="20632"/>
    <cellStyle name="40% - Accent2 2 2 3 2 2 3 2" xfId="49493"/>
    <cellStyle name="40% - Accent2 2 2 3 2 2 4" xfId="32383"/>
    <cellStyle name="40% - Accent2 2 2 3 2 3" xfId="6677"/>
    <cellStyle name="40% - Accent2 2 2 3 2 3 2" xfId="23724"/>
    <cellStyle name="40% - Accent2 2 2 3 2 3 2 2" xfId="52585"/>
    <cellStyle name="40% - Accent2 2 2 3 2 3 3" xfId="35538"/>
    <cellStyle name="40% - Accent2 2 2 3 2 4" xfId="13593"/>
    <cellStyle name="40% - Accent2 2 2 3 2 4 2" xfId="17952"/>
    <cellStyle name="40% - Accent2 2 2 3 2 4 2 2" xfId="46813"/>
    <cellStyle name="40% - Accent2 2 2 3 2 4 3" xfId="42454"/>
    <cellStyle name="40% - Accent2 2 2 3 2 5" xfId="15272"/>
    <cellStyle name="40% - Accent2 2 2 3 2 5 2" xfId="44133"/>
    <cellStyle name="40% - Accent2 2 2 3 2 6" xfId="29497"/>
    <cellStyle name="40% - Accent2 2 2 3 3" xfId="2180"/>
    <cellStyle name="40% - Accent2 2 2 3 3 2" xfId="5067"/>
    <cellStyle name="40% - Accent2 2 2 3 3 2 2" xfId="11108"/>
    <cellStyle name="40% - Accent2 2 2 3 3 2 2 2" xfId="28155"/>
    <cellStyle name="40% - Accent2 2 2 3 3 2 2 2 2" xfId="57016"/>
    <cellStyle name="40% - Accent2 2 2 3 3 2 2 3" xfId="39969"/>
    <cellStyle name="40% - Accent2 2 2 3 3 2 3" xfId="22177"/>
    <cellStyle name="40% - Accent2 2 2 3 3 2 3 2" xfId="51038"/>
    <cellStyle name="40% - Accent2 2 2 3 3 2 4" xfId="33928"/>
    <cellStyle name="40% - Accent2 2 2 3 3 3" xfId="8222"/>
    <cellStyle name="40% - Accent2 2 2 3 3 3 2" xfId="25269"/>
    <cellStyle name="40% - Accent2 2 2 3 3 3 2 2" xfId="54130"/>
    <cellStyle name="40% - Accent2 2 2 3 3 3 3" xfId="37083"/>
    <cellStyle name="40% - Accent2 2 2 3 3 4" xfId="12619"/>
    <cellStyle name="40% - Accent2 2 2 3 3 4 2" xfId="19497"/>
    <cellStyle name="40% - Accent2 2 2 3 3 4 2 2" xfId="48358"/>
    <cellStyle name="40% - Accent2 2 2 3 3 4 3" xfId="41480"/>
    <cellStyle name="40% - Accent2 2 2 3 3 5" xfId="16817"/>
    <cellStyle name="40% - Accent2 2 2 3 3 5 2" xfId="45678"/>
    <cellStyle name="40% - Accent2 2 2 3 3 6" xfId="31042"/>
    <cellStyle name="40% - Accent2 2 2 3 4" xfId="3110"/>
    <cellStyle name="40% - Accent2 2 2 3 4 2" xfId="9151"/>
    <cellStyle name="40% - Accent2 2 2 3 4 2 2" xfId="26198"/>
    <cellStyle name="40% - Accent2 2 2 3 4 2 2 2" xfId="55059"/>
    <cellStyle name="40% - Accent2 2 2 3 4 2 3" xfId="38012"/>
    <cellStyle name="40% - Accent2 2 2 3 4 3" xfId="20220"/>
    <cellStyle name="40% - Accent2 2 2 3 4 3 2" xfId="49081"/>
    <cellStyle name="40% - Accent2 2 2 3 4 4" xfId="31971"/>
    <cellStyle name="40% - Accent2 2 2 3 5" xfId="6265"/>
    <cellStyle name="40% - Accent2 2 2 3 5 2" xfId="23312"/>
    <cellStyle name="40% - Accent2 2 2 3 5 2 2" xfId="52173"/>
    <cellStyle name="40% - Accent2 2 2 3 5 3" xfId="35126"/>
    <cellStyle name="40% - Accent2 2 2 3 6" xfId="13011"/>
    <cellStyle name="40% - Accent2 2 2 3 6 2" xfId="17643"/>
    <cellStyle name="40% - Accent2 2 2 3 6 2 2" xfId="46504"/>
    <cellStyle name="40% - Accent2 2 2 3 6 3" xfId="41872"/>
    <cellStyle name="40% - Accent2 2 2 3 7" xfId="14860"/>
    <cellStyle name="40% - Accent2 2 2 3 7 2" xfId="43721"/>
    <cellStyle name="40% - Accent2 2 2 3 8" xfId="29085"/>
    <cellStyle name="40% - Accent2 2 2 4" xfId="429"/>
    <cellStyle name="40% - Accent2 2 2 4 2" xfId="3316"/>
    <cellStyle name="40% - Accent2 2 2 4 2 2" xfId="9357"/>
    <cellStyle name="40% - Accent2 2 2 4 2 2 2" xfId="26404"/>
    <cellStyle name="40% - Accent2 2 2 4 2 2 2 2" xfId="55265"/>
    <cellStyle name="40% - Accent2 2 2 4 2 2 3" xfId="38218"/>
    <cellStyle name="40% - Accent2 2 2 4 2 3" xfId="20426"/>
    <cellStyle name="40% - Accent2 2 2 4 2 3 2" xfId="49287"/>
    <cellStyle name="40% - Accent2 2 2 4 2 4" xfId="32177"/>
    <cellStyle name="40% - Accent2 2 2 4 3" xfId="6471"/>
    <cellStyle name="40% - Accent2 2 2 4 3 2" xfId="23518"/>
    <cellStyle name="40% - Accent2 2 2 4 3 2 2" xfId="52379"/>
    <cellStyle name="40% - Accent2 2 2 4 3 3" xfId="35332"/>
    <cellStyle name="40% - Accent2 2 2 4 4" xfId="13866"/>
    <cellStyle name="40% - Accent2 2 2 4 4 2" xfId="17746"/>
    <cellStyle name="40% - Accent2 2 2 4 4 2 2" xfId="46607"/>
    <cellStyle name="40% - Accent2 2 2 4 4 3" xfId="42727"/>
    <cellStyle name="40% - Accent2 2 2 4 5" xfId="15066"/>
    <cellStyle name="40% - Accent2 2 2 4 5 2" xfId="43927"/>
    <cellStyle name="40% - Accent2 2 2 4 6" xfId="29291"/>
    <cellStyle name="40% - Accent2 2 2 5" xfId="738"/>
    <cellStyle name="40% - Accent2 2 2 5 2" xfId="3625"/>
    <cellStyle name="40% - Accent2 2 2 5 2 2" xfId="9666"/>
    <cellStyle name="40% - Accent2 2 2 5 2 2 2" xfId="26713"/>
    <cellStyle name="40% - Accent2 2 2 5 2 2 2 2" xfId="55574"/>
    <cellStyle name="40% - Accent2 2 2 5 2 2 3" xfId="38527"/>
    <cellStyle name="40% - Accent2 2 2 5 2 3" xfId="20735"/>
    <cellStyle name="40% - Accent2 2 2 5 2 3 2" xfId="49596"/>
    <cellStyle name="40% - Accent2 2 2 5 2 4" xfId="32486"/>
    <cellStyle name="40% - Accent2 2 2 5 3" xfId="6780"/>
    <cellStyle name="40% - Accent2 2 2 5 3 2" xfId="23827"/>
    <cellStyle name="40% - Accent2 2 2 5 3 2 2" xfId="52688"/>
    <cellStyle name="40% - Accent2 2 2 5 3 3" xfId="35641"/>
    <cellStyle name="40% - Accent2 2 2 5 4" xfId="13820"/>
    <cellStyle name="40% - Accent2 2 2 5 4 2" xfId="18055"/>
    <cellStyle name="40% - Accent2 2 2 5 4 2 2" xfId="46916"/>
    <cellStyle name="40% - Accent2 2 2 5 4 3" xfId="42681"/>
    <cellStyle name="40% - Accent2 2 2 5 5" xfId="15375"/>
    <cellStyle name="40% - Accent2 2 2 5 5 2" xfId="44236"/>
    <cellStyle name="40% - Accent2 2 2 5 6" xfId="29600"/>
    <cellStyle name="40% - Accent2 2 2 6" xfId="944"/>
    <cellStyle name="40% - Accent2 2 2 6 2" xfId="3831"/>
    <cellStyle name="40% - Accent2 2 2 6 2 2" xfId="9872"/>
    <cellStyle name="40% - Accent2 2 2 6 2 2 2" xfId="26919"/>
    <cellStyle name="40% - Accent2 2 2 6 2 2 2 2" xfId="55780"/>
    <cellStyle name="40% - Accent2 2 2 6 2 2 3" xfId="38733"/>
    <cellStyle name="40% - Accent2 2 2 6 2 3" xfId="20941"/>
    <cellStyle name="40% - Accent2 2 2 6 2 3 2" xfId="49802"/>
    <cellStyle name="40% - Accent2 2 2 6 2 4" xfId="32692"/>
    <cellStyle name="40% - Accent2 2 2 6 3" xfId="6986"/>
    <cellStyle name="40% - Accent2 2 2 6 3 2" xfId="24033"/>
    <cellStyle name="40% - Accent2 2 2 6 3 2 2" xfId="52894"/>
    <cellStyle name="40% - Accent2 2 2 6 3 3" xfId="35847"/>
    <cellStyle name="40% - Accent2 2 2 6 4" xfId="12442"/>
    <cellStyle name="40% - Accent2 2 2 6 4 2" xfId="18261"/>
    <cellStyle name="40% - Accent2 2 2 6 4 2 2" xfId="47122"/>
    <cellStyle name="40% - Accent2 2 2 6 4 3" xfId="41303"/>
    <cellStyle name="40% - Accent2 2 2 6 5" xfId="15581"/>
    <cellStyle name="40% - Accent2 2 2 6 5 2" xfId="44442"/>
    <cellStyle name="40% - Accent2 2 2 6 6" xfId="29806"/>
    <cellStyle name="40% - Accent2 2 2 7" xfId="1150"/>
    <cellStyle name="40% - Accent2 2 2 7 2" xfId="4037"/>
    <cellStyle name="40% - Accent2 2 2 7 2 2" xfId="10078"/>
    <cellStyle name="40% - Accent2 2 2 7 2 2 2" xfId="27125"/>
    <cellStyle name="40% - Accent2 2 2 7 2 2 2 2" xfId="55986"/>
    <cellStyle name="40% - Accent2 2 2 7 2 2 3" xfId="38939"/>
    <cellStyle name="40% - Accent2 2 2 7 2 3" xfId="21147"/>
    <cellStyle name="40% - Accent2 2 2 7 2 3 2" xfId="50008"/>
    <cellStyle name="40% - Accent2 2 2 7 2 4" xfId="32898"/>
    <cellStyle name="40% - Accent2 2 2 7 3" xfId="7192"/>
    <cellStyle name="40% - Accent2 2 2 7 3 2" xfId="24239"/>
    <cellStyle name="40% - Accent2 2 2 7 3 2 2" xfId="53100"/>
    <cellStyle name="40% - Accent2 2 2 7 3 3" xfId="36053"/>
    <cellStyle name="40% - Accent2 2 2 7 4" xfId="14055"/>
    <cellStyle name="40% - Accent2 2 2 7 4 2" xfId="18467"/>
    <cellStyle name="40% - Accent2 2 2 7 4 2 2" xfId="47328"/>
    <cellStyle name="40% - Accent2 2 2 7 4 3" xfId="42916"/>
    <cellStyle name="40% - Accent2 2 2 7 5" xfId="15787"/>
    <cellStyle name="40% - Accent2 2 2 7 5 2" xfId="44648"/>
    <cellStyle name="40% - Accent2 2 2 7 6" xfId="30012"/>
    <cellStyle name="40% - Accent2 2 2 8" xfId="1356"/>
    <cellStyle name="40% - Accent2 2 2 8 2" xfId="4243"/>
    <cellStyle name="40% - Accent2 2 2 8 2 2" xfId="10284"/>
    <cellStyle name="40% - Accent2 2 2 8 2 2 2" xfId="27331"/>
    <cellStyle name="40% - Accent2 2 2 8 2 2 2 2" xfId="56192"/>
    <cellStyle name="40% - Accent2 2 2 8 2 2 3" xfId="39145"/>
    <cellStyle name="40% - Accent2 2 2 8 2 3" xfId="21353"/>
    <cellStyle name="40% - Accent2 2 2 8 2 3 2" xfId="50214"/>
    <cellStyle name="40% - Accent2 2 2 8 2 4" xfId="33104"/>
    <cellStyle name="40% - Accent2 2 2 8 3" xfId="7398"/>
    <cellStyle name="40% - Accent2 2 2 8 3 2" xfId="24445"/>
    <cellStyle name="40% - Accent2 2 2 8 3 2 2" xfId="53306"/>
    <cellStyle name="40% - Accent2 2 2 8 3 3" xfId="36259"/>
    <cellStyle name="40% - Accent2 2 2 8 4" xfId="14215"/>
    <cellStyle name="40% - Accent2 2 2 8 4 2" xfId="18673"/>
    <cellStyle name="40% - Accent2 2 2 8 4 2 2" xfId="47534"/>
    <cellStyle name="40% - Accent2 2 2 8 4 3" xfId="43076"/>
    <cellStyle name="40% - Accent2 2 2 8 5" xfId="15993"/>
    <cellStyle name="40% - Accent2 2 2 8 5 2" xfId="44854"/>
    <cellStyle name="40% - Accent2 2 2 8 6" xfId="30218"/>
    <cellStyle name="40% - Accent2 2 2 9" xfId="1562"/>
    <cellStyle name="40% - Accent2 2 2 9 2" xfId="4449"/>
    <cellStyle name="40% - Accent2 2 2 9 2 2" xfId="10490"/>
    <cellStyle name="40% - Accent2 2 2 9 2 2 2" xfId="27537"/>
    <cellStyle name="40% - Accent2 2 2 9 2 2 2 2" xfId="56398"/>
    <cellStyle name="40% - Accent2 2 2 9 2 2 3" xfId="39351"/>
    <cellStyle name="40% - Accent2 2 2 9 2 3" xfId="21559"/>
    <cellStyle name="40% - Accent2 2 2 9 2 3 2" xfId="50420"/>
    <cellStyle name="40% - Accent2 2 2 9 2 4" xfId="33310"/>
    <cellStyle name="40% - Accent2 2 2 9 3" xfId="7604"/>
    <cellStyle name="40% - Accent2 2 2 9 3 2" xfId="24651"/>
    <cellStyle name="40% - Accent2 2 2 9 3 2 2" xfId="53512"/>
    <cellStyle name="40% - Accent2 2 2 9 3 3" xfId="36465"/>
    <cellStyle name="40% - Accent2 2 2 9 4" xfId="13004"/>
    <cellStyle name="40% - Accent2 2 2 9 4 2" xfId="18879"/>
    <cellStyle name="40% - Accent2 2 2 9 4 2 2" xfId="47740"/>
    <cellStyle name="40% - Accent2 2 2 9 4 3" xfId="41865"/>
    <cellStyle name="40% - Accent2 2 2 9 5" xfId="16199"/>
    <cellStyle name="40% - Accent2 2 2 9 5 2" xfId="45060"/>
    <cellStyle name="40% - Accent2 2 2 9 6" xfId="30424"/>
    <cellStyle name="40% - Accent2 2 20" xfId="6136"/>
    <cellStyle name="40% - Accent2 2 20 2" xfId="23183"/>
    <cellStyle name="40% - Accent2 2 20 2 2" xfId="52044"/>
    <cellStyle name="40% - Accent2 2 20 3" xfId="34997"/>
    <cellStyle name="40% - Accent2 2 21" xfId="14525"/>
    <cellStyle name="40% - Accent2 2 21 2" xfId="43386"/>
    <cellStyle name="40% - Accent2 2 22" xfId="28956"/>
    <cellStyle name="40% - Accent2 2 3" xfId="146"/>
    <cellStyle name="40% - Accent2 2 3 10" xfId="1794"/>
    <cellStyle name="40% - Accent2 2 3 10 2" xfId="4681"/>
    <cellStyle name="40% - Accent2 2 3 10 2 2" xfId="10722"/>
    <cellStyle name="40% - Accent2 2 3 10 2 2 2" xfId="27769"/>
    <cellStyle name="40% - Accent2 2 3 10 2 2 2 2" xfId="56630"/>
    <cellStyle name="40% - Accent2 2 3 10 2 2 3" xfId="39583"/>
    <cellStyle name="40% - Accent2 2 3 10 2 3" xfId="21791"/>
    <cellStyle name="40% - Accent2 2 3 10 2 3 2" xfId="50652"/>
    <cellStyle name="40% - Accent2 2 3 10 2 4" xfId="33542"/>
    <cellStyle name="40% - Accent2 2 3 10 3" xfId="7836"/>
    <cellStyle name="40% - Accent2 2 3 10 3 2" xfId="24883"/>
    <cellStyle name="40% - Accent2 2 3 10 3 2 2" xfId="53744"/>
    <cellStyle name="40% - Accent2 2 3 10 3 3" xfId="36697"/>
    <cellStyle name="40% - Accent2 2 3 10 4" xfId="13664"/>
    <cellStyle name="40% - Accent2 2 3 10 4 2" xfId="19111"/>
    <cellStyle name="40% - Accent2 2 3 10 4 2 2" xfId="47972"/>
    <cellStyle name="40% - Accent2 2 3 10 4 3" xfId="42525"/>
    <cellStyle name="40% - Accent2 2 3 10 5" xfId="16431"/>
    <cellStyle name="40% - Accent2 2 3 10 5 2" xfId="45292"/>
    <cellStyle name="40% - Accent2 2 3 10 6" xfId="30656"/>
    <cellStyle name="40% - Accent2 2 3 11" xfId="2000"/>
    <cellStyle name="40% - Accent2 2 3 11 2" xfId="4887"/>
    <cellStyle name="40% - Accent2 2 3 11 2 2" xfId="10928"/>
    <cellStyle name="40% - Accent2 2 3 11 2 2 2" xfId="27975"/>
    <cellStyle name="40% - Accent2 2 3 11 2 2 2 2" xfId="56836"/>
    <cellStyle name="40% - Accent2 2 3 11 2 2 3" xfId="39789"/>
    <cellStyle name="40% - Accent2 2 3 11 2 3" xfId="21997"/>
    <cellStyle name="40% - Accent2 2 3 11 2 3 2" xfId="50858"/>
    <cellStyle name="40% - Accent2 2 3 11 2 4" xfId="33748"/>
    <cellStyle name="40% - Accent2 2 3 11 3" xfId="8042"/>
    <cellStyle name="40% - Accent2 2 3 11 3 2" xfId="25089"/>
    <cellStyle name="40% - Accent2 2 3 11 3 2 2" xfId="53950"/>
    <cellStyle name="40% - Accent2 2 3 11 3 3" xfId="36903"/>
    <cellStyle name="40% - Accent2 2 3 11 4" xfId="14117"/>
    <cellStyle name="40% - Accent2 2 3 11 4 2" xfId="19317"/>
    <cellStyle name="40% - Accent2 2 3 11 4 2 2" xfId="48178"/>
    <cellStyle name="40% - Accent2 2 3 11 4 3" xfId="42978"/>
    <cellStyle name="40% - Accent2 2 3 11 5" xfId="16637"/>
    <cellStyle name="40% - Accent2 2 3 11 5 2" xfId="45498"/>
    <cellStyle name="40% - Accent2 2 3 11 6" xfId="30862"/>
    <cellStyle name="40% - Accent2 2 3 12" xfId="2412"/>
    <cellStyle name="40% - Accent2 2 3 12 2" xfId="5299"/>
    <cellStyle name="40% - Accent2 2 3 12 2 2" xfId="11340"/>
    <cellStyle name="40% - Accent2 2 3 12 2 2 2" xfId="28387"/>
    <cellStyle name="40% - Accent2 2 3 12 2 2 2 2" xfId="57248"/>
    <cellStyle name="40% - Accent2 2 3 12 2 2 3" xfId="40201"/>
    <cellStyle name="40% - Accent2 2 3 12 2 3" xfId="22409"/>
    <cellStyle name="40% - Accent2 2 3 12 2 3 2" xfId="51270"/>
    <cellStyle name="40% - Accent2 2 3 12 2 4" xfId="34160"/>
    <cellStyle name="40% - Accent2 2 3 12 3" xfId="8454"/>
    <cellStyle name="40% - Accent2 2 3 12 3 2" xfId="25501"/>
    <cellStyle name="40% - Accent2 2 3 12 3 2 2" xfId="54362"/>
    <cellStyle name="40% - Accent2 2 3 12 3 3" xfId="37315"/>
    <cellStyle name="40% - Accent2 2 3 12 4" xfId="13215"/>
    <cellStyle name="40% - Accent2 2 3 12 4 2" xfId="19729"/>
    <cellStyle name="40% - Accent2 2 3 12 4 2 2" xfId="48590"/>
    <cellStyle name="40% - Accent2 2 3 12 4 3" xfId="42076"/>
    <cellStyle name="40% - Accent2 2 3 12 5" xfId="17049"/>
    <cellStyle name="40% - Accent2 2 3 12 5 2" xfId="45910"/>
    <cellStyle name="40% - Accent2 2 3 12 6" xfId="31274"/>
    <cellStyle name="40% - Accent2 2 3 13" xfId="2621"/>
    <cellStyle name="40% - Accent2 2 3 13 2" xfId="5507"/>
    <cellStyle name="40% - Accent2 2 3 13 2 2" xfId="11548"/>
    <cellStyle name="40% - Accent2 2 3 13 2 2 2" xfId="28595"/>
    <cellStyle name="40% - Accent2 2 3 13 2 2 2 2" xfId="57456"/>
    <cellStyle name="40% - Accent2 2 3 13 2 2 3" xfId="40409"/>
    <cellStyle name="40% - Accent2 2 3 13 2 3" xfId="22617"/>
    <cellStyle name="40% - Accent2 2 3 13 2 3 2" xfId="51478"/>
    <cellStyle name="40% - Accent2 2 3 13 2 4" xfId="34368"/>
    <cellStyle name="40% - Accent2 2 3 13 3" xfId="8662"/>
    <cellStyle name="40% - Accent2 2 3 13 3 2" xfId="25709"/>
    <cellStyle name="40% - Accent2 2 3 13 3 2 2" xfId="54570"/>
    <cellStyle name="40% - Accent2 2 3 13 3 3" xfId="37523"/>
    <cellStyle name="40% - Accent2 2 3 13 4" xfId="12547"/>
    <cellStyle name="40% - Accent2 2 3 13 4 2" xfId="19937"/>
    <cellStyle name="40% - Accent2 2 3 13 4 2 2" xfId="48798"/>
    <cellStyle name="40% - Accent2 2 3 13 4 3" xfId="41408"/>
    <cellStyle name="40% - Accent2 2 3 13 5" xfId="17257"/>
    <cellStyle name="40% - Accent2 2 3 13 5 2" xfId="46118"/>
    <cellStyle name="40% - Accent2 2 3 13 6" xfId="31482"/>
    <cellStyle name="40% - Accent2 2 3 14" xfId="3033"/>
    <cellStyle name="40% - Accent2 2 3 14 2" xfId="9074"/>
    <cellStyle name="40% - Accent2 2 3 14 2 2" xfId="26121"/>
    <cellStyle name="40% - Accent2 2 3 14 2 2 2" xfId="54982"/>
    <cellStyle name="40% - Accent2 2 3 14 2 3" xfId="37935"/>
    <cellStyle name="40% - Accent2 2 3 14 3" xfId="12056"/>
    <cellStyle name="40% - Accent2 2 3 14 3 2" xfId="20143"/>
    <cellStyle name="40% - Accent2 2 3 14 3 2 2" xfId="49004"/>
    <cellStyle name="40% - Accent2 2 3 14 3 3" xfId="40917"/>
    <cellStyle name="40% - Accent2 2 3 14 4" xfId="14783"/>
    <cellStyle name="40% - Accent2 2 3 14 4 2" xfId="43644"/>
    <cellStyle name="40% - Accent2 2 3 14 5" xfId="31894"/>
    <cellStyle name="40% - Accent2 2 3 15" xfId="2827"/>
    <cellStyle name="40% - Accent2 2 3 15 2" xfId="8868"/>
    <cellStyle name="40% - Accent2 2 3 15 2 2" xfId="25915"/>
    <cellStyle name="40% - Accent2 2 3 15 2 2 2" xfId="54776"/>
    <cellStyle name="40% - Accent2 2 3 15 2 3" xfId="37729"/>
    <cellStyle name="40% - Accent2 2 3 15 3" xfId="17463"/>
    <cellStyle name="40% - Accent2 2 3 15 3 2" xfId="46324"/>
    <cellStyle name="40% - Accent2 2 3 15 4" xfId="31688"/>
    <cellStyle name="40% - Accent2 2 3 16" xfId="5713"/>
    <cellStyle name="40% - Accent2 2 3 16 2" xfId="11754"/>
    <cellStyle name="40% - Accent2 2 3 16 2 2" xfId="28801"/>
    <cellStyle name="40% - Accent2 2 3 16 2 2 2" xfId="57662"/>
    <cellStyle name="40% - Accent2 2 3 16 2 3" xfId="40615"/>
    <cellStyle name="40% - Accent2 2 3 16 3" xfId="22823"/>
    <cellStyle name="40% - Accent2 2 3 16 3 2" xfId="51684"/>
    <cellStyle name="40% - Accent2 2 3 16 4" xfId="34574"/>
    <cellStyle name="40% - Accent2 2 3 17" xfId="5930"/>
    <cellStyle name="40% - Accent2 2 3 17 2" xfId="23029"/>
    <cellStyle name="40% - Accent2 2 3 17 2 2" xfId="51890"/>
    <cellStyle name="40% - Accent2 2 3 17 3" xfId="34791"/>
    <cellStyle name="40% - Accent2 2 3 18" xfId="6188"/>
    <cellStyle name="40% - Accent2 2 3 18 2" xfId="23235"/>
    <cellStyle name="40% - Accent2 2 3 18 2 2" xfId="52096"/>
    <cellStyle name="40% - Accent2 2 3 18 3" xfId="35049"/>
    <cellStyle name="40% - Accent2 2 3 19" xfId="14577"/>
    <cellStyle name="40% - Accent2 2 3 19 2" xfId="43438"/>
    <cellStyle name="40% - Accent2 2 3 2" xfId="352"/>
    <cellStyle name="40% - Accent2 2 3 2 10" xfId="2515"/>
    <cellStyle name="40% - Accent2 2 3 2 10 2" xfId="5402"/>
    <cellStyle name="40% - Accent2 2 3 2 10 2 2" xfId="11443"/>
    <cellStyle name="40% - Accent2 2 3 2 10 2 2 2" xfId="28490"/>
    <cellStyle name="40% - Accent2 2 3 2 10 2 2 2 2" xfId="57351"/>
    <cellStyle name="40% - Accent2 2 3 2 10 2 2 3" xfId="40304"/>
    <cellStyle name="40% - Accent2 2 3 2 10 2 3" xfId="22512"/>
    <cellStyle name="40% - Accent2 2 3 2 10 2 3 2" xfId="51373"/>
    <cellStyle name="40% - Accent2 2 3 2 10 2 4" xfId="34263"/>
    <cellStyle name="40% - Accent2 2 3 2 10 3" xfId="8557"/>
    <cellStyle name="40% - Accent2 2 3 2 10 3 2" xfId="25604"/>
    <cellStyle name="40% - Accent2 2 3 2 10 3 2 2" xfId="54465"/>
    <cellStyle name="40% - Accent2 2 3 2 10 3 3" xfId="37418"/>
    <cellStyle name="40% - Accent2 2 3 2 10 4" xfId="12985"/>
    <cellStyle name="40% - Accent2 2 3 2 10 4 2" xfId="19832"/>
    <cellStyle name="40% - Accent2 2 3 2 10 4 2 2" xfId="48693"/>
    <cellStyle name="40% - Accent2 2 3 2 10 4 3" xfId="41846"/>
    <cellStyle name="40% - Accent2 2 3 2 10 5" xfId="17152"/>
    <cellStyle name="40% - Accent2 2 3 2 10 5 2" xfId="46013"/>
    <cellStyle name="40% - Accent2 2 3 2 10 6" xfId="31377"/>
    <cellStyle name="40% - Accent2 2 3 2 11" xfId="2724"/>
    <cellStyle name="40% - Accent2 2 3 2 11 2" xfId="5610"/>
    <cellStyle name="40% - Accent2 2 3 2 11 2 2" xfId="11651"/>
    <cellStyle name="40% - Accent2 2 3 2 11 2 2 2" xfId="28698"/>
    <cellStyle name="40% - Accent2 2 3 2 11 2 2 2 2" xfId="57559"/>
    <cellStyle name="40% - Accent2 2 3 2 11 2 2 3" xfId="40512"/>
    <cellStyle name="40% - Accent2 2 3 2 11 2 3" xfId="22720"/>
    <cellStyle name="40% - Accent2 2 3 2 11 2 3 2" xfId="51581"/>
    <cellStyle name="40% - Accent2 2 3 2 11 2 4" xfId="34471"/>
    <cellStyle name="40% - Accent2 2 3 2 11 3" xfId="8765"/>
    <cellStyle name="40% - Accent2 2 3 2 11 3 2" xfId="25812"/>
    <cellStyle name="40% - Accent2 2 3 2 11 3 2 2" xfId="54673"/>
    <cellStyle name="40% - Accent2 2 3 2 11 3 3" xfId="37626"/>
    <cellStyle name="40% - Accent2 2 3 2 11 4" xfId="13644"/>
    <cellStyle name="40% - Accent2 2 3 2 11 4 2" xfId="20040"/>
    <cellStyle name="40% - Accent2 2 3 2 11 4 2 2" xfId="48901"/>
    <cellStyle name="40% - Accent2 2 3 2 11 4 3" xfId="42505"/>
    <cellStyle name="40% - Accent2 2 3 2 11 5" xfId="17360"/>
    <cellStyle name="40% - Accent2 2 3 2 11 5 2" xfId="46221"/>
    <cellStyle name="40% - Accent2 2 3 2 11 6" xfId="31585"/>
    <cellStyle name="40% - Accent2 2 3 2 12" xfId="3239"/>
    <cellStyle name="40% - Accent2 2 3 2 12 2" xfId="9280"/>
    <cellStyle name="40% - Accent2 2 3 2 12 2 2" xfId="26327"/>
    <cellStyle name="40% - Accent2 2 3 2 12 2 2 2" xfId="55188"/>
    <cellStyle name="40% - Accent2 2 3 2 12 2 3" xfId="38141"/>
    <cellStyle name="40% - Accent2 2 3 2 12 3" xfId="14098"/>
    <cellStyle name="40% - Accent2 2 3 2 12 3 2" xfId="20349"/>
    <cellStyle name="40% - Accent2 2 3 2 12 3 2 2" xfId="49210"/>
    <cellStyle name="40% - Accent2 2 3 2 12 3 3" xfId="42959"/>
    <cellStyle name="40% - Accent2 2 3 2 12 4" xfId="14989"/>
    <cellStyle name="40% - Accent2 2 3 2 12 4 2" xfId="43850"/>
    <cellStyle name="40% - Accent2 2 3 2 12 5" xfId="32100"/>
    <cellStyle name="40% - Accent2 2 3 2 13" xfId="2930"/>
    <cellStyle name="40% - Accent2 2 3 2 13 2" xfId="8971"/>
    <cellStyle name="40% - Accent2 2 3 2 13 2 2" xfId="26018"/>
    <cellStyle name="40% - Accent2 2 3 2 13 2 2 2" xfId="54879"/>
    <cellStyle name="40% - Accent2 2 3 2 13 2 3" xfId="37832"/>
    <cellStyle name="40% - Accent2 2 3 2 13 3" xfId="17566"/>
    <cellStyle name="40% - Accent2 2 3 2 13 3 2" xfId="46427"/>
    <cellStyle name="40% - Accent2 2 3 2 13 4" xfId="31791"/>
    <cellStyle name="40% - Accent2 2 3 2 14" xfId="5816"/>
    <cellStyle name="40% - Accent2 2 3 2 14 2" xfId="11857"/>
    <cellStyle name="40% - Accent2 2 3 2 14 2 2" xfId="28904"/>
    <cellStyle name="40% - Accent2 2 3 2 14 2 2 2" xfId="57765"/>
    <cellStyle name="40% - Accent2 2 3 2 14 2 3" xfId="40718"/>
    <cellStyle name="40% - Accent2 2 3 2 14 3" xfId="22926"/>
    <cellStyle name="40% - Accent2 2 3 2 14 3 2" xfId="51787"/>
    <cellStyle name="40% - Accent2 2 3 2 14 4" xfId="34677"/>
    <cellStyle name="40% - Accent2 2 3 2 15" xfId="6033"/>
    <cellStyle name="40% - Accent2 2 3 2 15 2" xfId="23132"/>
    <cellStyle name="40% - Accent2 2 3 2 15 2 2" xfId="51993"/>
    <cellStyle name="40% - Accent2 2 3 2 15 3" xfId="34894"/>
    <cellStyle name="40% - Accent2 2 3 2 16" xfId="6394"/>
    <cellStyle name="40% - Accent2 2 3 2 16 2" xfId="23441"/>
    <cellStyle name="40% - Accent2 2 3 2 16 2 2" xfId="52302"/>
    <cellStyle name="40% - Accent2 2 3 2 16 3" xfId="35255"/>
    <cellStyle name="40% - Accent2 2 3 2 17" xfId="14680"/>
    <cellStyle name="40% - Accent2 2 3 2 17 2" xfId="43541"/>
    <cellStyle name="40% - Accent2 2 3 2 18" xfId="29214"/>
    <cellStyle name="40% - Accent2 2 3 2 2" xfId="558"/>
    <cellStyle name="40% - Accent2 2 3 2 2 2" xfId="2309"/>
    <cellStyle name="40% - Accent2 2 3 2 2 2 2" xfId="5196"/>
    <cellStyle name="40% - Accent2 2 3 2 2 2 2 2" xfId="11237"/>
    <cellStyle name="40% - Accent2 2 3 2 2 2 2 2 2" xfId="28284"/>
    <cellStyle name="40% - Accent2 2 3 2 2 2 2 2 2 2" xfId="57145"/>
    <cellStyle name="40% - Accent2 2 3 2 2 2 2 2 3" xfId="40098"/>
    <cellStyle name="40% - Accent2 2 3 2 2 2 2 3" xfId="22306"/>
    <cellStyle name="40% - Accent2 2 3 2 2 2 2 3 2" xfId="51167"/>
    <cellStyle name="40% - Accent2 2 3 2 2 2 2 4" xfId="34057"/>
    <cellStyle name="40% - Accent2 2 3 2 2 2 3" xfId="8351"/>
    <cellStyle name="40% - Accent2 2 3 2 2 2 3 2" xfId="25398"/>
    <cellStyle name="40% - Accent2 2 3 2 2 2 3 2 2" xfId="54259"/>
    <cellStyle name="40% - Accent2 2 3 2 2 2 3 3" xfId="37212"/>
    <cellStyle name="40% - Accent2 2 3 2 2 2 4" xfId="12375"/>
    <cellStyle name="40% - Accent2 2 3 2 2 2 4 2" xfId="19626"/>
    <cellStyle name="40% - Accent2 2 3 2 2 2 4 2 2" xfId="48487"/>
    <cellStyle name="40% - Accent2 2 3 2 2 2 4 3" xfId="41236"/>
    <cellStyle name="40% - Accent2 2 3 2 2 2 5" xfId="16946"/>
    <cellStyle name="40% - Accent2 2 3 2 2 2 5 2" xfId="45807"/>
    <cellStyle name="40% - Accent2 2 3 2 2 2 6" xfId="31171"/>
    <cellStyle name="40% - Accent2 2 3 2 2 3" xfId="3445"/>
    <cellStyle name="40% - Accent2 2 3 2 2 3 2" xfId="9486"/>
    <cellStyle name="40% - Accent2 2 3 2 2 3 2 2" xfId="26533"/>
    <cellStyle name="40% - Accent2 2 3 2 2 3 2 2 2" xfId="55394"/>
    <cellStyle name="40% - Accent2 2 3 2 2 3 2 3" xfId="38347"/>
    <cellStyle name="40% - Accent2 2 3 2 2 3 3" xfId="20555"/>
    <cellStyle name="40% - Accent2 2 3 2 2 3 3 2" xfId="49416"/>
    <cellStyle name="40% - Accent2 2 3 2 2 3 4" xfId="32306"/>
    <cellStyle name="40% - Accent2 2 3 2 2 4" xfId="6600"/>
    <cellStyle name="40% - Accent2 2 3 2 2 4 2" xfId="23647"/>
    <cellStyle name="40% - Accent2 2 3 2 2 4 2 2" xfId="52508"/>
    <cellStyle name="40% - Accent2 2 3 2 2 4 3" xfId="35461"/>
    <cellStyle name="40% - Accent2 2 3 2 2 5" xfId="11962"/>
    <cellStyle name="40% - Accent2 2 3 2 2 5 2" xfId="17875"/>
    <cellStyle name="40% - Accent2 2 3 2 2 5 2 2" xfId="46736"/>
    <cellStyle name="40% - Accent2 2 3 2 2 5 3" xfId="40823"/>
    <cellStyle name="40% - Accent2 2 3 2 2 6" xfId="15195"/>
    <cellStyle name="40% - Accent2 2 3 2 2 6 2" xfId="44056"/>
    <cellStyle name="40% - Accent2 2 3 2 2 7" xfId="29420"/>
    <cellStyle name="40% - Accent2 2 3 2 3" xfId="867"/>
    <cellStyle name="40% - Accent2 2 3 2 3 2" xfId="3754"/>
    <cellStyle name="40% - Accent2 2 3 2 3 2 2" xfId="9795"/>
    <cellStyle name="40% - Accent2 2 3 2 3 2 2 2" xfId="26842"/>
    <cellStyle name="40% - Accent2 2 3 2 3 2 2 2 2" xfId="55703"/>
    <cellStyle name="40% - Accent2 2 3 2 3 2 2 3" xfId="38656"/>
    <cellStyle name="40% - Accent2 2 3 2 3 2 3" xfId="20864"/>
    <cellStyle name="40% - Accent2 2 3 2 3 2 3 2" xfId="49725"/>
    <cellStyle name="40% - Accent2 2 3 2 3 2 4" xfId="32615"/>
    <cellStyle name="40% - Accent2 2 3 2 3 3" xfId="6909"/>
    <cellStyle name="40% - Accent2 2 3 2 3 3 2" xfId="23956"/>
    <cellStyle name="40% - Accent2 2 3 2 3 3 2 2" xfId="52817"/>
    <cellStyle name="40% - Accent2 2 3 2 3 3 3" xfId="35770"/>
    <cellStyle name="40% - Accent2 2 3 2 3 4" xfId="12725"/>
    <cellStyle name="40% - Accent2 2 3 2 3 4 2" xfId="18184"/>
    <cellStyle name="40% - Accent2 2 3 2 3 4 2 2" xfId="47045"/>
    <cellStyle name="40% - Accent2 2 3 2 3 4 3" xfId="41586"/>
    <cellStyle name="40% - Accent2 2 3 2 3 5" xfId="15504"/>
    <cellStyle name="40% - Accent2 2 3 2 3 5 2" xfId="44365"/>
    <cellStyle name="40% - Accent2 2 3 2 3 6" xfId="29729"/>
    <cellStyle name="40% - Accent2 2 3 2 4" xfId="1073"/>
    <cellStyle name="40% - Accent2 2 3 2 4 2" xfId="3960"/>
    <cellStyle name="40% - Accent2 2 3 2 4 2 2" xfId="10001"/>
    <cellStyle name="40% - Accent2 2 3 2 4 2 2 2" xfId="27048"/>
    <cellStyle name="40% - Accent2 2 3 2 4 2 2 2 2" xfId="55909"/>
    <cellStyle name="40% - Accent2 2 3 2 4 2 2 3" xfId="38862"/>
    <cellStyle name="40% - Accent2 2 3 2 4 2 3" xfId="21070"/>
    <cellStyle name="40% - Accent2 2 3 2 4 2 3 2" xfId="49931"/>
    <cellStyle name="40% - Accent2 2 3 2 4 2 4" xfId="32821"/>
    <cellStyle name="40% - Accent2 2 3 2 4 3" xfId="7115"/>
    <cellStyle name="40% - Accent2 2 3 2 4 3 2" xfId="24162"/>
    <cellStyle name="40% - Accent2 2 3 2 4 3 2 2" xfId="53023"/>
    <cellStyle name="40% - Accent2 2 3 2 4 3 3" xfId="35976"/>
    <cellStyle name="40% - Accent2 2 3 2 4 4" xfId="13235"/>
    <cellStyle name="40% - Accent2 2 3 2 4 4 2" xfId="18390"/>
    <cellStyle name="40% - Accent2 2 3 2 4 4 2 2" xfId="47251"/>
    <cellStyle name="40% - Accent2 2 3 2 4 4 3" xfId="42096"/>
    <cellStyle name="40% - Accent2 2 3 2 4 5" xfId="15710"/>
    <cellStyle name="40% - Accent2 2 3 2 4 5 2" xfId="44571"/>
    <cellStyle name="40% - Accent2 2 3 2 4 6" xfId="29935"/>
    <cellStyle name="40% - Accent2 2 3 2 5" xfId="1279"/>
    <cellStyle name="40% - Accent2 2 3 2 5 2" xfId="4166"/>
    <cellStyle name="40% - Accent2 2 3 2 5 2 2" xfId="10207"/>
    <cellStyle name="40% - Accent2 2 3 2 5 2 2 2" xfId="27254"/>
    <cellStyle name="40% - Accent2 2 3 2 5 2 2 2 2" xfId="56115"/>
    <cellStyle name="40% - Accent2 2 3 2 5 2 2 3" xfId="39068"/>
    <cellStyle name="40% - Accent2 2 3 2 5 2 3" xfId="21276"/>
    <cellStyle name="40% - Accent2 2 3 2 5 2 3 2" xfId="50137"/>
    <cellStyle name="40% - Accent2 2 3 2 5 2 4" xfId="33027"/>
    <cellStyle name="40% - Accent2 2 3 2 5 3" xfId="7321"/>
    <cellStyle name="40% - Accent2 2 3 2 5 3 2" xfId="24368"/>
    <cellStyle name="40% - Accent2 2 3 2 5 3 2 2" xfId="53229"/>
    <cellStyle name="40% - Accent2 2 3 2 5 3 3" xfId="36182"/>
    <cellStyle name="40% - Accent2 2 3 2 5 4" xfId="11919"/>
    <cellStyle name="40% - Accent2 2 3 2 5 4 2" xfId="18596"/>
    <cellStyle name="40% - Accent2 2 3 2 5 4 2 2" xfId="47457"/>
    <cellStyle name="40% - Accent2 2 3 2 5 4 3" xfId="40780"/>
    <cellStyle name="40% - Accent2 2 3 2 5 5" xfId="15916"/>
    <cellStyle name="40% - Accent2 2 3 2 5 5 2" xfId="44777"/>
    <cellStyle name="40% - Accent2 2 3 2 5 6" xfId="30141"/>
    <cellStyle name="40% - Accent2 2 3 2 6" xfId="1485"/>
    <cellStyle name="40% - Accent2 2 3 2 6 2" xfId="4372"/>
    <cellStyle name="40% - Accent2 2 3 2 6 2 2" xfId="10413"/>
    <cellStyle name="40% - Accent2 2 3 2 6 2 2 2" xfId="27460"/>
    <cellStyle name="40% - Accent2 2 3 2 6 2 2 2 2" xfId="56321"/>
    <cellStyle name="40% - Accent2 2 3 2 6 2 2 3" xfId="39274"/>
    <cellStyle name="40% - Accent2 2 3 2 6 2 3" xfId="21482"/>
    <cellStyle name="40% - Accent2 2 3 2 6 2 3 2" xfId="50343"/>
    <cellStyle name="40% - Accent2 2 3 2 6 2 4" xfId="33233"/>
    <cellStyle name="40% - Accent2 2 3 2 6 3" xfId="7527"/>
    <cellStyle name="40% - Accent2 2 3 2 6 3 2" xfId="24574"/>
    <cellStyle name="40% - Accent2 2 3 2 6 3 2 2" xfId="53435"/>
    <cellStyle name="40% - Accent2 2 3 2 6 3 3" xfId="36388"/>
    <cellStyle name="40% - Accent2 2 3 2 6 4" xfId="12696"/>
    <cellStyle name="40% - Accent2 2 3 2 6 4 2" xfId="18802"/>
    <cellStyle name="40% - Accent2 2 3 2 6 4 2 2" xfId="47663"/>
    <cellStyle name="40% - Accent2 2 3 2 6 4 3" xfId="41557"/>
    <cellStyle name="40% - Accent2 2 3 2 6 5" xfId="16122"/>
    <cellStyle name="40% - Accent2 2 3 2 6 5 2" xfId="44983"/>
    <cellStyle name="40% - Accent2 2 3 2 6 6" xfId="30347"/>
    <cellStyle name="40% - Accent2 2 3 2 7" xfId="1691"/>
    <cellStyle name="40% - Accent2 2 3 2 7 2" xfId="4578"/>
    <cellStyle name="40% - Accent2 2 3 2 7 2 2" xfId="10619"/>
    <cellStyle name="40% - Accent2 2 3 2 7 2 2 2" xfId="27666"/>
    <cellStyle name="40% - Accent2 2 3 2 7 2 2 2 2" xfId="56527"/>
    <cellStyle name="40% - Accent2 2 3 2 7 2 2 3" xfId="39480"/>
    <cellStyle name="40% - Accent2 2 3 2 7 2 3" xfId="21688"/>
    <cellStyle name="40% - Accent2 2 3 2 7 2 3 2" xfId="50549"/>
    <cellStyle name="40% - Accent2 2 3 2 7 2 4" xfId="33439"/>
    <cellStyle name="40% - Accent2 2 3 2 7 3" xfId="7733"/>
    <cellStyle name="40% - Accent2 2 3 2 7 3 2" xfId="24780"/>
    <cellStyle name="40% - Accent2 2 3 2 7 3 2 2" xfId="53641"/>
    <cellStyle name="40% - Accent2 2 3 2 7 3 3" xfId="36594"/>
    <cellStyle name="40% - Accent2 2 3 2 7 4" xfId="14184"/>
    <cellStyle name="40% - Accent2 2 3 2 7 4 2" xfId="19008"/>
    <cellStyle name="40% - Accent2 2 3 2 7 4 2 2" xfId="47869"/>
    <cellStyle name="40% - Accent2 2 3 2 7 4 3" xfId="43045"/>
    <cellStyle name="40% - Accent2 2 3 2 7 5" xfId="16328"/>
    <cellStyle name="40% - Accent2 2 3 2 7 5 2" xfId="45189"/>
    <cellStyle name="40% - Accent2 2 3 2 7 6" xfId="30553"/>
    <cellStyle name="40% - Accent2 2 3 2 8" xfId="1897"/>
    <cellStyle name="40% - Accent2 2 3 2 8 2" xfId="4784"/>
    <cellStyle name="40% - Accent2 2 3 2 8 2 2" xfId="10825"/>
    <cellStyle name="40% - Accent2 2 3 2 8 2 2 2" xfId="27872"/>
    <cellStyle name="40% - Accent2 2 3 2 8 2 2 2 2" xfId="56733"/>
    <cellStyle name="40% - Accent2 2 3 2 8 2 2 3" xfId="39686"/>
    <cellStyle name="40% - Accent2 2 3 2 8 2 3" xfId="21894"/>
    <cellStyle name="40% - Accent2 2 3 2 8 2 3 2" xfId="50755"/>
    <cellStyle name="40% - Accent2 2 3 2 8 2 4" xfId="33645"/>
    <cellStyle name="40% - Accent2 2 3 2 8 3" xfId="7939"/>
    <cellStyle name="40% - Accent2 2 3 2 8 3 2" xfId="24986"/>
    <cellStyle name="40% - Accent2 2 3 2 8 3 2 2" xfId="53847"/>
    <cellStyle name="40% - Accent2 2 3 2 8 3 3" xfId="36800"/>
    <cellStyle name="40% - Accent2 2 3 2 8 4" xfId="12908"/>
    <cellStyle name="40% - Accent2 2 3 2 8 4 2" xfId="19214"/>
    <cellStyle name="40% - Accent2 2 3 2 8 4 2 2" xfId="48075"/>
    <cellStyle name="40% - Accent2 2 3 2 8 4 3" xfId="41769"/>
    <cellStyle name="40% - Accent2 2 3 2 8 5" xfId="16534"/>
    <cellStyle name="40% - Accent2 2 3 2 8 5 2" xfId="45395"/>
    <cellStyle name="40% - Accent2 2 3 2 8 6" xfId="30759"/>
    <cellStyle name="40% - Accent2 2 3 2 9" xfId="2103"/>
    <cellStyle name="40% - Accent2 2 3 2 9 2" xfId="4990"/>
    <cellStyle name="40% - Accent2 2 3 2 9 2 2" xfId="11031"/>
    <cellStyle name="40% - Accent2 2 3 2 9 2 2 2" xfId="28078"/>
    <cellStyle name="40% - Accent2 2 3 2 9 2 2 2 2" xfId="56939"/>
    <cellStyle name="40% - Accent2 2 3 2 9 2 2 3" xfId="39892"/>
    <cellStyle name="40% - Accent2 2 3 2 9 2 3" xfId="22100"/>
    <cellStyle name="40% - Accent2 2 3 2 9 2 3 2" xfId="50961"/>
    <cellStyle name="40% - Accent2 2 3 2 9 2 4" xfId="33851"/>
    <cellStyle name="40% - Accent2 2 3 2 9 3" xfId="8145"/>
    <cellStyle name="40% - Accent2 2 3 2 9 3 2" xfId="25192"/>
    <cellStyle name="40% - Accent2 2 3 2 9 3 2 2" xfId="54053"/>
    <cellStyle name="40% - Accent2 2 3 2 9 3 3" xfId="37006"/>
    <cellStyle name="40% - Accent2 2 3 2 9 4" xfId="14048"/>
    <cellStyle name="40% - Accent2 2 3 2 9 4 2" xfId="19420"/>
    <cellStyle name="40% - Accent2 2 3 2 9 4 2 2" xfId="48281"/>
    <cellStyle name="40% - Accent2 2 3 2 9 4 3" xfId="42909"/>
    <cellStyle name="40% - Accent2 2 3 2 9 5" xfId="16740"/>
    <cellStyle name="40% - Accent2 2 3 2 9 5 2" xfId="45601"/>
    <cellStyle name="40% - Accent2 2 3 2 9 6" xfId="30965"/>
    <cellStyle name="40% - Accent2 2 3 20" xfId="29008"/>
    <cellStyle name="40% - Accent2 2 3 3" xfId="249"/>
    <cellStyle name="40% - Accent2 2 3 3 2" xfId="661"/>
    <cellStyle name="40% - Accent2 2 3 3 2 2" xfId="3548"/>
    <cellStyle name="40% - Accent2 2 3 3 2 2 2" xfId="9589"/>
    <cellStyle name="40% - Accent2 2 3 3 2 2 2 2" xfId="26636"/>
    <cellStyle name="40% - Accent2 2 3 3 2 2 2 2 2" xfId="55497"/>
    <cellStyle name="40% - Accent2 2 3 3 2 2 2 3" xfId="38450"/>
    <cellStyle name="40% - Accent2 2 3 3 2 2 3" xfId="20658"/>
    <cellStyle name="40% - Accent2 2 3 3 2 2 3 2" xfId="49519"/>
    <cellStyle name="40% - Accent2 2 3 3 2 2 4" xfId="32409"/>
    <cellStyle name="40% - Accent2 2 3 3 2 3" xfId="6703"/>
    <cellStyle name="40% - Accent2 2 3 3 2 3 2" xfId="23750"/>
    <cellStyle name="40% - Accent2 2 3 3 2 3 2 2" xfId="52611"/>
    <cellStyle name="40% - Accent2 2 3 3 2 3 3" xfId="35564"/>
    <cellStyle name="40% - Accent2 2 3 3 2 4" xfId="12746"/>
    <cellStyle name="40% - Accent2 2 3 3 2 4 2" xfId="17978"/>
    <cellStyle name="40% - Accent2 2 3 3 2 4 2 2" xfId="46839"/>
    <cellStyle name="40% - Accent2 2 3 3 2 4 3" xfId="41607"/>
    <cellStyle name="40% - Accent2 2 3 3 2 5" xfId="15298"/>
    <cellStyle name="40% - Accent2 2 3 3 2 5 2" xfId="44159"/>
    <cellStyle name="40% - Accent2 2 3 3 2 6" xfId="29523"/>
    <cellStyle name="40% - Accent2 2 3 3 3" xfId="2206"/>
    <cellStyle name="40% - Accent2 2 3 3 3 2" xfId="5093"/>
    <cellStyle name="40% - Accent2 2 3 3 3 2 2" xfId="11134"/>
    <cellStyle name="40% - Accent2 2 3 3 3 2 2 2" xfId="28181"/>
    <cellStyle name="40% - Accent2 2 3 3 3 2 2 2 2" xfId="57042"/>
    <cellStyle name="40% - Accent2 2 3 3 3 2 2 3" xfId="39995"/>
    <cellStyle name="40% - Accent2 2 3 3 3 2 3" xfId="22203"/>
    <cellStyle name="40% - Accent2 2 3 3 3 2 3 2" xfId="51064"/>
    <cellStyle name="40% - Accent2 2 3 3 3 2 4" xfId="33954"/>
    <cellStyle name="40% - Accent2 2 3 3 3 3" xfId="8248"/>
    <cellStyle name="40% - Accent2 2 3 3 3 3 2" xfId="25295"/>
    <cellStyle name="40% - Accent2 2 3 3 3 3 2 2" xfId="54156"/>
    <cellStyle name="40% - Accent2 2 3 3 3 3 3" xfId="37109"/>
    <cellStyle name="40% - Accent2 2 3 3 3 4" xfId="12816"/>
    <cellStyle name="40% - Accent2 2 3 3 3 4 2" xfId="19523"/>
    <cellStyle name="40% - Accent2 2 3 3 3 4 2 2" xfId="48384"/>
    <cellStyle name="40% - Accent2 2 3 3 3 4 3" xfId="41677"/>
    <cellStyle name="40% - Accent2 2 3 3 3 5" xfId="16843"/>
    <cellStyle name="40% - Accent2 2 3 3 3 5 2" xfId="45704"/>
    <cellStyle name="40% - Accent2 2 3 3 3 6" xfId="31068"/>
    <cellStyle name="40% - Accent2 2 3 3 4" xfId="3136"/>
    <cellStyle name="40% - Accent2 2 3 3 4 2" xfId="9177"/>
    <cellStyle name="40% - Accent2 2 3 3 4 2 2" xfId="26224"/>
    <cellStyle name="40% - Accent2 2 3 3 4 2 2 2" xfId="55085"/>
    <cellStyle name="40% - Accent2 2 3 3 4 2 3" xfId="38038"/>
    <cellStyle name="40% - Accent2 2 3 3 4 3" xfId="20246"/>
    <cellStyle name="40% - Accent2 2 3 3 4 3 2" xfId="49107"/>
    <cellStyle name="40% - Accent2 2 3 3 4 4" xfId="31997"/>
    <cellStyle name="40% - Accent2 2 3 3 5" xfId="6291"/>
    <cellStyle name="40% - Accent2 2 3 3 5 2" xfId="23338"/>
    <cellStyle name="40% - Accent2 2 3 3 5 2 2" xfId="52199"/>
    <cellStyle name="40% - Accent2 2 3 3 5 3" xfId="35152"/>
    <cellStyle name="40% - Accent2 2 3 3 6" xfId="6077"/>
    <cellStyle name="40% - Accent2 2 3 3 6 2" xfId="17669"/>
    <cellStyle name="40% - Accent2 2 3 3 6 2 2" xfId="46530"/>
    <cellStyle name="40% - Accent2 2 3 3 6 3" xfId="34938"/>
    <cellStyle name="40% - Accent2 2 3 3 7" xfId="14886"/>
    <cellStyle name="40% - Accent2 2 3 3 7 2" xfId="43747"/>
    <cellStyle name="40% - Accent2 2 3 3 8" xfId="29111"/>
    <cellStyle name="40% - Accent2 2 3 4" xfId="455"/>
    <cellStyle name="40% - Accent2 2 3 4 2" xfId="3342"/>
    <cellStyle name="40% - Accent2 2 3 4 2 2" xfId="9383"/>
    <cellStyle name="40% - Accent2 2 3 4 2 2 2" xfId="26430"/>
    <cellStyle name="40% - Accent2 2 3 4 2 2 2 2" xfId="55291"/>
    <cellStyle name="40% - Accent2 2 3 4 2 2 3" xfId="38244"/>
    <cellStyle name="40% - Accent2 2 3 4 2 3" xfId="20452"/>
    <cellStyle name="40% - Accent2 2 3 4 2 3 2" xfId="49313"/>
    <cellStyle name="40% - Accent2 2 3 4 2 4" xfId="32203"/>
    <cellStyle name="40% - Accent2 2 3 4 3" xfId="6497"/>
    <cellStyle name="40% - Accent2 2 3 4 3 2" xfId="23544"/>
    <cellStyle name="40% - Accent2 2 3 4 3 2 2" xfId="52405"/>
    <cellStyle name="40% - Accent2 2 3 4 3 3" xfId="35358"/>
    <cellStyle name="40% - Accent2 2 3 4 4" xfId="14298"/>
    <cellStyle name="40% - Accent2 2 3 4 4 2" xfId="17772"/>
    <cellStyle name="40% - Accent2 2 3 4 4 2 2" xfId="46633"/>
    <cellStyle name="40% - Accent2 2 3 4 4 3" xfId="43159"/>
    <cellStyle name="40% - Accent2 2 3 4 5" xfId="15092"/>
    <cellStyle name="40% - Accent2 2 3 4 5 2" xfId="43953"/>
    <cellStyle name="40% - Accent2 2 3 4 6" xfId="29317"/>
    <cellStyle name="40% - Accent2 2 3 5" xfId="764"/>
    <cellStyle name="40% - Accent2 2 3 5 2" xfId="3651"/>
    <cellStyle name="40% - Accent2 2 3 5 2 2" xfId="9692"/>
    <cellStyle name="40% - Accent2 2 3 5 2 2 2" xfId="26739"/>
    <cellStyle name="40% - Accent2 2 3 5 2 2 2 2" xfId="55600"/>
    <cellStyle name="40% - Accent2 2 3 5 2 2 3" xfId="38553"/>
    <cellStyle name="40% - Accent2 2 3 5 2 3" xfId="20761"/>
    <cellStyle name="40% - Accent2 2 3 5 2 3 2" xfId="49622"/>
    <cellStyle name="40% - Accent2 2 3 5 2 4" xfId="32512"/>
    <cellStyle name="40% - Accent2 2 3 5 3" xfId="6806"/>
    <cellStyle name="40% - Accent2 2 3 5 3 2" xfId="23853"/>
    <cellStyle name="40% - Accent2 2 3 5 3 2 2" xfId="52714"/>
    <cellStyle name="40% - Accent2 2 3 5 3 3" xfId="35667"/>
    <cellStyle name="40% - Accent2 2 3 5 4" xfId="12057"/>
    <cellStyle name="40% - Accent2 2 3 5 4 2" xfId="18081"/>
    <cellStyle name="40% - Accent2 2 3 5 4 2 2" xfId="46942"/>
    <cellStyle name="40% - Accent2 2 3 5 4 3" xfId="40918"/>
    <cellStyle name="40% - Accent2 2 3 5 5" xfId="15401"/>
    <cellStyle name="40% - Accent2 2 3 5 5 2" xfId="44262"/>
    <cellStyle name="40% - Accent2 2 3 5 6" xfId="29626"/>
    <cellStyle name="40% - Accent2 2 3 6" xfId="970"/>
    <cellStyle name="40% - Accent2 2 3 6 2" xfId="3857"/>
    <cellStyle name="40% - Accent2 2 3 6 2 2" xfId="9898"/>
    <cellStyle name="40% - Accent2 2 3 6 2 2 2" xfId="26945"/>
    <cellStyle name="40% - Accent2 2 3 6 2 2 2 2" xfId="55806"/>
    <cellStyle name="40% - Accent2 2 3 6 2 2 3" xfId="38759"/>
    <cellStyle name="40% - Accent2 2 3 6 2 3" xfId="20967"/>
    <cellStyle name="40% - Accent2 2 3 6 2 3 2" xfId="49828"/>
    <cellStyle name="40% - Accent2 2 3 6 2 4" xfId="32718"/>
    <cellStyle name="40% - Accent2 2 3 6 3" xfId="7012"/>
    <cellStyle name="40% - Accent2 2 3 6 3 2" xfId="24059"/>
    <cellStyle name="40% - Accent2 2 3 6 3 2 2" xfId="52920"/>
    <cellStyle name="40% - Accent2 2 3 6 3 3" xfId="35873"/>
    <cellStyle name="40% - Accent2 2 3 6 4" xfId="12704"/>
    <cellStyle name="40% - Accent2 2 3 6 4 2" xfId="18287"/>
    <cellStyle name="40% - Accent2 2 3 6 4 2 2" xfId="47148"/>
    <cellStyle name="40% - Accent2 2 3 6 4 3" xfId="41565"/>
    <cellStyle name="40% - Accent2 2 3 6 5" xfId="15607"/>
    <cellStyle name="40% - Accent2 2 3 6 5 2" xfId="44468"/>
    <cellStyle name="40% - Accent2 2 3 6 6" xfId="29832"/>
    <cellStyle name="40% - Accent2 2 3 7" xfId="1176"/>
    <cellStyle name="40% - Accent2 2 3 7 2" xfId="4063"/>
    <cellStyle name="40% - Accent2 2 3 7 2 2" xfId="10104"/>
    <cellStyle name="40% - Accent2 2 3 7 2 2 2" xfId="27151"/>
    <cellStyle name="40% - Accent2 2 3 7 2 2 2 2" xfId="56012"/>
    <cellStyle name="40% - Accent2 2 3 7 2 2 3" xfId="38965"/>
    <cellStyle name="40% - Accent2 2 3 7 2 3" xfId="21173"/>
    <cellStyle name="40% - Accent2 2 3 7 2 3 2" xfId="50034"/>
    <cellStyle name="40% - Accent2 2 3 7 2 4" xfId="32924"/>
    <cellStyle name="40% - Accent2 2 3 7 3" xfId="7218"/>
    <cellStyle name="40% - Accent2 2 3 7 3 2" xfId="24265"/>
    <cellStyle name="40% - Accent2 2 3 7 3 2 2" xfId="53126"/>
    <cellStyle name="40% - Accent2 2 3 7 3 3" xfId="36079"/>
    <cellStyle name="40% - Accent2 2 3 7 4" xfId="14309"/>
    <cellStyle name="40% - Accent2 2 3 7 4 2" xfId="18493"/>
    <cellStyle name="40% - Accent2 2 3 7 4 2 2" xfId="47354"/>
    <cellStyle name="40% - Accent2 2 3 7 4 3" xfId="43170"/>
    <cellStyle name="40% - Accent2 2 3 7 5" xfId="15813"/>
    <cellStyle name="40% - Accent2 2 3 7 5 2" xfId="44674"/>
    <cellStyle name="40% - Accent2 2 3 7 6" xfId="30038"/>
    <cellStyle name="40% - Accent2 2 3 8" xfId="1382"/>
    <cellStyle name="40% - Accent2 2 3 8 2" xfId="4269"/>
    <cellStyle name="40% - Accent2 2 3 8 2 2" xfId="10310"/>
    <cellStyle name="40% - Accent2 2 3 8 2 2 2" xfId="27357"/>
    <cellStyle name="40% - Accent2 2 3 8 2 2 2 2" xfId="56218"/>
    <cellStyle name="40% - Accent2 2 3 8 2 2 3" xfId="39171"/>
    <cellStyle name="40% - Accent2 2 3 8 2 3" xfId="21379"/>
    <cellStyle name="40% - Accent2 2 3 8 2 3 2" xfId="50240"/>
    <cellStyle name="40% - Accent2 2 3 8 2 4" xfId="33130"/>
    <cellStyle name="40% - Accent2 2 3 8 3" xfId="7424"/>
    <cellStyle name="40% - Accent2 2 3 8 3 2" xfId="24471"/>
    <cellStyle name="40% - Accent2 2 3 8 3 2 2" xfId="53332"/>
    <cellStyle name="40% - Accent2 2 3 8 3 3" xfId="36285"/>
    <cellStyle name="40% - Accent2 2 3 8 4" xfId="14446"/>
    <cellStyle name="40% - Accent2 2 3 8 4 2" xfId="18699"/>
    <cellStyle name="40% - Accent2 2 3 8 4 2 2" xfId="47560"/>
    <cellStyle name="40% - Accent2 2 3 8 4 3" xfId="43307"/>
    <cellStyle name="40% - Accent2 2 3 8 5" xfId="16019"/>
    <cellStyle name="40% - Accent2 2 3 8 5 2" xfId="44880"/>
    <cellStyle name="40% - Accent2 2 3 8 6" xfId="30244"/>
    <cellStyle name="40% - Accent2 2 3 9" xfId="1588"/>
    <cellStyle name="40% - Accent2 2 3 9 2" xfId="4475"/>
    <cellStyle name="40% - Accent2 2 3 9 2 2" xfId="10516"/>
    <cellStyle name="40% - Accent2 2 3 9 2 2 2" xfId="27563"/>
    <cellStyle name="40% - Accent2 2 3 9 2 2 2 2" xfId="56424"/>
    <cellStyle name="40% - Accent2 2 3 9 2 2 3" xfId="39377"/>
    <cellStyle name="40% - Accent2 2 3 9 2 3" xfId="21585"/>
    <cellStyle name="40% - Accent2 2 3 9 2 3 2" xfId="50446"/>
    <cellStyle name="40% - Accent2 2 3 9 2 4" xfId="33336"/>
    <cellStyle name="40% - Accent2 2 3 9 3" xfId="7630"/>
    <cellStyle name="40% - Accent2 2 3 9 3 2" xfId="24677"/>
    <cellStyle name="40% - Accent2 2 3 9 3 2 2" xfId="53538"/>
    <cellStyle name="40% - Accent2 2 3 9 3 3" xfId="36491"/>
    <cellStyle name="40% - Accent2 2 3 9 4" xfId="13544"/>
    <cellStyle name="40% - Accent2 2 3 9 4 2" xfId="18905"/>
    <cellStyle name="40% - Accent2 2 3 9 4 2 2" xfId="47766"/>
    <cellStyle name="40% - Accent2 2 3 9 4 3" xfId="42405"/>
    <cellStyle name="40% - Accent2 2 3 9 5" xfId="16225"/>
    <cellStyle name="40% - Accent2 2 3 9 5 2" xfId="45086"/>
    <cellStyle name="40% - Accent2 2 3 9 6" xfId="30450"/>
    <cellStyle name="40% - Accent2 2 4" xfId="300"/>
    <cellStyle name="40% - Accent2 2 4 10" xfId="2463"/>
    <cellStyle name="40% - Accent2 2 4 10 2" xfId="5350"/>
    <cellStyle name="40% - Accent2 2 4 10 2 2" xfId="11391"/>
    <cellStyle name="40% - Accent2 2 4 10 2 2 2" xfId="28438"/>
    <cellStyle name="40% - Accent2 2 4 10 2 2 2 2" xfId="57299"/>
    <cellStyle name="40% - Accent2 2 4 10 2 2 3" xfId="40252"/>
    <cellStyle name="40% - Accent2 2 4 10 2 3" xfId="22460"/>
    <cellStyle name="40% - Accent2 2 4 10 2 3 2" xfId="51321"/>
    <cellStyle name="40% - Accent2 2 4 10 2 4" xfId="34211"/>
    <cellStyle name="40% - Accent2 2 4 10 3" xfId="8505"/>
    <cellStyle name="40% - Accent2 2 4 10 3 2" xfId="25552"/>
    <cellStyle name="40% - Accent2 2 4 10 3 2 2" xfId="54413"/>
    <cellStyle name="40% - Accent2 2 4 10 3 3" xfId="37366"/>
    <cellStyle name="40% - Accent2 2 4 10 4" xfId="13972"/>
    <cellStyle name="40% - Accent2 2 4 10 4 2" xfId="19780"/>
    <cellStyle name="40% - Accent2 2 4 10 4 2 2" xfId="48641"/>
    <cellStyle name="40% - Accent2 2 4 10 4 3" xfId="42833"/>
    <cellStyle name="40% - Accent2 2 4 10 5" xfId="17100"/>
    <cellStyle name="40% - Accent2 2 4 10 5 2" xfId="45961"/>
    <cellStyle name="40% - Accent2 2 4 10 6" xfId="31325"/>
    <cellStyle name="40% - Accent2 2 4 11" xfId="2672"/>
    <cellStyle name="40% - Accent2 2 4 11 2" xfId="5558"/>
    <cellStyle name="40% - Accent2 2 4 11 2 2" xfId="11599"/>
    <cellStyle name="40% - Accent2 2 4 11 2 2 2" xfId="28646"/>
    <cellStyle name="40% - Accent2 2 4 11 2 2 2 2" xfId="57507"/>
    <cellStyle name="40% - Accent2 2 4 11 2 2 3" xfId="40460"/>
    <cellStyle name="40% - Accent2 2 4 11 2 3" xfId="22668"/>
    <cellStyle name="40% - Accent2 2 4 11 2 3 2" xfId="51529"/>
    <cellStyle name="40% - Accent2 2 4 11 2 4" xfId="34419"/>
    <cellStyle name="40% - Accent2 2 4 11 3" xfId="8713"/>
    <cellStyle name="40% - Accent2 2 4 11 3 2" xfId="25760"/>
    <cellStyle name="40% - Accent2 2 4 11 3 2 2" xfId="54621"/>
    <cellStyle name="40% - Accent2 2 4 11 3 3" xfId="37574"/>
    <cellStyle name="40% - Accent2 2 4 11 4" xfId="12185"/>
    <cellStyle name="40% - Accent2 2 4 11 4 2" xfId="19988"/>
    <cellStyle name="40% - Accent2 2 4 11 4 2 2" xfId="48849"/>
    <cellStyle name="40% - Accent2 2 4 11 4 3" xfId="41046"/>
    <cellStyle name="40% - Accent2 2 4 11 5" xfId="17308"/>
    <cellStyle name="40% - Accent2 2 4 11 5 2" xfId="46169"/>
    <cellStyle name="40% - Accent2 2 4 11 6" xfId="31533"/>
    <cellStyle name="40% - Accent2 2 4 12" xfId="3187"/>
    <cellStyle name="40% - Accent2 2 4 12 2" xfId="9228"/>
    <cellStyle name="40% - Accent2 2 4 12 2 2" xfId="26275"/>
    <cellStyle name="40% - Accent2 2 4 12 2 2 2" xfId="55136"/>
    <cellStyle name="40% - Accent2 2 4 12 2 3" xfId="38089"/>
    <cellStyle name="40% - Accent2 2 4 12 3" xfId="13992"/>
    <cellStyle name="40% - Accent2 2 4 12 3 2" xfId="20297"/>
    <cellStyle name="40% - Accent2 2 4 12 3 2 2" xfId="49158"/>
    <cellStyle name="40% - Accent2 2 4 12 3 3" xfId="42853"/>
    <cellStyle name="40% - Accent2 2 4 12 4" xfId="14937"/>
    <cellStyle name="40% - Accent2 2 4 12 4 2" xfId="43798"/>
    <cellStyle name="40% - Accent2 2 4 12 5" xfId="32048"/>
    <cellStyle name="40% - Accent2 2 4 13" xfId="2878"/>
    <cellStyle name="40% - Accent2 2 4 13 2" xfId="8919"/>
    <cellStyle name="40% - Accent2 2 4 13 2 2" xfId="25966"/>
    <cellStyle name="40% - Accent2 2 4 13 2 2 2" xfId="54827"/>
    <cellStyle name="40% - Accent2 2 4 13 2 3" xfId="37780"/>
    <cellStyle name="40% - Accent2 2 4 13 3" xfId="17514"/>
    <cellStyle name="40% - Accent2 2 4 13 3 2" xfId="46375"/>
    <cellStyle name="40% - Accent2 2 4 13 4" xfId="31739"/>
    <cellStyle name="40% - Accent2 2 4 14" xfId="5764"/>
    <cellStyle name="40% - Accent2 2 4 14 2" xfId="11805"/>
    <cellStyle name="40% - Accent2 2 4 14 2 2" xfId="28852"/>
    <cellStyle name="40% - Accent2 2 4 14 2 2 2" xfId="57713"/>
    <cellStyle name="40% - Accent2 2 4 14 2 3" xfId="40666"/>
    <cellStyle name="40% - Accent2 2 4 14 3" xfId="22874"/>
    <cellStyle name="40% - Accent2 2 4 14 3 2" xfId="51735"/>
    <cellStyle name="40% - Accent2 2 4 14 4" xfId="34625"/>
    <cellStyle name="40% - Accent2 2 4 15" xfId="5981"/>
    <cellStyle name="40% - Accent2 2 4 15 2" xfId="23080"/>
    <cellStyle name="40% - Accent2 2 4 15 2 2" xfId="51941"/>
    <cellStyle name="40% - Accent2 2 4 15 3" xfId="34842"/>
    <cellStyle name="40% - Accent2 2 4 16" xfId="6342"/>
    <cellStyle name="40% - Accent2 2 4 16 2" xfId="23389"/>
    <cellStyle name="40% - Accent2 2 4 16 2 2" xfId="52250"/>
    <cellStyle name="40% - Accent2 2 4 16 3" xfId="35203"/>
    <cellStyle name="40% - Accent2 2 4 17" xfId="14628"/>
    <cellStyle name="40% - Accent2 2 4 17 2" xfId="43489"/>
    <cellStyle name="40% - Accent2 2 4 18" xfId="29162"/>
    <cellStyle name="40% - Accent2 2 4 2" xfId="506"/>
    <cellStyle name="40% - Accent2 2 4 2 2" xfId="2257"/>
    <cellStyle name="40% - Accent2 2 4 2 2 2" xfId="5144"/>
    <cellStyle name="40% - Accent2 2 4 2 2 2 2" xfId="11185"/>
    <cellStyle name="40% - Accent2 2 4 2 2 2 2 2" xfId="28232"/>
    <cellStyle name="40% - Accent2 2 4 2 2 2 2 2 2" xfId="57093"/>
    <cellStyle name="40% - Accent2 2 4 2 2 2 2 3" xfId="40046"/>
    <cellStyle name="40% - Accent2 2 4 2 2 2 3" xfId="22254"/>
    <cellStyle name="40% - Accent2 2 4 2 2 2 3 2" xfId="51115"/>
    <cellStyle name="40% - Accent2 2 4 2 2 2 4" xfId="34005"/>
    <cellStyle name="40% - Accent2 2 4 2 2 3" xfId="8299"/>
    <cellStyle name="40% - Accent2 2 4 2 2 3 2" xfId="25346"/>
    <cellStyle name="40% - Accent2 2 4 2 2 3 2 2" xfId="54207"/>
    <cellStyle name="40% - Accent2 2 4 2 2 3 3" xfId="37160"/>
    <cellStyle name="40% - Accent2 2 4 2 2 4" xfId="14429"/>
    <cellStyle name="40% - Accent2 2 4 2 2 4 2" xfId="19574"/>
    <cellStyle name="40% - Accent2 2 4 2 2 4 2 2" xfId="48435"/>
    <cellStyle name="40% - Accent2 2 4 2 2 4 3" xfId="43290"/>
    <cellStyle name="40% - Accent2 2 4 2 2 5" xfId="16894"/>
    <cellStyle name="40% - Accent2 2 4 2 2 5 2" xfId="45755"/>
    <cellStyle name="40% - Accent2 2 4 2 2 6" xfId="31119"/>
    <cellStyle name="40% - Accent2 2 4 2 3" xfId="3393"/>
    <cellStyle name="40% - Accent2 2 4 2 3 2" xfId="9434"/>
    <cellStyle name="40% - Accent2 2 4 2 3 2 2" xfId="26481"/>
    <cellStyle name="40% - Accent2 2 4 2 3 2 2 2" xfId="55342"/>
    <cellStyle name="40% - Accent2 2 4 2 3 2 3" xfId="38295"/>
    <cellStyle name="40% - Accent2 2 4 2 3 3" xfId="20503"/>
    <cellStyle name="40% - Accent2 2 4 2 3 3 2" xfId="49364"/>
    <cellStyle name="40% - Accent2 2 4 2 3 4" xfId="32254"/>
    <cellStyle name="40% - Accent2 2 4 2 4" xfId="6548"/>
    <cellStyle name="40% - Accent2 2 4 2 4 2" xfId="23595"/>
    <cellStyle name="40% - Accent2 2 4 2 4 2 2" xfId="52456"/>
    <cellStyle name="40% - Accent2 2 4 2 4 3" xfId="35409"/>
    <cellStyle name="40% - Accent2 2 4 2 5" xfId="12667"/>
    <cellStyle name="40% - Accent2 2 4 2 5 2" xfId="17823"/>
    <cellStyle name="40% - Accent2 2 4 2 5 2 2" xfId="46684"/>
    <cellStyle name="40% - Accent2 2 4 2 5 3" xfId="41528"/>
    <cellStyle name="40% - Accent2 2 4 2 6" xfId="15143"/>
    <cellStyle name="40% - Accent2 2 4 2 6 2" xfId="44004"/>
    <cellStyle name="40% - Accent2 2 4 2 7" xfId="29368"/>
    <cellStyle name="40% - Accent2 2 4 3" xfId="815"/>
    <cellStyle name="40% - Accent2 2 4 3 2" xfId="3702"/>
    <cellStyle name="40% - Accent2 2 4 3 2 2" xfId="9743"/>
    <cellStyle name="40% - Accent2 2 4 3 2 2 2" xfId="26790"/>
    <cellStyle name="40% - Accent2 2 4 3 2 2 2 2" xfId="55651"/>
    <cellStyle name="40% - Accent2 2 4 3 2 2 3" xfId="38604"/>
    <cellStyle name="40% - Accent2 2 4 3 2 3" xfId="20812"/>
    <cellStyle name="40% - Accent2 2 4 3 2 3 2" xfId="49673"/>
    <cellStyle name="40% - Accent2 2 4 3 2 4" xfId="32563"/>
    <cellStyle name="40% - Accent2 2 4 3 3" xfId="6857"/>
    <cellStyle name="40% - Accent2 2 4 3 3 2" xfId="23904"/>
    <cellStyle name="40% - Accent2 2 4 3 3 2 2" xfId="52765"/>
    <cellStyle name="40% - Accent2 2 4 3 3 3" xfId="35718"/>
    <cellStyle name="40% - Accent2 2 4 3 4" xfId="14428"/>
    <cellStyle name="40% - Accent2 2 4 3 4 2" xfId="18132"/>
    <cellStyle name="40% - Accent2 2 4 3 4 2 2" xfId="46993"/>
    <cellStyle name="40% - Accent2 2 4 3 4 3" xfId="43289"/>
    <cellStyle name="40% - Accent2 2 4 3 5" xfId="15452"/>
    <cellStyle name="40% - Accent2 2 4 3 5 2" xfId="44313"/>
    <cellStyle name="40% - Accent2 2 4 3 6" xfId="29677"/>
    <cellStyle name="40% - Accent2 2 4 4" xfId="1021"/>
    <cellStyle name="40% - Accent2 2 4 4 2" xfId="3908"/>
    <cellStyle name="40% - Accent2 2 4 4 2 2" xfId="9949"/>
    <cellStyle name="40% - Accent2 2 4 4 2 2 2" xfId="26996"/>
    <cellStyle name="40% - Accent2 2 4 4 2 2 2 2" xfId="55857"/>
    <cellStyle name="40% - Accent2 2 4 4 2 2 3" xfId="38810"/>
    <cellStyle name="40% - Accent2 2 4 4 2 3" xfId="21018"/>
    <cellStyle name="40% - Accent2 2 4 4 2 3 2" xfId="49879"/>
    <cellStyle name="40% - Accent2 2 4 4 2 4" xfId="32769"/>
    <cellStyle name="40% - Accent2 2 4 4 3" xfId="7063"/>
    <cellStyle name="40% - Accent2 2 4 4 3 2" xfId="24110"/>
    <cellStyle name="40% - Accent2 2 4 4 3 2 2" xfId="52971"/>
    <cellStyle name="40% - Accent2 2 4 4 3 3" xfId="35924"/>
    <cellStyle name="40% - Accent2 2 4 4 4" xfId="13098"/>
    <cellStyle name="40% - Accent2 2 4 4 4 2" xfId="18338"/>
    <cellStyle name="40% - Accent2 2 4 4 4 2 2" xfId="47199"/>
    <cellStyle name="40% - Accent2 2 4 4 4 3" xfId="41959"/>
    <cellStyle name="40% - Accent2 2 4 4 5" xfId="15658"/>
    <cellStyle name="40% - Accent2 2 4 4 5 2" xfId="44519"/>
    <cellStyle name="40% - Accent2 2 4 4 6" xfId="29883"/>
    <cellStyle name="40% - Accent2 2 4 5" xfId="1227"/>
    <cellStyle name="40% - Accent2 2 4 5 2" xfId="4114"/>
    <cellStyle name="40% - Accent2 2 4 5 2 2" xfId="10155"/>
    <cellStyle name="40% - Accent2 2 4 5 2 2 2" xfId="27202"/>
    <cellStyle name="40% - Accent2 2 4 5 2 2 2 2" xfId="56063"/>
    <cellStyle name="40% - Accent2 2 4 5 2 2 3" xfId="39016"/>
    <cellStyle name="40% - Accent2 2 4 5 2 3" xfId="21224"/>
    <cellStyle name="40% - Accent2 2 4 5 2 3 2" xfId="50085"/>
    <cellStyle name="40% - Accent2 2 4 5 2 4" xfId="32975"/>
    <cellStyle name="40% - Accent2 2 4 5 3" xfId="7269"/>
    <cellStyle name="40% - Accent2 2 4 5 3 2" xfId="24316"/>
    <cellStyle name="40% - Accent2 2 4 5 3 2 2" xfId="53177"/>
    <cellStyle name="40% - Accent2 2 4 5 3 3" xfId="36130"/>
    <cellStyle name="40% - Accent2 2 4 5 4" xfId="13721"/>
    <cellStyle name="40% - Accent2 2 4 5 4 2" xfId="18544"/>
    <cellStyle name="40% - Accent2 2 4 5 4 2 2" xfId="47405"/>
    <cellStyle name="40% - Accent2 2 4 5 4 3" xfId="42582"/>
    <cellStyle name="40% - Accent2 2 4 5 5" xfId="15864"/>
    <cellStyle name="40% - Accent2 2 4 5 5 2" xfId="44725"/>
    <cellStyle name="40% - Accent2 2 4 5 6" xfId="30089"/>
    <cellStyle name="40% - Accent2 2 4 6" xfId="1433"/>
    <cellStyle name="40% - Accent2 2 4 6 2" xfId="4320"/>
    <cellStyle name="40% - Accent2 2 4 6 2 2" xfId="10361"/>
    <cellStyle name="40% - Accent2 2 4 6 2 2 2" xfId="27408"/>
    <cellStyle name="40% - Accent2 2 4 6 2 2 2 2" xfId="56269"/>
    <cellStyle name="40% - Accent2 2 4 6 2 2 3" xfId="39222"/>
    <cellStyle name="40% - Accent2 2 4 6 2 3" xfId="21430"/>
    <cellStyle name="40% - Accent2 2 4 6 2 3 2" xfId="50291"/>
    <cellStyle name="40% - Accent2 2 4 6 2 4" xfId="33181"/>
    <cellStyle name="40% - Accent2 2 4 6 3" xfId="7475"/>
    <cellStyle name="40% - Accent2 2 4 6 3 2" xfId="24522"/>
    <cellStyle name="40% - Accent2 2 4 6 3 2 2" xfId="53383"/>
    <cellStyle name="40% - Accent2 2 4 6 3 3" xfId="36336"/>
    <cellStyle name="40% - Accent2 2 4 6 4" xfId="13724"/>
    <cellStyle name="40% - Accent2 2 4 6 4 2" xfId="18750"/>
    <cellStyle name="40% - Accent2 2 4 6 4 2 2" xfId="47611"/>
    <cellStyle name="40% - Accent2 2 4 6 4 3" xfId="42585"/>
    <cellStyle name="40% - Accent2 2 4 6 5" xfId="16070"/>
    <cellStyle name="40% - Accent2 2 4 6 5 2" xfId="44931"/>
    <cellStyle name="40% - Accent2 2 4 6 6" xfId="30295"/>
    <cellStyle name="40% - Accent2 2 4 7" xfId="1639"/>
    <cellStyle name="40% - Accent2 2 4 7 2" xfId="4526"/>
    <cellStyle name="40% - Accent2 2 4 7 2 2" xfId="10567"/>
    <cellStyle name="40% - Accent2 2 4 7 2 2 2" xfId="27614"/>
    <cellStyle name="40% - Accent2 2 4 7 2 2 2 2" xfId="56475"/>
    <cellStyle name="40% - Accent2 2 4 7 2 2 3" xfId="39428"/>
    <cellStyle name="40% - Accent2 2 4 7 2 3" xfId="21636"/>
    <cellStyle name="40% - Accent2 2 4 7 2 3 2" xfId="50497"/>
    <cellStyle name="40% - Accent2 2 4 7 2 4" xfId="33387"/>
    <cellStyle name="40% - Accent2 2 4 7 3" xfId="7681"/>
    <cellStyle name="40% - Accent2 2 4 7 3 2" xfId="24728"/>
    <cellStyle name="40% - Accent2 2 4 7 3 2 2" xfId="53589"/>
    <cellStyle name="40% - Accent2 2 4 7 3 3" xfId="36542"/>
    <cellStyle name="40% - Accent2 2 4 7 4" xfId="12129"/>
    <cellStyle name="40% - Accent2 2 4 7 4 2" xfId="18956"/>
    <cellStyle name="40% - Accent2 2 4 7 4 2 2" xfId="47817"/>
    <cellStyle name="40% - Accent2 2 4 7 4 3" xfId="40990"/>
    <cellStyle name="40% - Accent2 2 4 7 5" xfId="16276"/>
    <cellStyle name="40% - Accent2 2 4 7 5 2" xfId="45137"/>
    <cellStyle name="40% - Accent2 2 4 7 6" xfId="30501"/>
    <cellStyle name="40% - Accent2 2 4 8" xfId="1845"/>
    <cellStyle name="40% - Accent2 2 4 8 2" xfId="4732"/>
    <cellStyle name="40% - Accent2 2 4 8 2 2" xfId="10773"/>
    <cellStyle name="40% - Accent2 2 4 8 2 2 2" xfId="27820"/>
    <cellStyle name="40% - Accent2 2 4 8 2 2 2 2" xfId="56681"/>
    <cellStyle name="40% - Accent2 2 4 8 2 2 3" xfId="39634"/>
    <cellStyle name="40% - Accent2 2 4 8 2 3" xfId="21842"/>
    <cellStyle name="40% - Accent2 2 4 8 2 3 2" xfId="50703"/>
    <cellStyle name="40% - Accent2 2 4 8 2 4" xfId="33593"/>
    <cellStyle name="40% - Accent2 2 4 8 3" xfId="7887"/>
    <cellStyle name="40% - Accent2 2 4 8 3 2" xfId="24934"/>
    <cellStyle name="40% - Accent2 2 4 8 3 2 2" xfId="53795"/>
    <cellStyle name="40% - Accent2 2 4 8 3 3" xfId="36748"/>
    <cellStyle name="40% - Accent2 2 4 8 4" xfId="12082"/>
    <cellStyle name="40% - Accent2 2 4 8 4 2" xfId="19162"/>
    <cellStyle name="40% - Accent2 2 4 8 4 2 2" xfId="48023"/>
    <cellStyle name="40% - Accent2 2 4 8 4 3" xfId="40943"/>
    <cellStyle name="40% - Accent2 2 4 8 5" xfId="16482"/>
    <cellStyle name="40% - Accent2 2 4 8 5 2" xfId="45343"/>
    <cellStyle name="40% - Accent2 2 4 8 6" xfId="30707"/>
    <cellStyle name="40% - Accent2 2 4 9" xfId="2051"/>
    <cellStyle name="40% - Accent2 2 4 9 2" xfId="4938"/>
    <cellStyle name="40% - Accent2 2 4 9 2 2" xfId="10979"/>
    <cellStyle name="40% - Accent2 2 4 9 2 2 2" xfId="28026"/>
    <cellStyle name="40% - Accent2 2 4 9 2 2 2 2" xfId="56887"/>
    <cellStyle name="40% - Accent2 2 4 9 2 2 3" xfId="39840"/>
    <cellStyle name="40% - Accent2 2 4 9 2 3" xfId="22048"/>
    <cellStyle name="40% - Accent2 2 4 9 2 3 2" xfId="50909"/>
    <cellStyle name="40% - Accent2 2 4 9 2 4" xfId="33799"/>
    <cellStyle name="40% - Accent2 2 4 9 3" xfId="8093"/>
    <cellStyle name="40% - Accent2 2 4 9 3 2" xfId="25140"/>
    <cellStyle name="40% - Accent2 2 4 9 3 2 2" xfId="54001"/>
    <cellStyle name="40% - Accent2 2 4 9 3 3" xfId="36954"/>
    <cellStyle name="40% - Accent2 2 4 9 4" xfId="12485"/>
    <cellStyle name="40% - Accent2 2 4 9 4 2" xfId="19368"/>
    <cellStyle name="40% - Accent2 2 4 9 4 2 2" xfId="48229"/>
    <cellStyle name="40% - Accent2 2 4 9 4 3" xfId="41346"/>
    <cellStyle name="40% - Accent2 2 4 9 5" xfId="16688"/>
    <cellStyle name="40% - Accent2 2 4 9 5 2" xfId="45549"/>
    <cellStyle name="40% - Accent2 2 4 9 6" xfId="30913"/>
    <cellStyle name="40% - Accent2 2 5" xfId="197"/>
    <cellStyle name="40% - Accent2 2 5 2" xfId="609"/>
    <cellStyle name="40% - Accent2 2 5 2 2" xfId="3496"/>
    <cellStyle name="40% - Accent2 2 5 2 2 2" xfId="9537"/>
    <cellStyle name="40% - Accent2 2 5 2 2 2 2" xfId="26584"/>
    <cellStyle name="40% - Accent2 2 5 2 2 2 2 2" xfId="55445"/>
    <cellStyle name="40% - Accent2 2 5 2 2 2 3" xfId="38398"/>
    <cellStyle name="40% - Accent2 2 5 2 2 3" xfId="20606"/>
    <cellStyle name="40% - Accent2 2 5 2 2 3 2" xfId="49467"/>
    <cellStyle name="40% - Accent2 2 5 2 2 4" xfId="32357"/>
    <cellStyle name="40% - Accent2 2 5 2 3" xfId="6651"/>
    <cellStyle name="40% - Accent2 2 5 2 3 2" xfId="23698"/>
    <cellStyle name="40% - Accent2 2 5 2 3 2 2" xfId="52559"/>
    <cellStyle name="40% - Accent2 2 5 2 3 3" xfId="35512"/>
    <cellStyle name="40% - Accent2 2 5 2 4" xfId="12340"/>
    <cellStyle name="40% - Accent2 2 5 2 4 2" xfId="17926"/>
    <cellStyle name="40% - Accent2 2 5 2 4 2 2" xfId="46787"/>
    <cellStyle name="40% - Accent2 2 5 2 4 3" xfId="41201"/>
    <cellStyle name="40% - Accent2 2 5 2 5" xfId="15246"/>
    <cellStyle name="40% - Accent2 2 5 2 5 2" xfId="44107"/>
    <cellStyle name="40% - Accent2 2 5 2 6" xfId="29471"/>
    <cellStyle name="40% - Accent2 2 5 3" xfId="2154"/>
    <cellStyle name="40% - Accent2 2 5 3 2" xfId="5041"/>
    <cellStyle name="40% - Accent2 2 5 3 2 2" xfId="11082"/>
    <cellStyle name="40% - Accent2 2 5 3 2 2 2" xfId="28129"/>
    <cellStyle name="40% - Accent2 2 5 3 2 2 2 2" xfId="56990"/>
    <cellStyle name="40% - Accent2 2 5 3 2 2 3" xfId="39943"/>
    <cellStyle name="40% - Accent2 2 5 3 2 3" xfId="22151"/>
    <cellStyle name="40% - Accent2 2 5 3 2 3 2" xfId="51012"/>
    <cellStyle name="40% - Accent2 2 5 3 2 4" xfId="33902"/>
    <cellStyle name="40% - Accent2 2 5 3 3" xfId="8196"/>
    <cellStyle name="40% - Accent2 2 5 3 3 2" xfId="25243"/>
    <cellStyle name="40% - Accent2 2 5 3 3 2 2" xfId="54104"/>
    <cellStyle name="40% - Accent2 2 5 3 3 3" xfId="37057"/>
    <cellStyle name="40% - Accent2 2 5 3 4" xfId="14024"/>
    <cellStyle name="40% - Accent2 2 5 3 4 2" xfId="19471"/>
    <cellStyle name="40% - Accent2 2 5 3 4 2 2" xfId="48332"/>
    <cellStyle name="40% - Accent2 2 5 3 4 3" xfId="42885"/>
    <cellStyle name="40% - Accent2 2 5 3 5" xfId="16791"/>
    <cellStyle name="40% - Accent2 2 5 3 5 2" xfId="45652"/>
    <cellStyle name="40% - Accent2 2 5 3 6" xfId="31016"/>
    <cellStyle name="40% - Accent2 2 5 4" xfId="3084"/>
    <cellStyle name="40% - Accent2 2 5 4 2" xfId="9125"/>
    <cellStyle name="40% - Accent2 2 5 4 2 2" xfId="26172"/>
    <cellStyle name="40% - Accent2 2 5 4 2 2 2" xfId="55033"/>
    <cellStyle name="40% - Accent2 2 5 4 2 3" xfId="37986"/>
    <cellStyle name="40% - Accent2 2 5 4 3" xfId="20194"/>
    <cellStyle name="40% - Accent2 2 5 4 3 2" xfId="49055"/>
    <cellStyle name="40% - Accent2 2 5 4 4" xfId="31945"/>
    <cellStyle name="40% - Accent2 2 5 5" xfId="6239"/>
    <cellStyle name="40% - Accent2 2 5 5 2" xfId="23286"/>
    <cellStyle name="40% - Accent2 2 5 5 2 2" xfId="52147"/>
    <cellStyle name="40% - Accent2 2 5 5 3" xfId="35100"/>
    <cellStyle name="40% - Accent2 2 5 6" xfId="12397"/>
    <cellStyle name="40% - Accent2 2 5 6 2" xfId="17617"/>
    <cellStyle name="40% - Accent2 2 5 6 2 2" xfId="46478"/>
    <cellStyle name="40% - Accent2 2 5 6 3" xfId="41258"/>
    <cellStyle name="40% - Accent2 2 5 7" xfId="14834"/>
    <cellStyle name="40% - Accent2 2 5 7 2" xfId="43695"/>
    <cellStyle name="40% - Accent2 2 5 8" xfId="29059"/>
    <cellStyle name="40% - Accent2 2 6" xfId="403"/>
    <cellStyle name="40% - Accent2 2 6 2" xfId="3290"/>
    <cellStyle name="40% - Accent2 2 6 2 2" xfId="9331"/>
    <cellStyle name="40% - Accent2 2 6 2 2 2" xfId="26378"/>
    <cellStyle name="40% - Accent2 2 6 2 2 2 2" xfId="55239"/>
    <cellStyle name="40% - Accent2 2 6 2 2 3" xfId="38192"/>
    <cellStyle name="40% - Accent2 2 6 2 3" xfId="20400"/>
    <cellStyle name="40% - Accent2 2 6 2 3 2" xfId="49261"/>
    <cellStyle name="40% - Accent2 2 6 2 4" xfId="32151"/>
    <cellStyle name="40% - Accent2 2 6 3" xfId="6445"/>
    <cellStyle name="40% - Accent2 2 6 3 2" xfId="23492"/>
    <cellStyle name="40% - Accent2 2 6 3 2 2" xfId="52353"/>
    <cellStyle name="40% - Accent2 2 6 3 3" xfId="35306"/>
    <cellStyle name="40% - Accent2 2 6 4" xfId="14354"/>
    <cellStyle name="40% - Accent2 2 6 4 2" xfId="17720"/>
    <cellStyle name="40% - Accent2 2 6 4 2 2" xfId="46581"/>
    <cellStyle name="40% - Accent2 2 6 4 3" xfId="43215"/>
    <cellStyle name="40% - Accent2 2 6 5" xfId="15040"/>
    <cellStyle name="40% - Accent2 2 6 5 2" xfId="43901"/>
    <cellStyle name="40% - Accent2 2 6 6" xfId="29265"/>
    <cellStyle name="40% - Accent2 2 7" xfId="712"/>
    <cellStyle name="40% - Accent2 2 7 2" xfId="3599"/>
    <cellStyle name="40% - Accent2 2 7 2 2" xfId="9640"/>
    <cellStyle name="40% - Accent2 2 7 2 2 2" xfId="26687"/>
    <cellStyle name="40% - Accent2 2 7 2 2 2 2" xfId="55548"/>
    <cellStyle name="40% - Accent2 2 7 2 2 3" xfId="38501"/>
    <cellStyle name="40% - Accent2 2 7 2 3" xfId="20709"/>
    <cellStyle name="40% - Accent2 2 7 2 3 2" xfId="49570"/>
    <cellStyle name="40% - Accent2 2 7 2 4" xfId="32460"/>
    <cellStyle name="40% - Accent2 2 7 3" xfId="6754"/>
    <cellStyle name="40% - Accent2 2 7 3 2" xfId="23801"/>
    <cellStyle name="40% - Accent2 2 7 3 2 2" xfId="52662"/>
    <cellStyle name="40% - Accent2 2 7 3 3" xfId="35615"/>
    <cellStyle name="40% - Accent2 2 7 4" xfId="13279"/>
    <cellStyle name="40% - Accent2 2 7 4 2" xfId="18029"/>
    <cellStyle name="40% - Accent2 2 7 4 2 2" xfId="46890"/>
    <cellStyle name="40% - Accent2 2 7 4 3" xfId="42140"/>
    <cellStyle name="40% - Accent2 2 7 5" xfId="15349"/>
    <cellStyle name="40% - Accent2 2 7 5 2" xfId="44210"/>
    <cellStyle name="40% - Accent2 2 7 6" xfId="29574"/>
    <cellStyle name="40% - Accent2 2 8" xfId="918"/>
    <cellStyle name="40% - Accent2 2 8 2" xfId="3805"/>
    <cellStyle name="40% - Accent2 2 8 2 2" xfId="9846"/>
    <cellStyle name="40% - Accent2 2 8 2 2 2" xfId="26893"/>
    <cellStyle name="40% - Accent2 2 8 2 2 2 2" xfId="55754"/>
    <cellStyle name="40% - Accent2 2 8 2 2 3" xfId="38707"/>
    <cellStyle name="40% - Accent2 2 8 2 3" xfId="20915"/>
    <cellStyle name="40% - Accent2 2 8 2 3 2" xfId="49776"/>
    <cellStyle name="40% - Accent2 2 8 2 4" xfId="32666"/>
    <cellStyle name="40% - Accent2 2 8 3" xfId="6960"/>
    <cellStyle name="40% - Accent2 2 8 3 2" xfId="24007"/>
    <cellStyle name="40% - Accent2 2 8 3 2 2" xfId="52868"/>
    <cellStyle name="40% - Accent2 2 8 3 3" xfId="35821"/>
    <cellStyle name="40% - Accent2 2 8 4" xfId="13447"/>
    <cellStyle name="40% - Accent2 2 8 4 2" xfId="18235"/>
    <cellStyle name="40% - Accent2 2 8 4 2 2" xfId="47096"/>
    <cellStyle name="40% - Accent2 2 8 4 3" xfId="42308"/>
    <cellStyle name="40% - Accent2 2 8 5" xfId="15555"/>
    <cellStyle name="40% - Accent2 2 8 5 2" xfId="44416"/>
    <cellStyle name="40% - Accent2 2 8 6" xfId="29780"/>
    <cellStyle name="40% - Accent2 2 9" xfId="1124"/>
    <cellStyle name="40% - Accent2 2 9 2" xfId="4011"/>
    <cellStyle name="40% - Accent2 2 9 2 2" xfId="10052"/>
    <cellStyle name="40% - Accent2 2 9 2 2 2" xfId="27099"/>
    <cellStyle name="40% - Accent2 2 9 2 2 2 2" xfId="55960"/>
    <cellStyle name="40% - Accent2 2 9 2 2 3" xfId="38913"/>
    <cellStyle name="40% - Accent2 2 9 2 3" xfId="21121"/>
    <cellStyle name="40% - Accent2 2 9 2 3 2" xfId="49982"/>
    <cellStyle name="40% - Accent2 2 9 2 4" xfId="32872"/>
    <cellStyle name="40% - Accent2 2 9 3" xfId="7166"/>
    <cellStyle name="40% - Accent2 2 9 3 2" xfId="24213"/>
    <cellStyle name="40% - Accent2 2 9 3 2 2" xfId="53074"/>
    <cellStyle name="40% - Accent2 2 9 3 3" xfId="36027"/>
    <cellStyle name="40% - Accent2 2 9 4" xfId="14156"/>
    <cellStyle name="40% - Accent2 2 9 4 2" xfId="18441"/>
    <cellStyle name="40% - Accent2 2 9 4 2 2" xfId="47302"/>
    <cellStyle name="40% - Accent2 2 9 4 3" xfId="43017"/>
    <cellStyle name="40% - Accent2 2 9 5" xfId="15761"/>
    <cellStyle name="40% - Accent2 2 9 5 2" xfId="44622"/>
    <cellStyle name="40% - Accent2 2 9 6" xfId="29986"/>
    <cellStyle name="40% - Accent2 20" xfId="5863"/>
    <cellStyle name="40% - Accent2 20 2" xfId="22963"/>
    <cellStyle name="40% - Accent2 20 2 2" xfId="51824"/>
    <cellStyle name="40% - Accent2 20 3" xfId="34724"/>
    <cellStyle name="40% - Accent2 21" xfId="6122"/>
    <cellStyle name="40% - Accent2 21 2" xfId="23169"/>
    <cellStyle name="40% - Accent2 21 2 2" xfId="52030"/>
    <cellStyle name="40% - Accent2 21 3" xfId="34983"/>
    <cellStyle name="40% - Accent2 22" xfId="14511"/>
    <cellStyle name="40% - Accent2 22 2" xfId="43372"/>
    <cellStyle name="40% - Accent2 23" xfId="28942"/>
    <cellStyle name="40% - Accent2 3" xfId="107"/>
    <cellStyle name="40% - Accent2 3 10" xfId="1755"/>
    <cellStyle name="40% - Accent2 3 10 2" xfId="4642"/>
    <cellStyle name="40% - Accent2 3 10 2 2" xfId="10683"/>
    <cellStyle name="40% - Accent2 3 10 2 2 2" xfId="27730"/>
    <cellStyle name="40% - Accent2 3 10 2 2 2 2" xfId="56591"/>
    <cellStyle name="40% - Accent2 3 10 2 2 3" xfId="39544"/>
    <cellStyle name="40% - Accent2 3 10 2 3" xfId="21752"/>
    <cellStyle name="40% - Accent2 3 10 2 3 2" xfId="50613"/>
    <cellStyle name="40% - Accent2 3 10 2 4" xfId="33503"/>
    <cellStyle name="40% - Accent2 3 10 3" xfId="7797"/>
    <cellStyle name="40% - Accent2 3 10 3 2" xfId="24844"/>
    <cellStyle name="40% - Accent2 3 10 3 2 2" xfId="53705"/>
    <cellStyle name="40% - Accent2 3 10 3 3" xfId="36658"/>
    <cellStyle name="40% - Accent2 3 10 4" xfId="12694"/>
    <cellStyle name="40% - Accent2 3 10 4 2" xfId="19072"/>
    <cellStyle name="40% - Accent2 3 10 4 2 2" xfId="47933"/>
    <cellStyle name="40% - Accent2 3 10 4 3" xfId="41555"/>
    <cellStyle name="40% - Accent2 3 10 5" xfId="16392"/>
    <cellStyle name="40% - Accent2 3 10 5 2" xfId="45253"/>
    <cellStyle name="40% - Accent2 3 10 6" xfId="30617"/>
    <cellStyle name="40% - Accent2 3 11" xfId="1961"/>
    <cellStyle name="40% - Accent2 3 11 2" xfId="4848"/>
    <cellStyle name="40% - Accent2 3 11 2 2" xfId="10889"/>
    <cellStyle name="40% - Accent2 3 11 2 2 2" xfId="27936"/>
    <cellStyle name="40% - Accent2 3 11 2 2 2 2" xfId="56797"/>
    <cellStyle name="40% - Accent2 3 11 2 2 3" xfId="39750"/>
    <cellStyle name="40% - Accent2 3 11 2 3" xfId="21958"/>
    <cellStyle name="40% - Accent2 3 11 2 3 2" xfId="50819"/>
    <cellStyle name="40% - Accent2 3 11 2 4" xfId="33709"/>
    <cellStyle name="40% - Accent2 3 11 3" xfId="8003"/>
    <cellStyle name="40% - Accent2 3 11 3 2" xfId="25050"/>
    <cellStyle name="40% - Accent2 3 11 3 2 2" xfId="53911"/>
    <cellStyle name="40% - Accent2 3 11 3 3" xfId="36864"/>
    <cellStyle name="40% - Accent2 3 11 4" xfId="12269"/>
    <cellStyle name="40% - Accent2 3 11 4 2" xfId="19278"/>
    <cellStyle name="40% - Accent2 3 11 4 2 2" xfId="48139"/>
    <cellStyle name="40% - Accent2 3 11 4 3" xfId="41130"/>
    <cellStyle name="40% - Accent2 3 11 5" xfId="16598"/>
    <cellStyle name="40% - Accent2 3 11 5 2" xfId="45459"/>
    <cellStyle name="40% - Accent2 3 11 6" xfId="30823"/>
    <cellStyle name="40% - Accent2 3 12" xfId="2373"/>
    <cellStyle name="40% - Accent2 3 12 2" xfId="5260"/>
    <cellStyle name="40% - Accent2 3 12 2 2" xfId="11301"/>
    <cellStyle name="40% - Accent2 3 12 2 2 2" xfId="28348"/>
    <cellStyle name="40% - Accent2 3 12 2 2 2 2" xfId="57209"/>
    <cellStyle name="40% - Accent2 3 12 2 2 3" xfId="40162"/>
    <cellStyle name="40% - Accent2 3 12 2 3" xfId="22370"/>
    <cellStyle name="40% - Accent2 3 12 2 3 2" xfId="51231"/>
    <cellStyle name="40% - Accent2 3 12 2 4" xfId="34121"/>
    <cellStyle name="40% - Accent2 3 12 3" xfId="8415"/>
    <cellStyle name="40% - Accent2 3 12 3 2" xfId="25462"/>
    <cellStyle name="40% - Accent2 3 12 3 2 2" xfId="54323"/>
    <cellStyle name="40% - Accent2 3 12 3 3" xfId="37276"/>
    <cellStyle name="40% - Accent2 3 12 4" xfId="12945"/>
    <cellStyle name="40% - Accent2 3 12 4 2" xfId="19690"/>
    <cellStyle name="40% - Accent2 3 12 4 2 2" xfId="48551"/>
    <cellStyle name="40% - Accent2 3 12 4 3" xfId="41806"/>
    <cellStyle name="40% - Accent2 3 12 5" xfId="17010"/>
    <cellStyle name="40% - Accent2 3 12 5 2" xfId="45871"/>
    <cellStyle name="40% - Accent2 3 12 6" xfId="31235"/>
    <cellStyle name="40% - Accent2 3 13" xfId="2582"/>
    <cellStyle name="40% - Accent2 3 13 2" xfId="5468"/>
    <cellStyle name="40% - Accent2 3 13 2 2" xfId="11509"/>
    <cellStyle name="40% - Accent2 3 13 2 2 2" xfId="28556"/>
    <cellStyle name="40% - Accent2 3 13 2 2 2 2" xfId="57417"/>
    <cellStyle name="40% - Accent2 3 13 2 2 3" xfId="40370"/>
    <cellStyle name="40% - Accent2 3 13 2 3" xfId="22578"/>
    <cellStyle name="40% - Accent2 3 13 2 3 2" xfId="51439"/>
    <cellStyle name="40% - Accent2 3 13 2 4" xfId="34329"/>
    <cellStyle name="40% - Accent2 3 13 3" xfId="8623"/>
    <cellStyle name="40% - Accent2 3 13 3 2" xfId="25670"/>
    <cellStyle name="40% - Accent2 3 13 3 2 2" xfId="54531"/>
    <cellStyle name="40% - Accent2 3 13 3 3" xfId="37484"/>
    <cellStyle name="40% - Accent2 3 13 4" xfId="13448"/>
    <cellStyle name="40% - Accent2 3 13 4 2" xfId="19898"/>
    <cellStyle name="40% - Accent2 3 13 4 2 2" xfId="48759"/>
    <cellStyle name="40% - Accent2 3 13 4 3" xfId="42309"/>
    <cellStyle name="40% - Accent2 3 13 5" xfId="17218"/>
    <cellStyle name="40% - Accent2 3 13 5 2" xfId="46079"/>
    <cellStyle name="40% - Accent2 3 13 6" xfId="31443"/>
    <cellStyle name="40% - Accent2 3 14" xfId="2994"/>
    <cellStyle name="40% - Accent2 3 14 2" xfId="9035"/>
    <cellStyle name="40% - Accent2 3 14 2 2" xfId="26082"/>
    <cellStyle name="40% - Accent2 3 14 2 2 2" xfId="54943"/>
    <cellStyle name="40% - Accent2 3 14 2 3" xfId="37896"/>
    <cellStyle name="40% - Accent2 3 14 3" xfId="11982"/>
    <cellStyle name="40% - Accent2 3 14 3 2" xfId="20104"/>
    <cellStyle name="40% - Accent2 3 14 3 2 2" xfId="48965"/>
    <cellStyle name="40% - Accent2 3 14 3 3" xfId="40843"/>
    <cellStyle name="40% - Accent2 3 14 4" xfId="14744"/>
    <cellStyle name="40% - Accent2 3 14 4 2" xfId="43605"/>
    <cellStyle name="40% - Accent2 3 14 5" xfId="31855"/>
    <cellStyle name="40% - Accent2 3 15" xfId="2788"/>
    <cellStyle name="40% - Accent2 3 15 2" xfId="8829"/>
    <cellStyle name="40% - Accent2 3 15 2 2" xfId="25876"/>
    <cellStyle name="40% - Accent2 3 15 2 2 2" xfId="54737"/>
    <cellStyle name="40% - Accent2 3 15 2 3" xfId="37690"/>
    <cellStyle name="40% - Accent2 3 15 3" xfId="17424"/>
    <cellStyle name="40% - Accent2 3 15 3 2" xfId="46285"/>
    <cellStyle name="40% - Accent2 3 15 4" xfId="31649"/>
    <cellStyle name="40% - Accent2 3 16" xfId="5674"/>
    <cellStyle name="40% - Accent2 3 16 2" xfId="11715"/>
    <cellStyle name="40% - Accent2 3 16 2 2" xfId="28762"/>
    <cellStyle name="40% - Accent2 3 16 2 2 2" xfId="57623"/>
    <cellStyle name="40% - Accent2 3 16 2 3" xfId="40576"/>
    <cellStyle name="40% - Accent2 3 16 3" xfId="22784"/>
    <cellStyle name="40% - Accent2 3 16 3 2" xfId="51645"/>
    <cellStyle name="40% - Accent2 3 16 4" xfId="34535"/>
    <cellStyle name="40% - Accent2 3 17" xfId="5891"/>
    <cellStyle name="40% - Accent2 3 17 2" xfId="22990"/>
    <cellStyle name="40% - Accent2 3 17 2 2" xfId="51851"/>
    <cellStyle name="40% - Accent2 3 17 3" xfId="34752"/>
    <cellStyle name="40% - Accent2 3 18" xfId="6149"/>
    <cellStyle name="40% - Accent2 3 18 2" xfId="23196"/>
    <cellStyle name="40% - Accent2 3 18 2 2" xfId="52057"/>
    <cellStyle name="40% - Accent2 3 18 3" xfId="35010"/>
    <cellStyle name="40% - Accent2 3 19" xfId="14538"/>
    <cellStyle name="40% - Accent2 3 19 2" xfId="43399"/>
    <cellStyle name="40% - Accent2 3 2" xfId="313"/>
    <cellStyle name="40% - Accent2 3 2 10" xfId="2476"/>
    <cellStyle name="40% - Accent2 3 2 10 2" xfId="5363"/>
    <cellStyle name="40% - Accent2 3 2 10 2 2" xfId="11404"/>
    <cellStyle name="40% - Accent2 3 2 10 2 2 2" xfId="28451"/>
    <cellStyle name="40% - Accent2 3 2 10 2 2 2 2" xfId="57312"/>
    <cellStyle name="40% - Accent2 3 2 10 2 2 3" xfId="40265"/>
    <cellStyle name="40% - Accent2 3 2 10 2 3" xfId="22473"/>
    <cellStyle name="40% - Accent2 3 2 10 2 3 2" xfId="51334"/>
    <cellStyle name="40% - Accent2 3 2 10 2 4" xfId="34224"/>
    <cellStyle name="40% - Accent2 3 2 10 3" xfId="8518"/>
    <cellStyle name="40% - Accent2 3 2 10 3 2" xfId="25565"/>
    <cellStyle name="40% - Accent2 3 2 10 3 2 2" xfId="54426"/>
    <cellStyle name="40% - Accent2 3 2 10 3 3" xfId="37379"/>
    <cellStyle name="40% - Accent2 3 2 10 4" xfId="14344"/>
    <cellStyle name="40% - Accent2 3 2 10 4 2" xfId="19793"/>
    <cellStyle name="40% - Accent2 3 2 10 4 2 2" xfId="48654"/>
    <cellStyle name="40% - Accent2 3 2 10 4 3" xfId="43205"/>
    <cellStyle name="40% - Accent2 3 2 10 5" xfId="17113"/>
    <cellStyle name="40% - Accent2 3 2 10 5 2" xfId="45974"/>
    <cellStyle name="40% - Accent2 3 2 10 6" xfId="31338"/>
    <cellStyle name="40% - Accent2 3 2 11" xfId="2685"/>
    <cellStyle name="40% - Accent2 3 2 11 2" xfId="5571"/>
    <cellStyle name="40% - Accent2 3 2 11 2 2" xfId="11612"/>
    <cellStyle name="40% - Accent2 3 2 11 2 2 2" xfId="28659"/>
    <cellStyle name="40% - Accent2 3 2 11 2 2 2 2" xfId="57520"/>
    <cellStyle name="40% - Accent2 3 2 11 2 2 3" xfId="40473"/>
    <cellStyle name="40% - Accent2 3 2 11 2 3" xfId="22681"/>
    <cellStyle name="40% - Accent2 3 2 11 2 3 2" xfId="51542"/>
    <cellStyle name="40% - Accent2 3 2 11 2 4" xfId="34432"/>
    <cellStyle name="40% - Accent2 3 2 11 3" xfId="8726"/>
    <cellStyle name="40% - Accent2 3 2 11 3 2" xfId="25773"/>
    <cellStyle name="40% - Accent2 3 2 11 3 2 2" xfId="54634"/>
    <cellStyle name="40% - Accent2 3 2 11 3 3" xfId="37587"/>
    <cellStyle name="40% - Accent2 3 2 11 4" xfId="13168"/>
    <cellStyle name="40% - Accent2 3 2 11 4 2" xfId="20001"/>
    <cellStyle name="40% - Accent2 3 2 11 4 2 2" xfId="48862"/>
    <cellStyle name="40% - Accent2 3 2 11 4 3" xfId="42029"/>
    <cellStyle name="40% - Accent2 3 2 11 5" xfId="17321"/>
    <cellStyle name="40% - Accent2 3 2 11 5 2" xfId="46182"/>
    <cellStyle name="40% - Accent2 3 2 11 6" xfId="31546"/>
    <cellStyle name="40% - Accent2 3 2 12" xfId="3200"/>
    <cellStyle name="40% - Accent2 3 2 12 2" xfId="9241"/>
    <cellStyle name="40% - Accent2 3 2 12 2 2" xfId="26288"/>
    <cellStyle name="40% - Accent2 3 2 12 2 2 2" xfId="55149"/>
    <cellStyle name="40% - Accent2 3 2 12 2 3" xfId="38102"/>
    <cellStyle name="40% - Accent2 3 2 12 3" xfId="13671"/>
    <cellStyle name="40% - Accent2 3 2 12 3 2" xfId="20310"/>
    <cellStyle name="40% - Accent2 3 2 12 3 2 2" xfId="49171"/>
    <cellStyle name="40% - Accent2 3 2 12 3 3" xfId="42532"/>
    <cellStyle name="40% - Accent2 3 2 12 4" xfId="14950"/>
    <cellStyle name="40% - Accent2 3 2 12 4 2" xfId="43811"/>
    <cellStyle name="40% - Accent2 3 2 12 5" xfId="32061"/>
    <cellStyle name="40% - Accent2 3 2 13" xfId="2891"/>
    <cellStyle name="40% - Accent2 3 2 13 2" xfId="8932"/>
    <cellStyle name="40% - Accent2 3 2 13 2 2" xfId="25979"/>
    <cellStyle name="40% - Accent2 3 2 13 2 2 2" xfId="54840"/>
    <cellStyle name="40% - Accent2 3 2 13 2 3" xfId="37793"/>
    <cellStyle name="40% - Accent2 3 2 13 3" xfId="17527"/>
    <cellStyle name="40% - Accent2 3 2 13 3 2" xfId="46388"/>
    <cellStyle name="40% - Accent2 3 2 13 4" xfId="31752"/>
    <cellStyle name="40% - Accent2 3 2 14" xfId="5777"/>
    <cellStyle name="40% - Accent2 3 2 14 2" xfId="11818"/>
    <cellStyle name="40% - Accent2 3 2 14 2 2" xfId="28865"/>
    <cellStyle name="40% - Accent2 3 2 14 2 2 2" xfId="57726"/>
    <cellStyle name="40% - Accent2 3 2 14 2 3" xfId="40679"/>
    <cellStyle name="40% - Accent2 3 2 14 3" xfId="22887"/>
    <cellStyle name="40% - Accent2 3 2 14 3 2" xfId="51748"/>
    <cellStyle name="40% - Accent2 3 2 14 4" xfId="34638"/>
    <cellStyle name="40% - Accent2 3 2 15" xfId="5994"/>
    <cellStyle name="40% - Accent2 3 2 15 2" xfId="23093"/>
    <cellStyle name="40% - Accent2 3 2 15 2 2" xfId="51954"/>
    <cellStyle name="40% - Accent2 3 2 15 3" xfId="34855"/>
    <cellStyle name="40% - Accent2 3 2 16" xfId="6355"/>
    <cellStyle name="40% - Accent2 3 2 16 2" xfId="23402"/>
    <cellStyle name="40% - Accent2 3 2 16 2 2" xfId="52263"/>
    <cellStyle name="40% - Accent2 3 2 16 3" xfId="35216"/>
    <cellStyle name="40% - Accent2 3 2 17" xfId="14641"/>
    <cellStyle name="40% - Accent2 3 2 17 2" xfId="43502"/>
    <cellStyle name="40% - Accent2 3 2 18" xfId="29175"/>
    <cellStyle name="40% - Accent2 3 2 2" xfId="519"/>
    <cellStyle name="40% - Accent2 3 2 2 2" xfId="2270"/>
    <cellStyle name="40% - Accent2 3 2 2 2 2" xfId="5157"/>
    <cellStyle name="40% - Accent2 3 2 2 2 2 2" xfId="11198"/>
    <cellStyle name="40% - Accent2 3 2 2 2 2 2 2" xfId="28245"/>
    <cellStyle name="40% - Accent2 3 2 2 2 2 2 2 2" xfId="57106"/>
    <cellStyle name="40% - Accent2 3 2 2 2 2 2 3" xfId="40059"/>
    <cellStyle name="40% - Accent2 3 2 2 2 2 3" xfId="22267"/>
    <cellStyle name="40% - Accent2 3 2 2 2 2 3 2" xfId="51128"/>
    <cellStyle name="40% - Accent2 3 2 2 2 2 4" xfId="34018"/>
    <cellStyle name="40% - Accent2 3 2 2 2 3" xfId="8312"/>
    <cellStyle name="40% - Accent2 3 2 2 2 3 2" xfId="25359"/>
    <cellStyle name="40% - Accent2 3 2 2 2 3 2 2" xfId="54220"/>
    <cellStyle name="40% - Accent2 3 2 2 2 3 3" xfId="37173"/>
    <cellStyle name="40% - Accent2 3 2 2 2 4" xfId="12651"/>
    <cellStyle name="40% - Accent2 3 2 2 2 4 2" xfId="19587"/>
    <cellStyle name="40% - Accent2 3 2 2 2 4 2 2" xfId="48448"/>
    <cellStyle name="40% - Accent2 3 2 2 2 4 3" xfId="41512"/>
    <cellStyle name="40% - Accent2 3 2 2 2 5" xfId="16907"/>
    <cellStyle name="40% - Accent2 3 2 2 2 5 2" xfId="45768"/>
    <cellStyle name="40% - Accent2 3 2 2 2 6" xfId="31132"/>
    <cellStyle name="40% - Accent2 3 2 2 3" xfId="3406"/>
    <cellStyle name="40% - Accent2 3 2 2 3 2" xfId="9447"/>
    <cellStyle name="40% - Accent2 3 2 2 3 2 2" xfId="26494"/>
    <cellStyle name="40% - Accent2 3 2 2 3 2 2 2" xfId="55355"/>
    <cellStyle name="40% - Accent2 3 2 2 3 2 3" xfId="38308"/>
    <cellStyle name="40% - Accent2 3 2 2 3 3" xfId="20516"/>
    <cellStyle name="40% - Accent2 3 2 2 3 3 2" xfId="49377"/>
    <cellStyle name="40% - Accent2 3 2 2 3 4" xfId="32267"/>
    <cellStyle name="40% - Accent2 3 2 2 4" xfId="6561"/>
    <cellStyle name="40% - Accent2 3 2 2 4 2" xfId="23608"/>
    <cellStyle name="40% - Accent2 3 2 2 4 2 2" xfId="52469"/>
    <cellStyle name="40% - Accent2 3 2 2 4 3" xfId="35422"/>
    <cellStyle name="40% - Accent2 3 2 2 5" xfId="14168"/>
    <cellStyle name="40% - Accent2 3 2 2 5 2" xfId="17836"/>
    <cellStyle name="40% - Accent2 3 2 2 5 2 2" xfId="46697"/>
    <cellStyle name="40% - Accent2 3 2 2 5 3" xfId="43029"/>
    <cellStyle name="40% - Accent2 3 2 2 6" xfId="15156"/>
    <cellStyle name="40% - Accent2 3 2 2 6 2" xfId="44017"/>
    <cellStyle name="40% - Accent2 3 2 2 7" xfId="29381"/>
    <cellStyle name="40% - Accent2 3 2 3" xfId="828"/>
    <cellStyle name="40% - Accent2 3 2 3 2" xfId="3715"/>
    <cellStyle name="40% - Accent2 3 2 3 2 2" xfId="9756"/>
    <cellStyle name="40% - Accent2 3 2 3 2 2 2" xfId="26803"/>
    <cellStyle name="40% - Accent2 3 2 3 2 2 2 2" xfId="55664"/>
    <cellStyle name="40% - Accent2 3 2 3 2 2 3" xfId="38617"/>
    <cellStyle name="40% - Accent2 3 2 3 2 3" xfId="20825"/>
    <cellStyle name="40% - Accent2 3 2 3 2 3 2" xfId="49686"/>
    <cellStyle name="40% - Accent2 3 2 3 2 4" xfId="32576"/>
    <cellStyle name="40% - Accent2 3 2 3 3" xfId="6870"/>
    <cellStyle name="40% - Accent2 3 2 3 3 2" xfId="23917"/>
    <cellStyle name="40% - Accent2 3 2 3 3 2 2" xfId="52778"/>
    <cellStyle name="40% - Accent2 3 2 3 3 3" xfId="35731"/>
    <cellStyle name="40% - Accent2 3 2 3 4" xfId="12445"/>
    <cellStyle name="40% - Accent2 3 2 3 4 2" xfId="18145"/>
    <cellStyle name="40% - Accent2 3 2 3 4 2 2" xfId="47006"/>
    <cellStyle name="40% - Accent2 3 2 3 4 3" xfId="41306"/>
    <cellStyle name="40% - Accent2 3 2 3 5" xfId="15465"/>
    <cellStyle name="40% - Accent2 3 2 3 5 2" xfId="44326"/>
    <cellStyle name="40% - Accent2 3 2 3 6" xfId="29690"/>
    <cellStyle name="40% - Accent2 3 2 4" xfId="1034"/>
    <cellStyle name="40% - Accent2 3 2 4 2" xfId="3921"/>
    <cellStyle name="40% - Accent2 3 2 4 2 2" xfId="9962"/>
    <cellStyle name="40% - Accent2 3 2 4 2 2 2" xfId="27009"/>
    <cellStyle name="40% - Accent2 3 2 4 2 2 2 2" xfId="55870"/>
    <cellStyle name="40% - Accent2 3 2 4 2 2 3" xfId="38823"/>
    <cellStyle name="40% - Accent2 3 2 4 2 3" xfId="21031"/>
    <cellStyle name="40% - Accent2 3 2 4 2 3 2" xfId="49892"/>
    <cellStyle name="40% - Accent2 3 2 4 2 4" xfId="32782"/>
    <cellStyle name="40% - Accent2 3 2 4 3" xfId="7076"/>
    <cellStyle name="40% - Accent2 3 2 4 3 2" xfId="24123"/>
    <cellStyle name="40% - Accent2 3 2 4 3 2 2" xfId="52984"/>
    <cellStyle name="40% - Accent2 3 2 4 3 3" xfId="35937"/>
    <cellStyle name="40% - Accent2 3 2 4 4" xfId="12392"/>
    <cellStyle name="40% - Accent2 3 2 4 4 2" xfId="18351"/>
    <cellStyle name="40% - Accent2 3 2 4 4 2 2" xfId="47212"/>
    <cellStyle name="40% - Accent2 3 2 4 4 3" xfId="41253"/>
    <cellStyle name="40% - Accent2 3 2 4 5" xfId="15671"/>
    <cellStyle name="40% - Accent2 3 2 4 5 2" xfId="44532"/>
    <cellStyle name="40% - Accent2 3 2 4 6" xfId="29896"/>
    <cellStyle name="40% - Accent2 3 2 5" xfId="1240"/>
    <cellStyle name="40% - Accent2 3 2 5 2" xfId="4127"/>
    <cellStyle name="40% - Accent2 3 2 5 2 2" xfId="10168"/>
    <cellStyle name="40% - Accent2 3 2 5 2 2 2" xfId="27215"/>
    <cellStyle name="40% - Accent2 3 2 5 2 2 2 2" xfId="56076"/>
    <cellStyle name="40% - Accent2 3 2 5 2 2 3" xfId="39029"/>
    <cellStyle name="40% - Accent2 3 2 5 2 3" xfId="21237"/>
    <cellStyle name="40% - Accent2 3 2 5 2 3 2" xfId="50098"/>
    <cellStyle name="40% - Accent2 3 2 5 2 4" xfId="32988"/>
    <cellStyle name="40% - Accent2 3 2 5 3" xfId="7282"/>
    <cellStyle name="40% - Accent2 3 2 5 3 2" xfId="24329"/>
    <cellStyle name="40% - Accent2 3 2 5 3 2 2" xfId="53190"/>
    <cellStyle name="40% - Accent2 3 2 5 3 3" xfId="36143"/>
    <cellStyle name="40% - Accent2 3 2 5 4" xfId="13075"/>
    <cellStyle name="40% - Accent2 3 2 5 4 2" xfId="18557"/>
    <cellStyle name="40% - Accent2 3 2 5 4 2 2" xfId="47418"/>
    <cellStyle name="40% - Accent2 3 2 5 4 3" xfId="41936"/>
    <cellStyle name="40% - Accent2 3 2 5 5" xfId="15877"/>
    <cellStyle name="40% - Accent2 3 2 5 5 2" xfId="44738"/>
    <cellStyle name="40% - Accent2 3 2 5 6" xfId="30102"/>
    <cellStyle name="40% - Accent2 3 2 6" xfId="1446"/>
    <cellStyle name="40% - Accent2 3 2 6 2" xfId="4333"/>
    <cellStyle name="40% - Accent2 3 2 6 2 2" xfId="10374"/>
    <cellStyle name="40% - Accent2 3 2 6 2 2 2" xfId="27421"/>
    <cellStyle name="40% - Accent2 3 2 6 2 2 2 2" xfId="56282"/>
    <cellStyle name="40% - Accent2 3 2 6 2 2 3" xfId="39235"/>
    <cellStyle name="40% - Accent2 3 2 6 2 3" xfId="21443"/>
    <cellStyle name="40% - Accent2 3 2 6 2 3 2" xfId="50304"/>
    <cellStyle name="40% - Accent2 3 2 6 2 4" xfId="33194"/>
    <cellStyle name="40% - Accent2 3 2 6 3" xfId="7488"/>
    <cellStyle name="40% - Accent2 3 2 6 3 2" xfId="24535"/>
    <cellStyle name="40% - Accent2 3 2 6 3 2 2" xfId="53396"/>
    <cellStyle name="40% - Accent2 3 2 6 3 3" xfId="36349"/>
    <cellStyle name="40% - Accent2 3 2 6 4" xfId="12480"/>
    <cellStyle name="40% - Accent2 3 2 6 4 2" xfId="18763"/>
    <cellStyle name="40% - Accent2 3 2 6 4 2 2" xfId="47624"/>
    <cellStyle name="40% - Accent2 3 2 6 4 3" xfId="41341"/>
    <cellStyle name="40% - Accent2 3 2 6 5" xfId="16083"/>
    <cellStyle name="40% - Accent2 3 2 6 5 2" xfId="44944"/>
    <cellStyle name="40% - Accent2 3 2 6 6" xfId="30308"/>
    <cellStyle name="40% - Accent2 3 2 7" xfId="1652"/>
    <cellStyle name="40% - Accent2 3 2 7 2" xfId="4539"/>
    <cellStyle name="40% - Accent2 3 2 7 2 2" xfId="10580"/>
    <cellStyle name="40% - Accent2 3 2 7 2 2 2" xfId="27627"/>
    <cellStyle name="40% - Accent2 3 2 7 2 2 2 2" xfId="56488"/>
    <cellStyle name="40% - Accent2 3 2 7 2 2 3" xfId="39441"/>
    <cellStyle name="40% - Accent2 3 2 7 2 3" xfId="21649"/>
    <cellStyle name="40% - Accent2 3 2 7 2 3 2" xfId="50510"/>
    <cellStyle name="40% - Accent2 3 2 7 2 4" xfId="33400"/>
    <cellStyle name="40% - Accent2 3 2 7 3" xfId="7694"/>
    <cellStyle name="40% - Accent2 3 2 7 3 2" xfId="24741"/>
    <cellStyle name="40% - Accent2 3 2 7 3 2 2" xfId="53602"/>
    <cellStyle name="40% - Accent2 3 2 7 3 3" xfId="36555"/>
    <cellStyle name="40% - Accent2 3 2 7 4" xfId="14128"/>
    <cellStyle name="40% - Accent2 3 2 7 4 2" xfId="18969"/>
    <cellStyle name="40% - Accent2 3 2 7 4 2 2" xfId="47830"/>
    <cellStyle name="40% - Accent2 3 2 7 4 3" xfId="42989"/>
    <cellStyle name="40% - Accent2 3 2 7 5" xfId="16289"/>
    <cellStyle name="40% - Accent2 3 2 7 5 2" xfId="45150"/>
    <cellStyle name="40% - Accent2 3 2 7 6" xfId="30514"/>
    <cellStyle name="40% - Accent2 3 2 8" xfId="1858"/>
    <cellStyle name="40% - Accent2 3 2 8 2" xfId="4745"/>
    <cellStyle name="40% - Accent2 3 2 8 2 2" xfId="10786"/>
    <cellStyle name="40% - Accent2 3 2 8 2 2 2" xfId="27833"/>
    <cellStyle name="40% - Accent2 3 2 8 2 2 2 2" xfId="56694"/>
    <cellStyle name="40% - Accent2 3 2 8 2 2 3" xfId="39647"/>
    <cellStyle name="40% - Accent2 3 2 8 2 3" xfId="21855"/>
    <cellStyle name="40% - Accent2 3 2 8 2 3 2" xfId="50716"/>
    <cellStyle name="40% - Accent2 3 2 8 2 4" xfId="33606"/>
    <cellStyle name="40% - Accent2 3 2 8 3" xfId="7900"/>
    <cellStyle name="40% - Accent2 3 2 8 3 2" xfId="24947"/>
    <cellStyle name="40% - Accent2 3 2 8 3 2 2" xfId="53808"/>
    <cellStyle name="40% - Accent2 3 2 8 3 3" xfId="36761"/>
    <cellStyle name="40% - Accent2 3 2 8 4" xfId="12781"/>
    <cellStyle name="40% - Accent2 3 2 8 4 2" xfId="19175"/>
    <cellStyle name="40% - Accent2 3 2 8 4 2 2" xfId="48036"/>
    <cellStyle name="40% - Accent2 3 2 8 4 3" xfId="41642"/>
    <cellStyle name="40% - Accent2 3 2 8 5" xfId="16495"/>
    <cellStyle name="40% - Accent2 3 2 8 5 2" xfId="45356"/>
    <cellStyle name="40% - Accent2 3 2 8 6" xfId="30720"/>
    <cellStyle name="40% - Accent2 3 2 9" xfId="2064"/>
    <cellStyle name="40% - Accent2 3 2 9 2" xfId="4951"/>
    <cellStyle name="40% - Accent2 3 2 9 2 2" xfId="10992"/>
    <cellStyle name="40% - Accent2 3 2 9 2 2 2" xfId="28039"/>
    <cellStyle name="40% - Accent2 3 2 9 2 2 2 2" xfId="56900"/>
    <cellStyle name="40% - Accent2 3 2 9 2 2 3" xfId="39853"/>
    <cellStyle name="40% - Accent2 3 2 9 2 3" xfId="22061"/>
    <cellStyle name="40% - Accent2 3 2 9 2 3 2" xfId="50922"/>
    <cellStyle name="40% - Accent2 3 2 9 2 4" xfId="33812"/>
    <cellStyle name="40% - Accent2 3 2 9 3" xfId="8106"/>
    <cellStyle name="40% - Accent2 3 2 9 3 2" xfId="25153"/>
    <cellStyle name="40% - Accent2 3 2 9 3 2 2" xfId="54014"/>
    <cellStyle name="40% - Accent2 3 2 9 3 3" xfId="36967"/>
    <cellStyle name="40% - Accent2 3 2 9 4" xfId="12935"/>
    <cellStyle name="40% - Accent2 3 2 9 4 2" xfId="19381"/>
    <cellStyle name="40% - Accent2 3 2 9 4 2 2" xfId="48242"/>
    <cellStyle name="40% - Accent2 3 2 9 4 3" xfId="41796"/>
    <cellStyle name="40% - Accent2 3 2 9 5" xfId="16701"/>
    <cellStyle name="40% - Accent2 3 2 9 5 2" xfId="45562"/>
    <cellStyle name="40% - Accent2 3 2 9 6" xfId="30926"/>
    <cellStyle name="40% - Accent2 3 20" xfId="28969"/>
    <cellStyle name="40% - Accent2 3 3" xfId="210"/>
    <cellStyle name="40% - Accent2 3 3 2" xfId="622"/>
    <cellStyle name="40% - Accent2 3 3 2 2" xfId="3509"/>
    <cellStyle name="40% - Accent2 3 3 2 2 2" xfId="9550"/>
    <cellStyle name="40% - Accent2 3 3 2 2 2 2" xfId="26597"/>
    <cellStyle name="40% - Accent2 3 3 2 2 2 2 2" xfId="55458"/>
    <cellStyle name="40% - Accent2 3 3 2 2 2 3" xfId="38411"/>
    <cellStyle name="40% - Accent2 3 3 2 2 3" xfId="20619"/>
    <cellStyle name="40% - Accent2 3 3 2 2 3 2" xfId="49480"/>
    <cellStyle name="40% - Accent2 3 3 2 2 4" xfId="32370"/>
    <cellStyle name="40% - Accent2 3 3 2 3" xfId="6664"/>
    <cellStyle name="40% - Accent2 3 3 2 3 2" xfId="23711"/>
    <cellStyle name="40% - Accent2 3 3 2 3 2 2" xfId="52572"/>
    <cellStyle name="40% - Accent2 3 3 2 3 3" xfId="35525"/>
    <cellStyle name="40% - Accent2 3 3 2 4" xfId="12078"/>
    <cellStyle name="40% - Accent2 3 3 2 4 2" xfId="17939"/>
    <cellStyle name="40% - Accent2 3 3 2 4 2 2" xfId="46800"/>
    <cellStyle name="40% - Accent2 3 3 2 4 3" xfId="40939"/>
    <cellStyle name="40% - Accent2 3 3 2 5" xfId="15259"/>
    <cellStyle name="40% - Accent2 3 3 2 5 2" xfId="44120"/>
    <cellStyle name="40% - Accent2 3 3 2 6" xfId="29484"/>
    <cellStyle name="40% - Accent2 3 3 3" xfId="2167"/>
    <cellStyle name="40% - Accent2 3 3 3 2" xfId="5054"/>
    <cellStyle name="40% - Accent2 3 3 3 2 2" xfId="11095"/>
    <cellStyle name="40% - Accent2 3 3 3 2 2 2" xfId="28142"/>
    <cellStyle name="40% - Accent2 3 3 3 2 2 2 2" xfId="57003"/>
    <cellStyle name="40% - Accent2 3 3 3 2 2 3" xfId="39956"/>
    <cellStyle name="40% - Accent2 3 3 3 2 3" xfId="22164"/>
    <cellStyle name="40% - Accent2 3 3 3 2 3 2" xfId="51025"/>
    <cellStyle name="40% - Accent2 3 3 3 2 4" xfId="33915"/>
    <cellStyle name="40% - Accent2 3 3 3 3" xfId="8209"/>
    <cellStyle name="40% - Accent2 3 3 3 3 2" xfId="25256"/>
    <cellStyle name="40% - Accent2 3 3 3 3 2 2" xfId="54117"/>
    <cellStyle name="40% - Accent2 3 3 3 3 3" xfId="37070"/>
    <cellStyle name="40% - Accent2 3 3 3 4" xfId="12284"/>
    <cellStyle name="40% - Accent2 3 3 3 4 2" xfId="19484"/>
    <cellStyle name="40% - Accent2 3 3 3 4 2 2" xfId="48345"/>
    <cellStyle name="40% - Accent2 3 3 3 4 3" xfId="41145"/>
    <cellStyle name="40% - Accent2 3 3 3 5" xfId="16804"/>
    <cellStyle name="40% - Accent2 3 3 3 5 2" xfId="45665"/>
    <cellStyle name="40% - Accent2 3 3 3 6" xfId="31029"/>
    <cellStyle name="40% - Accent2 3 3 4" xfId="3097"/>
    <cellStyle name="40% - Accent2 3 3 4 2" xfId="9138"/>
    <cellStyle name="40% - Accent2 3 3 4 2 2" xfId="26185"/>
    <cellStyle name="40% - Accent2 3 3 4 2 2 2" xfId="55046"/>
    <cellStyle name="40% - Accent2 3 3 4 2 3" xfId="37999"/>
    <cellStyle name="40% - Accent2 3 3 4 3" xfId="20207"/>
    <cellStyle name="40% - Accent2 3 3 4 3 2" xfId="49068"/>
    <cellStyle name="40% - Accent2 3 3 4 4" xfId="31958"/>
    <cellStyle name="40% - Accent2 3 3 5" xfId="6252"/>
    <cellStyle name="40% - Accent2 3 3 5 2" xfId="23299"/>
    <cellStyle name="40% - Accent2 3 3 5 2 2" xfId="52160"/>
    <cellStyle name="40% - Accent2 3 3 5 3" xfId="35113"/>
    <cellStyle name="40% - Accent2 3 3 6" xfId="11901"/>
    <cellStyle name="40% - Accent2 3 3 6 2" xfId="17630"/>
    <cellStyle name="40% - Accent2 3 3 6 2 2" xfId="46491"/>
    <cellStyle name="40% - Accent2 3 3 6 3" xfId="40762"/>
    <cellStyle name="40% - Accent2 3 3 7" xfId="14847"/>
    <cellStyle name="40% - Accent2 3 3 7 2" xfId="43708"/>
    <cellStyle name="40% - Accent2 3 3 8" xfId="29072"/>
    <cellStyle name="40% - Accent2 3 4" xfId="416"/>
    <cellStyle name="40% - Accent2 3 4 2" xfId="3303"/>
    <cellStyle name="40% - Accent2 3 4 2 2" xfId="9344"/>
    <cellStyle name="40% - Accent2 3 4 2 2 2" xfId="26391"/>
    <cellStyle name="40% - Accent2 3 4 2 2 2 2" xfId="55252"/>
    <cellStyle name="40% - Accent2 3 4 2 2 3" xfId="38205"/>
    <cellStyle name="40% - Accent2 3 4 2 3" xfId="20413"/>
    <cellStyle name="40% - Accent2 3 4 2 3 2" xfId="49274"/>
    <cellStyle name="40% - Accent2 3 4 2 4" xfId="32164"/>
    <cellStyle name="40% - Accent2 3 4 3" xfId="6458"/>
    <cellStyle name="40% - Accent2 3 4 3 2" xfId="23505"/>
    <cellStyle name="40% - Accent2 3 4 3 2 2" xfId="52366"/>
    <cellStyle name="40% - Accent2 3 4 3 3" xfId="35319"/>
    <cellStyle name="40% - Accent2 3 4 4" xfId="14083"/>
    <cellStyle name="40% - Accent2 3 4 4 2" xfId="17733"/>
    <cellStyle name="40% - Accent2 3 4 4 2 2" xfId="46594"/>
    <cellStyle name="40% - Accent2 3 4 4 3" xfId="42944"/>
    <cellStyle name="40% - Accent2 3 4 5" xfId="15053"/>
    <cellStyle name="40% - Accent2 3 4 5 2" xfId="43914"/>
    <cellStyle name="40% - Accent2 3 4 6" xfId="29278"/>
    <cellStyle name="40% - Accent2 3 5" xfId="725"/>
    <cellStyle name="40% - Accent2 3 5 2" xfId="3612"/>
    <cellStyle name="40% - Accent2 3 5 2 2" xfId="9653"/>
    <cellStyle name="40% - Accent2 3 5 2 2 2" xfId="26700"/>
    <cellStyle name="40% - Accent2 3 5 2 2 2 2" xfId="55561"/>
    <cellStyle name="40% - Accent2 3 5 2 2 3" xfId="38514"/>
    <cellStyle name="40% - Accent2 3 5 2 3" xfId="20722"/>
    <cellStyle name="40% - Accent2 3 5 2 3 2" xfId="49583"/>
    <cellStyle name="40% - Accent2 3 5 2 4" xfId="32473"/>
    <cellStyle name="40% - Accent2 3 5 3" xfId="6767"/>
    <cellStyle name="40% - Accent2 3 5 3 2" xfId="23814"/>
    <cellStyle name="40% - Accent2 3 5 3 2 2" xfId="52675"/>
    <cellStyle name="40% - Accent2 3 5 3 3" xfId="35628"/>
    <cellStyle name="40% - Accent2 3 5 4" xfId="14423"/>
    <cellStyle name="40% - Accent2 3 5 4 2" xfId="18042"/>
    <cellStyle name="40% - Accent2 3 5 4 2 2" xfId="46903"/>
    <cellStyle name="40% - Accent2 3 5 4 3" xfId="43284"/>
    <cellStyle name="40% - Accent2 3 5 5" xfId="15362"/>
    <cellStyle name="40% - Accent2 3 5 5 2" xfId="44223"/>
    <cellStyle name="40% - Accent2 3 5 6" xfId="29587"/>
    <cellStyle name="40% - Accent2 3 6" xfId="931"/>
    <cellStyle name="40% - Accent2 3 6 2" xfId="3818"/>
    <cellStyle name="40% - Accent2 3 6 2 2" xfId="9859"/>
    <cellStyle name="40% - Accent2 3 6 2 2 2" xfId="26906"/>
    <cellStyle name="40% - Accent2 3 6 2 2 2 2" xfId="55767"/>
    <cellStyle name="40% - Accent2 3 6 2 2 3" xfId="38720"/>
    <cellStyle name="40% - Accent2 3 6 2 3" xfId="20928"/>
    <cellStyle name="40% - Accent2 3 6 2 3 2" xfId="49789"/>
    <cellStyle name="40% - Accent2 3 6 2 4" xfId="32679"/>
    <cellStyle name="40% - Accent2 3 6 3" xfId="6973"/>
    <cellStyle name="40% - Accent2 3 6 3 2" xfId="24020"/>
    <cellStyle name="40% - Accent2 3 6 3 2 2" xfId="52881"/>
    <cellStyle name="40% - Accent2 3 6 3 3" xfId="35834"/>
    <cellStyle name="40% - Accent2 3 6 4" xfId="13183"/>
    <cellStyle name="40% - Accent2 3 6 4 2" xfId="18248"/>
    <cellStyle name="40% - Accent2 3 6 4 2 2" xfId="47109"/>
    <cellStyle name="40% - Accent2 3 6 4 3" xfId="42044"/>
    <cellStyle name="40% - Accent2 3 6 5" xfId="15568"/>
    <cellStyle name="40% - Accent2 3 6 5 2" xfId="44429"/>
    <cellStyle name="40% - Accent2 3 6 6" xfId="29793"/>
    <cellStyle name="40% - Accent2 3 7" xfId="1137"/>
    <cellStyle name="40% - Accent2 3 7 2" xfId="4024"/>
    <cellStyle name="40% - Accent2 3 7 2 2" xfId="10065"/>
    <cellStyle name="40% - Accent2 3 7 2 2 2" xfId="27112"/>
    <cellStyle name="40% - Accent2 3 7 2 2 2 2" xfId="55973"/>
    <cellStyle name="40% - Accent2 3 7 2 2 3" xfId="38926"/>
    <cellStyle name="40% - Accent2 3 7 2 3" xfId="21134"/>
    <cellStyle name="40% - Accent2 3 7 2 3 2" xfId="49995"/>
    <cellStyle name="40% - Accent2 3 7 2 4" xfId="32885"/>
    <cellStyle name="40% - Accent2 3 7 3" xfId="7179"/>
    <cellStyle name="40% - Accent2 3 7 3 2" xfId="24226"/>
    <cellStyle name="40% - Accent2 3 7 3 2 2" xfId="53087"/>
    <cellStyle name="40% - Accent2 3 7 3 3" xfId="36040"/>
    <cellStyle name="40% - Accent2 3 7 4" xfId="13226"/>
    <cellStyle name="40% - Accent2 3 7 4 2" xfId="18454"/>
    <cellStyle name="40% - Accent2 3 7 4 2 2" xfId="47315"/>
    <cellStyle name="40% - Accent2 3 7 4 3" xfId="42087"/>
    <cellStyle name="40% - Accent2 3 7 5" xfId="15774"/>
    <cellStyle name="40% - Accent2 3 7 5 2" xfId="44635"/>
    <cellStyle name="40% - Accent2 3 7 6" xfId="29999"/>
    <cellStyle name="40% - Accent2 3 8" xfId="1343"/>
    <cellStyle name="40% - Accent2 3 8 2" xfId="4230"/>
    <cellStyle name="40% - Accent2 3 8 2 2" xfId="10271"/>
    <cellStyle name="40% - Accent2 3 8 2 2 2" xfId="27318"/>
    <cellStyle name="40% - Accent2 3 8 2 2 2 2" xfId="56179"/>
    <cellStyle name="40% - Accent2 3 8 2 2 3" xfId="39132"/>
    <cellStyle name="40% - Accent2 3 8 2 3" xfId="21340"/>
    <cellStyle name="40% - Accent2 3 8 2 3 2" xfId="50201"/>
    <cellStyle name="40% - Accent2 3 8 2 4" xfId="33091"/>
    <cellStyle name="40% - Accent2 3 8 3" xfId="7385"/>
    <cellStyle name="40% - Accent2 3 8 3 2" xfId="24432"/>
    <cellStyle name="40% - Accent2 3 8 3 2 2" xfId="53293"/>
    <cellStyle name="40% - Accent2 3 8 3 3" xfId="36246"/>
    <cellStyle name="40% - Accent2 3 8 4" xfId="12277"/>
    <cellStyle name="40% - Accent2 3 8 4 2" xfId="18660"/>
    <cellStyle name="40% - Accent2 3 8 4 2 2" xfId="47521"/>
    <cellStyle name="40% - Accent2 3 8 4 3" xfId="41138"/>
    <cellStyle name="40% - Accent2 3 8 5" xfId="15980"/>
    <cellStyle name="40% - Accent2 3 8 5 2" xfId="44841"/>
    <cellStyle name="40% - Accent2 3 8 6" xfId="30205"/>
    <cellStyle name="40% - Accent2 3 9" xfId="1549"/>
    <cellStyle name="40% - Accent2 3 9 2" xfId="4436"/>
    <cellStyle name="40% - Accent2 3 9 2 2" xfId="10477"/>
    <cellStyle name="40% - Accent2 3 9 2 2 2" xfId="27524"/>
    <cellStyle name="40% - Accent2 3 9 2 2 2 2" xfId="56385"/>
    <cellStyle name="40% - Accent2 3 9 2 2 3" xfId="39338"/>
    <cellStyle name="40% - Accent2 3 9 2 3" xfId="21546"/>
    <cellStyle name="40% - Accent2 3 9 2 3 2" xfId="50407"/>
    <cellStyle name="40% - Accent2 3 9 2 4" xfId="33297"/>
    <cellStyle name="40% - Accent2 3 9 3" xfId="7591"/>
    <cellStyle name="40% - Accent2 3 9 3 2" xfId="24638"/>
    <cellStyle name="40% - Accent2 3 9 3 2 2" xfId="53499"/>
    <cellStyle name="40% - Accent2 3 9 3 3" xfId="36452"/>
    <cellStyle name="40% - Accent2 3 9 4" xfId="13431"/>
    <cellStyle name="40% - Accent2 3 9 4 2" xfId="18866"/>
    <cellStyle name="40% - Accent2 3 9 4 2 2" xfId="47727"/>
    <cellStyle name="40% - Accent2 3 9 4 3" xfId="42292"/>
    <cellStyle name="40% - Accent2 3 9 5" xfId="16186"/>
    <cellStyle name="40% - Accent2 3 9 5 2" xfId="45047"/>
    <cellStyle name="40% - Accent2 3 9 6" xfId="30411"/>
    <cellStyle name="40% - Accent2 4" xfId="133"/>
    <cellStyle name="40% - Accent2 4 10" xfId="1781"/>
    <cellStyle name="40% - Accent2 4 10 2" xfId="4668"/>
    <cellStyle name="40% - Accent2 4 10 2 2" xfId="10709"/>
    <cellStyle name="40% - Accent2 4 10 2 2 2" xfId="27756"/>
    <cellStyle name="40% - Accent2 4 10 2 2 2 2" xfId="56617"/>
    <cellStyle name="40% - Accent2 4 10 2 2 3" xfId="39570"/>
    <cellStyle name="40% - Accent2 4 10 2 3" xfId="21778"/>
    <cellStyle name="40% - Accent2 4 10 2 3 2" xfId="50639"/>
    <cellStyle name="40% - Accent2 4 10 2 4" xfId="33529"/>
    <cellStyle name="40% - Accent2 4 10 3" xfId="7823"/>
    <cellStyle name="40% - Accent2 4 10 3 2" xfId="24870"/>
    <cellStyle name="40% - Accent2 4 10 3 2 2" xfId="53731"/>
    <cellStyle name="40% - Accent2 4 10 3 3" xfId="36684"/>
    <cellStyle name="40% - Accent2 4 10 4" xfId="12544"/>
    <cellStyle name="40% - Accent2 4 10 4 2" xfId="19098"/>
    <cellStyle name="40% - Accent2 4 10 4 2 2" xfId="47959"/>
    <cellStyle name="40% - Accent2 4 10 4 3" xfId="41405"/>
    <cellStyle name="40% - Accent2 4 10 5" xfId="16418"/>
    <cellStyle name="40% - Accent2 4 10 5 2" xfId="45279"/>
    <cellStyle name="40% - Accent2 4 10 6" xfId="30643"/>
    <cellStyle name="40% - Accent2 4 11" xfId="1987"/>
    <cellStyle name="40% - Accent2 4 11 2" xfId="4874"/>
    <cellStyle name="40% - Accent2 4 11 2 2" xfId="10915"/>
    <cellStyle name="40% - Accent2 4 11 2 2 2" xfId="27962"/>
    <cellStyle name="40% - Accent2 4 11 2 2 2 2" xfId="56823"/>
    <cellStyle name="40% - Accent2 4 11 2 2 3" xfId="39776"/>
    <cellStyle name="40% - Accent2 4 11 2 3" xfId="21984"/>
    <cellStyle name="40% - Accent2 4 11 2 3 2" xfId="50845"/>
    <cellStyle name="40% - Accent2 4 11 2 4" xfId="33735"/>
    <cellStyle name="40% - Accent2 4 11 3" xfId="8029"/>
    <cellStyle name="40% - Accent2 4 11 3 2" xfId="25076"/>
    <cellStyle name="40% - Accent2 4 11 3 2 2" xfId="53937"/>
    <cellStyle name="40% - Accent2 4 11 3 3" xfId="36890"/>
    <cellStyle name="40% - Accent2 4 11 4" xfId="14384"/>
    <cellStyle name="40% - Accent2 4 11 4 2" xfId="19304"/>
    <cellStyle name="40% - Accent2 4 11 4 2 2" xfId="48165"/>
    <cellStyle name="40% - Accent2 4 11 4 3" xfId="43245"/>
    <cellStyle name="40% - Accent2 4 11 5" xfId="16624"/>
    <cellStyle name="40% - Accent2 4 11 5 2" xfId="45485"/>
    <cellStyle name="40% - Accent2 4 11 6" xfId="30849"/>
    <cellStyle name="40% - Accent2 4 12" xfId="2399"/>
    <cellStyle name="40% - Accent2 4 12 2" xfId="5286"/>
    <cellStyle name="40% - Accent2 4 12 2 2" xfId="11327"/>
    <cellStyle name="40% - Accent2 4 12 2 2 2" xfId="28374"/>
    <cellStyle name="40% - Accent2 4 12 2 2 2 2" xfId="57235"/>
    <cellStyle name="40% - Accent2 4 12 2 2 3" xfId="40188"/>
    <cellStyle name="40% - Accent2 4 12 2 3" xfId="22396"/>
    <cellStyle name="40% - Accent2 4 12 2 3 2" xfId="51257"/>
    <cellStyle name="40% - Accent2 4 12 2 4" xfId="34147"/>
    <cellStyle name="40% - Accent2 4 12 3" xfId="8441"/>
    <cellStyle name="40% - Accent2 4 12 3 2" xfId="25488"/>
    <cellStyle name="40% - Accent2 4 12 3 2 2" xfId="54349"/>
    <cellStyle name="40% - Accent2 4 12 3 3" xfId="37302"/>
    <cellStyle name="40% - Accent2 4 12 4" xfId="12312"/>
    <cellStyle name="40% - Accent2 4 12 4 2" xfId="19716"/>
    <cellStyle name="40% - Accent2 4 12 4 2 2" xfId="48577"/>
    <cellStyle name="40% - Accent2 4 12 4 3" xfId="41173"/>
    <cellStyle name="40% - Accent2 4 12 5" xfId="17036"/>
    <cellStyle name="40% - Accent2 4 12 5 2" xfId="45897"/>
    <cellStyle name="40% - Accent2 4 12 6" xfId="31261"/>
    <cellStyle name="40% - Accent2 4 13" xfId="2608"/>
    <cellStyle name="40% - Accent2 4 13 2" xfId="5494"/>
    <cellStyle name="40% - Accent2 4 13 2 2" xfId="11535"/>
    <cellStyle name="40% - Accent2 4 13 2 2 2" xfId="28582"/>
    <cellStyle name="40% - Accent2 4 13 2 2 2 2" xfId="57443"/>
    <cellStyle name="40% - Accent2 4 13 2 2 3" xfId="40396"/>
    <cellStyle name="40% - Accent2 4 13 2 3" xfId="22604"/>
    <cellStyle name="40% - Accent2 4 13 2 3 2" xfId="51465"/>
    <cellStyle name="40% - Accent2 4 13 2 4" xfId="34355"/>
    <cellStyle name="40% - Accent2 4 13 3" xfId="8649"/>
    <cellStyle name="40% - Accent2 4 13 3 2" xfId="25696"/>
    <cellStyle name="40% - Accent2 4 13 3 2 2" xfId="54557"/>
    <cellStyle name="40% - Accent2 4 13 3 3" xfId="37510"/>
    <cellStyle name="40% - Accent2 4 13 4" xfId="14293"/>
    <cellStyle name="40% - Accent2 4 13 4 2" xfId="19924"/>
    <cellStyle name="40% - Accent2 4 13 4 2 2" xfId="48785"/>
    <cellStyle name="40% - Accent2 4 13 4 3" xfId="43154"/>
    <cellStyle name="40% - Accent2 4 13 5" xfId="17244"/>
    <cellStyle name="40% - Accent2 4 13 5 2" xfId="46105"/>
    <cellStyle name="40% - Accent2 4 13 6" xfId="31469"/>
    <cellStyle name="40% - Accent2 4 14" xfId="3020"/>
    <cellStyle name="40% - Accent2 4 14 2" xfId="9061"/>
    <cellStyle name="40% - Accent2 4 14 2 2" xfId="26108"/>
    <cellStyle name="40% - Accent2 4 14 2 2 2" xfId="54969"/>
    <cellStyle name="40% - Accent2 4 14 2 3" xfId="37922"/>
    <cellStyle name="40% - Accent2 4 14 3" xfId="6089"/>
    <cellStyle name="40% - Accent2 4 14 3 2" xfId="20130"/>
    <cellStyle name="40% - Accent2 4 14 3 2 2" xfId="48991"/>
    <cellStyle name="40% - Accent2 4 14 3 3" xfId="34950"/>
    <cellStyle name="40% - Accent2 4 14 4" xfId="14770"/>
    <cellStyle name="40% - Accent2 4 14 4 2" xfId="43631"/>
    <cellStyle name="40% - Accent2 4 14 5" xfId="31881"/>
    <cellStyle name="40% - Accent2 4 15" xfId="2814"/>
    <cellStyle name="40% - Accent2 4 15 2" xfId="8855"/>
    <cellStyle name="40% - Accent2 4 15 2 2" xfId="25902"/>
    <cellStyle name="40% - Accent2 4 15 2 2 2" xfId="54763"/>
    <cellStyle name="40% - Accent2 4 15 2 3" xfId="37716"/>
    <cellStyle name="40% - Accent2 4 15 3" xfId="17450"/>
    <cellStyle name="40% - Accent2 4 15 3 2" xfId="46311"/>
    <cellStyle name="40% - Accent2 4 15 4" xfId="31675"/>
    <cellStyle name="40% - Accent2 4 16" xfId="5700"/>
    <cellStyle name="40% - Accent2 4 16 2" xfId="11741"/>
    <cellStyle name="40% - Accent2 4 16 2 2" xfId="28788"/>
    <cellStyle name="40% - Accent2 4 16 2 2 2" xfId="57649"/>
    <cellStyle name="40% - Accent2 4 16 2 3" xfId="40602"/>
    <cellStyle name="40% - Accent2 4 16 3" xfId="22810"/>
    <cellStyle name="40% - Accent2 4 16 3 2" xfId="51671"/>
    <cellStyle name="40% - Accent2 4 16 4" xfId="34561"/>
    <cellStyle name="40% - Accent2 4 17" xfId="5917"/>
    <cellStyle name="40% - Accent2 4 17 2" xfId="23016"/>
    <cellStyle name="40% - Accent2 4 17 2 2" xfId="51877"/>
    <cellStyle name="40% - Accent2 4 17 3" xfId="34778"/>
    <cellStyle name="40% - Accent2 4 18" xfId="6175"/>
    <cellStyle name="40% - Accent2 4 18 2" xfId="23222"/>
    <cellStyle name="40% - Accent2 4 18 2 2" xfId="52083"/>
    <cellStyle name="40% - Accent2 4 18 3" xfId="35036"/>
    <cellStyle name="40% - Accent2 4 19" xfId="14564"/>
    <cellStyle name="40% - Accent2 4 19 2" xfId="43425"/>
    <cellStyle name="40% - Accent2 4 2" xfId="339"/>
    <cellStyle name="40% - Accent2 4 2 10" xfId="2502"/>
    <cellStyle name="40% - Accent2 4 2 10 2" xfId="5389"/>
    <cellStyle name="40% - Accent2 4 2 10 2 2" xfId="11430"/>
    <cellStyle name="40% - Accent2 4 2 10 2 2 2" xfId="28477"/>
    <cellStyle name="40% - Accent2 4 2 10 2 2 2 2" xfId="57338"/>
    <cellStyle name="40% - Accent2 4 2 10 2 2 3" xfId="40291"/>
    <cellStyle name="40% - Accent2 4 2 10 2 3" xfId="22499"/>
    <cellStyle name="40% - Accent2 4 2 10 2 3 2" xfId="51360"/>
    <cellStyle name="40% - Accent2 4 2 10 2 4" xfId="34250"/>
    <cellStyle name="40% - Accent2 4 2 10 3" xfId="8544"/>
    <cellStyle name="40% - Accent2 4 2 10 3 2" xfId="25591"/>
    <cellStyle name="40% - Accent2 4 2 10 3 2 2" xfId="54452"/>
    <cellStyle name="40% - Accent2 4 2 10 3 3" xfId="37405"/>
    <cellStyle name="40% - Accent2 4 2 10 4" xfId="12656"/>
    <cellStyle name="40% - Accent2 4 2 10 4 2" xfId="19819"/>
    <cellStyle name="40% - Accent2 4 2 10 4 2 2" xfId="48680"/>
    <cellStyle name="40% - Accent2 4 2 10 4 3" xfId="41517"/>
    <cellStyle name="40% - Accent2 4 2 10 5" xfId="17139"/>
    <cellStyle name="40% - Accent2 4 2 10 5 2" xfId="46000"/>
    <cellStyle name="40% - Accent2 4 2 10 6" xfId="31364"/>
    <cellStyle name="40% - Accent2 4 2 11" xfId="2711"/>
    <cellStyle name="40% - Accent2 4 2 11 2" xfId="5597"/>
    <cellStyle name="40% - Accent2 4 2 11 2 2" xfId="11638"/>
    <cellStyle name="40% - Accent2 4 2 11 2 2 2" xfId="28685"/>
    <cellStyle name="40% - Accent2 4 2 11 2 2 2 2" xfId="57546"/>
    <cellStyle name="40% - Accent2 4 2 11 2 2 3" xfId="40499"/>
    <cellStyle name="40% - Accent2 4 2 11 2 3" xfId="22707"/>
    <cellStyle name="40% - Accent2 4 2 11 2 3 2" xfId="51568"/>
    <cellStyle name="40% - Accent2 4 2 11 2 4" xfId="34458"/>
    <cellStyle name="40% - Accent2 4 2 11 3" xfId="8752"/>
    <cellStyle name="40% - Accent2 4 2 11 3 2" xfId="25799"/>
    <cellStyle name="40% - Accent2 4 2 11 3 2 2" xfId="54660"/>
    <cellStyle name="40% - Accent2 4 2 11 3 3" xfId="37613"/>
    <cellStyle name="40% - Accent2 4 2 11 4" xfId="12419"/>
    <cellStyle name="40% - Accent2 4 2 11 4 2" xfId="20027"/>
    <cellStyle name="40% - Accent2 4 2 11 4 2 2" xfId="48888"/>
    <cellStyle name="40% - Accent2 4 2 11 4 3" xfId="41280"/>
    <cellStyle name="40% - Accent2 4 2 11 5" xfId="17347"/>
    <cellStyle name="40% - Accent2 4 2 11 5 2" xfId="46208"/>
    <cellStyle name="40% - Accent2 4 2 11 6" xfId="31572"/>
    <cellStyle name="40% - Accent2 4 2 12" xfId="3226"/>
    <cellStyle name="40% - Accent2 4 2 12 2" xfId="9267"/>
    <cellStyle name="40% - Accent2 4 2 12 2 2" xfId="26314"/>
    <cellStyle name="40% - Accent2 4 2 12 2 2 2" xfId="55175"/>
    <cellStyle name="40% - Accent2 4 2 12 2 3" xfId="38128"/>
    <cellStyle name="40% - Accent2 4 2 12 3" xfId="13319"/>
    <cellStyle name="40% - Accent2 4 2 12 3 2" xfId="20336"/>
    <cellStyle name="40% - Accent2 4 2 12 3 2 2" xfId="49197"/>
    <cellStyle name="40% - Accent2 4 2 12 3 3" xfId="42180"/>
    <cellStyle name="40% - Accent2 4 2 12 4" xfId="14976"/>
    <cellStyle name="40% - Accent2 4 2 12 4 2" xfId="43837"/>
    <cellStyle name="40% - Accent2 4 2 12 5" xfId="32087"/>
    <cellStyle name="40% - Accent2 4 2 13" xfId="2917"/>
    <cellStyle name="40% - Accent2 4 2 13 2" xfId="8958"/>
    <cellStyle name="40% - Accent2 4 2 13 2 2" xfId="26005"/>
    <cellStyle name="40% - Accent2 4 2 13 2 2 2" xfId="54866"/>
    <cellStyle name="40% - Accent2 4 2 13 2 3" xfId="37819"/>
    <cellStyle name="40% - Accent2 4 2 13 3" xfId="17553"/>
    <cellStyle name="40% - Accent2 4 2 13 3 2" xfId="46414"/>
    <cellStyle name="40% - Accent2 4 2 13 4" xfId="31778"/>
    <cellStyle name="40% - Accent2 4 2 14" xfId="5803"/>
    <cellStyle name="40% - Accent2 4 2 14 2" xfId="11844"/>
    <cellStyle name="40% - Accent2 4 2 14 2 2" xfId="28891"/>
    <cellStyle name="40% - Accent2 4 2 14 2 2 2" xfId="57752"/>
    <cellStyle name="40% - Accent2 4 2 14 2 3" xfId="40705"/>
    <cellStyle name="40% - Accent2 4 2 14 3" xfId="22913"/>
    <cellStyle name="40% - Accent2 4 2 14 3 2" xfId="51774"/>
    <cellStyle name="40% - Accent2 4 2 14 4" xfId="34664"/>
    <cellStyle name="40% - Accent2 4 2 15" xfId="6020"/>
    <cellStyle name="40% - Accent2 4 2 15 2" xfId="23119"/>
    <cellStyle name="40% - Accent2 4 2 15 2 2" xfId="51980"/>
    <cellStyle name="40% - Accent2 4 2 15 3" xfId="34881"/>
    <cellStyle name="40% - Accent2 4 2 16" xfId="6381"/>
    <cellStyle name="40% - Accent2 4 2 16 2" xfId="23428"/>
    <cellStyle name="40% - Accent2 4 2 16 2 2" xfId="52289"/>
    <cellStyle name="40% - Accent2 4 2 16 3" xfId="35242"/>
    <cellStyle name="40% - Accent2 4 2 17" xfId="14667"/>
    <cellStyle name="40% - Accent2 4 2 17 2" xfId="43528"/>
    <cellStyle name="40% - Accent2 4 2 18" xfId="29201"/>
    <cellStyle name="40% - Accent2 4 2 2" xfId="545"/>
    <cellStyle name="40% - Accent2 4 2 2 2" xfId="2296"/>
    <cellStyle name="40% - Accent2 4 2 2 2 2" xfId="5183"/>
    <cellStyle name="40% - Accent2 4 2 2 2 2 2" xfId="11224"/>
    <cellStyle name="40% - Accent2 4 2 2 2 2 2 2" xfId="28271"/>
    <cellStyle name="40% - Accent2 4 2 2 2 2 2 2 2" xfId="57132"/>
    <cellStyle name="40% - Accent2 4 2 2 2 2 2 3" xfId="40085"/>
    <cellStyle name="40% - Accent2 4 2 2 2 2 3" xfId="22293"/>
    <cellStyle name="40% - Accent2 4 2 2 2 2 3 2" xfId="51154"/>
    <cellStyle name="40% - Accent2 4 2 2 2 2 4" xfId="34044"/>
    <cellStyle name="40% - Accent2 4 2 2 2 3" xfId="8338"/>
    <cellStyle name="40% - Accent2 4 2 2 2 3 2" xfId="25385"/>
    <cellStyle name="40% - Accent2 4 2 2 2 3 2 2" xfId="54246"/>
    <cellStyle name="40% - Accent2 4 2 2 2 3 3" xfId="37199"/>
    <cellStyle name="40% - Accent2 4 2 2 2 4" xfId="12587"/>
    <cellStyle name="40% - Accent2 4 2 2 2 4 2" xfId="19613"/>
    <cellStyle name="40% - Accent2 4 2 2 2 4 2 2" xfId="48474"/>
    <cellStyle name="40% - Accent2 4 2 2 2 4 3" xfId="41448"/>
    <cellStyle name="40% - Accent2 4 2 2 2 5" xfId="16933"/>
    <cellStyle name="40% - Accent2 4 2 2 2 5 2" xfId="45794"/>
    <cellStyle name="40% - Accent2 4 2 2 2 6" xfId="31158"/>
    <cellStyle name="40% - Accent2 4 2 2 3" xfId="3432"/>
    <cellStyle name="40% - Accent2 4 2 2 3 2" xfId="9473"/>
    <cellStyle name="40% - Accent2 4 2 2 3 2 2" xfId="26520"/>
    <cellStyle name="40% - Accent2 4 2 2 3 2 2 2" xfId="55381"/>
    <cellStyle name="40% - Accent2 4 2 2 3 2 3" xfId="38334"/>
    <cellStyle name="40% - Accent2 4 2 2 3 3" xfId="20542"/>
    <cellStyle name="40% - Accent2 4 2 2 3 3 2" xfId="49403"/>
    <cellStyle name="40% - Accent2 4 2 2 3 4" xfId="32293"/>
    <cellStyle name="40% - Accent2 4 2 2 4" xfId="6587"/>
    <cellStyle name="40% - Accent2 4 2 2 4 2" xfId="23634"/>
    <cellStyle name="40% - Accent2 4 2 2 4 2 2" xfId="52495"/>
    <cellStyle name="40% - Accent2 4 2 2 4 3" xfId="35448"/>
    <cellStyle name="40% - Accent2 4 2 2 5" xfId="13454"/>
    <cellStyle name="40% - Accent2 4 2 2 5 2" xfId="17862"/>
    <cellStyle name="40% - Accent2 4 2 2 5 2 2" xfId="46723"/>
    <cellStyle name="40% - Accent2 4 2 2 5 3" xfId="42315"/>
    <cellStyle name="40% - Accent2 4 2 2 6" xfId="15182"/>
    <cellStyle name="40% - Accent2 4 2 2 6 2" xfId="44043"/>
    <cellStyle name="40% - Accent2 4 2 2 7" xfId="29407"/>
    <cellStyle name="40% - Accent2 4 2 3" xfId="854"/>
    <cellStyle name="40% - Accent2 4 2 3 2" xfId="3741"/>
    <cellStyle name="40% - Accent2 4 2 3 2 2" xfId="9782"/>
    <cellStyle name="40% - Accent2 4 2 3 2 2 2" xfId="26829"/>
    <cellStyle name="40% - Accent2 4 2 3 2 2 2 2" xfId="55690"/>
    <cellStyle name="40% - Accent2 4 2 3 2 2 3" xfId="38643"/>
    <cellStyle name="40% - Accent2 4 2 3 2 3" xfId="20851"/>
    <cellStyle name="40% - Accent2 4 2 3 2 3 2" xfId="49712"/>
    <cellStyle name="40% - Accent2 4 2 3 2 4" xfId="32602"/>
    <cellStyle name="40% - Accent2 4 2 3 3" xfId="6896"/>
    <cellStyle name="40% - Accent2 4 2 3 3 2" xfId="23943"/>
    <cellStyle name="40% - Accent2 4 2 3 3 2 2" xfId="52804"/>
    <cellStyle name="40% - Accent2 4 2 3 3 3" xfId="35757"/>
    <cellStyle name="40% - Accent2 4 2 3 4" xfId="12572"/>
    <cellStyle name="40% - Accent2 4 2 3 4 2" xfId="18171"/>
    <cellStyle name="40% - Accent2 4 2 3 4 2 2" xfId="47032"/>
    <cellStyle name="40% - Accent2 4 2 3 4 3" xfId="41433"/>
    <cellStyle name="40% - Accent2 4 2 3 5" xfId="15491"/>
    <cellStyle name="40% - Accent2 4 2 3 5 2" xfId="44352"/>
    <cellStyle name="40% - Accent2 4 2 3 6" xfId="29716"/>
    <cellStyle name="40% - Accent2 4 2 4" xfId="1060"/>
    <cellStyle name="40% - Accent2 4 2 4 2" xfId="3947"/>
    <cellStyle name="40% - Accent2 4 2 4 2 2" xfId="9988"/>
    <cellStyle name="40% - Accent2 4 2 4 2 2 2" xfId="27035"/>
    <cellStyle name="40% - Accent2 4 2 4 2 2 2 2" xfId="55896"/>
    <cellStyle name="40% - Accent2 4 2 4 2 2 3" xfId="38849"/>
    <cellStyle name="40% - Accent2 4 2 4 2 3" xfId="21057"/>
    <cellStyle name="40% - Accent2 4 2 4 2 3 2" xfId="49918"/>
    <cellStyle name="40% - Accent2 4 2 4 2 4" xfId="32808"/>
    <cellStyle name="40% - Accent2 4 2 4 3" xfId="7102"/>
    <cellStyle name="40% - Accent2 4 2 4 3 2" xfId="24149"/>
    <cellStyle name="40% - Accent2 4 2 4 3 2 2" xfId="53010"/>
    <cellStyle name="40% - Accent2 4 2 4 3 3" xfId="35963"/>
    <cellStyle name="40% - Accent2 4 2 4 4" xfId="13927"/>
    <cellStyle name="40% - Accent2 4 2 4 4 2" xfId="18377"/>
    <cellStyle name="40% - Accent2 4 2 4 4 2 2" xfId="47238"/>
    <cellStyle name="40% - Accent2 4 2 4 4 3" xfId="42788"/>
    <cellStyle name="40% - Accent2 4 2 4 5" xfId="15697"/>
    <cellStyle name="40% - Accent2 4 2 4 5 2" xfId="44558"/>
    <cellStyle name="40% - Accent2 4 2 4 6" xfId="29922"/>
    <cellStyle name="40% - Accent2 4 2 5" xfId="1266"/>
    <cellStyle name="40% - Accent2 4 2 5 2" xfId="4153"/>
    <cellStyle name="40% - Accent2 4 2 5 2 2" xfId="10194"/>
    <cellStyle name="40% - Accent2 4 2 5 2 2 2" xfId="27241"/>
    <cellStyle name="40% - Accent2 4 2 5 2 2 2 2" xfId="56102"/>
    <cellStyle name="40% - Accent2 4 2 5 2 2 3" xfId="39055"/>
    <cellStyle name="40% - Accent2 4 2 5 2 3" xfId="21263"/>
    <cellStyle name="40% - Accent2 4 2 5 2 3 2" xfId="50124"/>
    <cellStyle name="40% - Accent2 4 2 5 2 4" xfId="33014"/>
    <cellStyle name="40% - Accent2 4 2 5 3" xfId="7308"/>
    <cellStyle name="40% - Accent2 4 2 5 3 2" xfId="24355"/>
    <cellStyle name="40% - Accent2 4 2 5 3 2 2" xfId="53216"/>
    <cellStyle name="40% - Accent2 4 2 5 3 3" xfId="36169"/>
    <cellStyle name="40% - Accent2 4 2 5 4" xfId="12903"/>
    <cellStyle name="40% - Accent2 4 2 5 4 2" xfId="18583"/>
    <cellStyle name="40% - Accent2 4 2 5 4 2 2" xfId="47444"/>
    <cellStyle name="40% - Accent2 4 2 5 4 3" xfId="41764"/>
    <cellStyle name="40% - Accent2 4 2 5 5" xfId="15903"/>
    <cellStyle name="40% - Accent2 4 2 5 5 2" xfId="44764"/>
    <cellStyle name="40% - Accent2 4 2 5 6" xfId="30128"/>
    <cellStyle name="40% - Accent2 4 2 6" xfId="1472"/>
    <cellStyle name="40% - Accent2 4 2 6 2" xfId="4359"/>
    <cellStyle name="40% - Accent2 4 2 6 2 2" xfId="10400"/>
    <cellStyle name="40% - Accent2 4 2 6 2 2 2" xfId="27447"/>
    <cellStyle name="40% - Accent2 4 2 6 2 2 2 2" xfId="56308"/>
    <cellStyle name="40% - Accent2 4 2 6 2 2 3" xfId="39261"/>
    <cellStyle name="40% - Accent2 4 2 6 2 3" xfId="21469"/>
    <cellStyle name="40% - Accent2 4 2 6 2 3 2" xfId="50330"/>
    <cellStyle name="40% - Accent2 4 2 6 2 4" xfId="33220"/>
    <cellStyle name="40% - Accent2 4 2 6 3" xfId="7514"/>
    <cellStyle name="40% - Accent2 4 2 6 3 2" xfId="24561"/>
    <cellStyle name="40% - Accent2 4 2 6 3 2 2" xfId="53422"/>
    <cellStyle name="40% - Accent2 4 2 6 3 3" xfId="36375"/>
    <cellStyle name="40% - Accent2 4 2 6 4" xfId="12553"/>
    <cellStyle name="40% - Accent2 4 2 6 4 2" xfId="18789"/>
    <cellStyle name="40% - Accent2 4 2 6 4 2 2" xfId="47650"/>
    <cellStyle name="40% - Accent2 4 2 6 4 3" xfId="41414"/>
    <cellStyle name="40% - Accent2 4 2 6 5" xfId="16109"/>
    <cellStyle name="40% - Accent2 4 2 6 5 2" xfId="44970"/>
    <cellStyle name="40% - Accent2 4 2 6 6" xfId="30334"/>
    <cellStyle name="40% - Accent2 4 2 7" xfId="1678"/>
    <cellStyle name="40% - Accent2 4 2 7 2" xfId="4565"/>
    <cellStyle name="40% - Accent2 4 2 7 2 2" xfId="10606"/>
    <cellStyle name="40% - Accent2 4 2 7 2 2 2" xfId="27653"/>
    <cellStyle name="40% - Accent2 4 2 7 2 2 2 2" xfId="56514"/>
    <cellStyle name="40% - Accent2 4 2 7 2 2 3" xfId="39467"/>
    <cellStyle name="40% - Accent2 4 2 7 2 3" xfId="21675"/>
    <cellStyle name="40% - Accent2 4 2 7 2 3 2" xfId="50536"/>
    <cellStyle name="40% - Accent2 4 2 7 2 4" xfId="33426"/>
    <cellStyle name="40% - Accent2 4 2 7 3" xfId="7720"/>
    <cellStyle name="40% - Accent2 4 2 7 3 2" xfId="24767"/>
    <cellStyle name="40% - Accent2 4 2 7 3 2 2" xfId="53628"/>
    <cellStyle name="40% - Accent2 4 2 7 3 3" xfId="36581"/>
    <cellStyle name="40% - Accent2 4 2 7 4" xfId="12381"/>
    <cellStyle name="40% - Accent2 4 2 7 4 2" xfId="18995"/>
    <cellStyle name="40% - Accent2 4 2 7 4 2 2" xfId="47856"/>
    <cellStyle name="40% - Accent2 4 2 7 4 3" xfId="41242"/>
    <cellStyle name="40% - Accent2 4 2 7 5" xfId="16315"/>
    <cellStyle name="40% - Accent2 4 2 7 5 2" xfId="45176"/>
    <cellStyle name="40% - Accent2 4 2 7 6" xfId="30540"/>
    <cellStyle name="40% - Accent2 4 2 8" xfId="1884"/>
    <cellStyle name="40% - Accent2 4 2 8 2" xfId="4771"/>
    <cellStyle name="40% - Accent2 4 2 8 2 2" xfId="10812"/>
    <cellStyle name="40% - Accent2 4 2 8 2 2 2" xfId="27859"/>
    <cellStyle name="40% - Accent2 4 2 8 2 2 2 2" xfId="56720"/>
    <cellStyle name="40% - Accent2 4 2 8 2 2 3" xfId="39673"/>
    <cellStyle name="40% - Accent2 4 2 8 2 3" xfId="21881"/>
    <cellStyle name="40% - Accent2 4 2 8 2 3 2" xfId="50742"/>
    <cellStyle name="40% - Accent2 4 2 8 2 4" xfId="33632"/>
    <cellStyle name="40% - Accent2 4 2 8 3" xfId="7926"/>
    <cellStyle name="40% - Accent2 4 2 8 3 2" xfId="24973"/>
    <cellStyle name="40% - Accent2 4 2 8 3 2 2" xfId="53834"/>
    <cellStyle name="40% - Accent2 4 2 8 3 3" xfId="36787"/>
    <cellStyle name="40% - Accent2 4 2 8 4" xfId="11906"/>
    <cellStyle name="40% - Accent2 4 2 8 4 2" xfId="19201"/>
    <cellStyle name="40% - Accent2 4 2 8 4 2 2" xfId="48062"/>
    <cellStyle name="40% - Accent2 4 2 8 4 3" xfId="40767"/>
    <cellStyle name="40% - Accent2 4 2 8 5" xfId="16521"/>
    <cellStyle name="40% - Accent2 4 2 8 5 2" xfId="45382"/>
    <cellStyle name="40% - Accent2 4 2 8 6" xfId="30746"/>
    <cellStyle name="40% - Accent2 4 2 9" xfId="2090"/>
    <cellStyle name="40% - Accent2 4 2 9 2" xfId="4977"/>
    <cellStyle name="40% - Accent2 4 2 9 2 2" xfId="11018"/>
    <cellStyle name="40% - Accent2 4 2 9 2 2 2" xfId="28065"/>
    <cellStyle name="40% - Accent2 4 2 9 2 2 2 2" xfId="56926"/>
    <cellStyle name="40% - Accent2 4 2 9 2 2 3" xfId="39879"/>
    <cellStyle name="40% - Accent2 4 2 9 2 3" xfId="22087"/>
    <cellStyle name="40% - Accent2 4 2 9 2 3 2" xfId="50948"/>
    <cellStyle name="40% - Accent2 4 2 9 2 4" xfId="33838"/>
    <cellStyle name="40% - Accent2 4 2 9 3" xfId="8132"/>
    <cellStyle name="40% - Accent2 4 2 9 3 2" xfId="25179"/>
    <cellStyle name="40% - Accent2 4 2 9 3 2 2" xfId="54040"/>
    <cellStyle name="40% - Accent2 4 2 9 3 3" xfId="36993"/>
    <cellStyle name="40% - Accent2 4 2 9 4" xfId="12235"/>
    <cellStyle name="40% - Accent2 4 2 9 4 2" xfId="19407"/>
    <cellStyle name="40% - Accent2 4 2 9 4 2 2" xfId="48268"/>
    <cellStyle name="40% - Accent2 4 2 9 4 3" xfId="41096"/>
    <cellStyle name="40% - Accent2 4 2 9 5" xfId="16727"/>
    <cellStyle name="40% - Accent2 4 2 9 5 2" xfId="45588"/>
    <cellStyle name="40% - Accent2 4 2 9 6" xfId="30952"/>
    <cellStyle name="40% - Accent2 4 20" xfId="28995"/>
    <cellStyle name="40% - Accent2 4 3" xfId="236"/>
    <cellStyle name="40% - Accent2 4 3 2" xfId="648"/>
    <cellStyle name="40% - Accent2 4 3 2 2" xfId="3535"/>
    <cellStyle name="40% - Accent2 4 3 2 2 2" xfId="9576"/>
    <cellStyle name="40% - Accent2 4 3 2 2 2 2" xfId="26623"/>
    <cellStyle name="40% - Accent2 4 3 2 2 2 2 2" xfId="55484"/>
    <cellStyle name="40% - Accent2 4 3 2 2 2 3" xfId="38437"/>
    <cellStyle name="40% - Accent2 4 3 2 2 3" xfId="20645"/>
    <cellStyle name="40% - Accent2 4 3 2 2 3 2" xfId="49506"/>
    <cellStyle name="40% - Accent2 4 3 2 2 4" xfId="32396"/>
    <cellStyle name="40% - Accent2 4 3 2 3" xfId="6690"/>
    <cellStyle name="40% - Accent2 4 3 2 3 2" xfId="23737"/>
    <cellStyle name="40% - Accent2 4 3 2 3 2 2" xfId="52598"/>
    <cellStyle name="40% - Accent2 4 3 2 3 3" xfId="35551"/>
    <cellStyle name="40% - Accent2 4 3 2 4" xfId="14140"/>
    <cellStyle name="40% - Accent2 4 3 2 4 2" xfId="17965"/>
    <cellStyle name="40% - Accent2 4 3 2 4 2 2" xfId="46826"/>
    <cellStyle name="40% - Accent2 4 3 2 4 3" xfId="43001"/>
    <cellStyle name="40% - Accent2 4 3 2 5" xfId="15285"/>
    <cellStyle name="40% - Accent2 4 3 2 5 2" xfId="44146"/>
    <cellStyle name="40% - Accent2 4 3 2 6" xfId="29510"/>
    <cellStyle name="40% - Accent2 4 3 3" xfId="2193"/>
    <cellStyle name="40% - Accent2 4 3 3 2" xfId="5080"/>
    <cellStyle name="40% - Accent2 4 3 3 2 2" xfId="11121"/>
    <cellStyle name="40% - Accent2 4 3 3 2 2 2" xfId="28168"/>
    <cellStyle name="40% - Accent2 4 3 3 2 2 2 2" xfId="57029"/>
    <cellStyle name="40% - Accent2 4 3 3 2 2 3" xfId="39982"/>
    <cellStyle name="40% - Accent2 4 3 3 2 3" xfId="22190"/>
    <cellStyle name="40% - Accent2 4 3 3 2 3 2" xfId="51051"/>
    <cellStyle name="40% - Accent2 4 3 3 2 4" xfId="33941"/>
    <cellStyle name="40% - Accent2 4 3 3 3" xfId="8235"/>
    <cellStyle name="40% - Accent2 4 3 3 3 2" xfId="25282"/>
    <cellStyle name="40% - Accent2 4 3 3 3 2 2" xfId="54143"/>
    <cellStyle name="40% - Accent2 4 3 3 3 3" xfId="37096"/>
    <cellStyle name="40% - Accent2 4 3 3 4" xfId="12548"/>
    <cellStyle name="40% - Accent2 4 3 3 4 2" xfId="19510"/>
    <cellStyle name="40% - Accent2 4 3 3 4 2 2" xfId="48371"/>
    <cellStyle name="40% - Accent2 4 3 3 4 3" xfId="41409"/>
    <cellStyle name="40% - Accent2 4 3 3 5" xfId="16830"/>
    <cellStyle name="40% - Accent2 4 3 3 5 2" xfId="45691"/>
    <cellStyle name="40% - Accent2 4 3 3 6" xfId="31055"/>
    <cellStyle name="40% - Accent2 4 3 4" xfId="3123"/>
    <cellStyle name="40% - Accent2 4 3 4 2" xfId="9164"/>
    <cellStyle name="40% - Accent2 4 3 4 2 2" xfId="26211"/>
    <cellStyle name="40% - Accent2 4 3 4 2 2 2" xfId="55072"/>
    <cellStyle name="40% - Accent2 4 3 4 2 3" xfId="38025"/>
    <cellStyle name="40% - Accent2 4 3 4 3" xfId="20233"/>
    <cellStyle name="40% - Accent2 4 3 4 3 2" xfId="49094"/>
    <cellStyle name="40% - Accent2 4 3 4 4" xfId="31984"/>
    <cellStyle name="40% - Accent2 4 3 5" xfId="6278"/>
    <cellStyle name="40% - Accent2 4 3 5 2" xfId="23325"/>
    <cellStyle name="40% - Accent2 4 3 5 2 2" xfId="52186"/>
    <cellStyle name="40% - Accent2 4 3 5 3" xfId="35139"/>
    <cellStyle name="40% - Accent2 4 3 6" xfId="14126"/>
    <cellStyle name="40% - Accent2 4 3 6 2" xfId="17656"/>
    <cellStyle name="40% - Accent2 4 3 6 2 2" xfId="46517"/>
    <cellStyle name="40% - Accent2 4 3 6 3" xfId="42987"/>
    <cellStyle name="40% - Accent2 4 3 7" xfId="14873"/>
    <cellStyle name="40% - Accent2 4 3 7 2" xfId="43734"/>
    <cellStyle name="40% - Accent2 4 3 8" xfId="29098"/>
    <cellStyle name="40% - Accent2 4 4" xfId="442"/>
    <cellStyle name="40% - Accent2 4 4 2" xfId="3329"/>
    <cellStyle name="40% - Accent2 4 4 2 2" xfId="9370"/>
    <cellStyle name="40% - Accent2 4 4 2 2 2" xfId="26417"/>
    <cellStyle name="40% - Accent2 4 4 2 2 2 2" xfId="55278"/>
    <cellStyle name="40% - Accent2 4 4 2 2 3" xfId="38231"/>
    <cellStyle name="40% - Accent2 4 4 2 3" xfId="20439"/>
    <cellStyle name="40% - Accent2 4 4 2 3 2" xfId="49300"/>
    <cellStyle name="40% - Accent2 4 4 2 4" xfId="32190"/>
    <cellStyle name="40% - Accent2 4 4 3" xfId="6484"/>
    <cellStyle name="40% - Accent2 4 4 3 2" xfId="23531"/>
    <cellStyle name="40% - Accent2 4 4 3 2 2" xfId="52392"/>
    <cellStyle name="40% - Accent2 4 4 3 3" xfId="35345"/>
    <cellStyle name="40% - Accent2 4 4 4" xfId="13604"/>
    <cellStyle name="40% - Accent2 4 4 4 2" xfId="17759"/>
    <cellStyle name="40% - Accent2 4 4 4 2 2" xfId="46620"/>
    <cellStyle name="40% - Accent2 4 4 4 3" xfId="42465"/>
    <cellStyle name="40% - Accent2 4 4 5" xfId="15079"/>
    <cellStyle name="40% - Accent2 4 4 5 2" xfId="43940"/>
    <cellStyle name="40% - Accent2 4 4 6" xfId="29304"/>
    <cellStyle name="40% - Accent2 4 5" xfId="751"/>
    <cellStyle name="40% - Accent2 4 5 2" xfId="3638"/>
    <cellStyle name="40% - Accent2 4 5 2 2" xfId="9679"/>
    <cellStyle name="40% - Accent2 4 5 2 2 2" xfId="26726"/>
    <cellStyle name="40% - Accent2 4 5 2 2 2 2" xfId="55587"/>
    <cellStyle name="40% - Accent2 4 5 2 2 3" xfId="38540"/>
    <cellStyle name="40% - Accent2 4 5 2 3" xfId="20748"/>
    <cellStyle name="40% - Accent2 4 5 2 3 2" xfId="49609"/>
    <cellStyle name="40% - Accent2 4 5 2 4" xfId="32499"/>
    <cellStyle name="40% - Accent2 4 5 3" xfId="6793"/>
    <cellStyle name="40% - Accent2 4 5 3 2" xfId="23840"/>
    <cellStyle name="40% - Accent2 4 5 3 2 2" xfId="52701"/>
    <cellStyle name="40% - Accent2 4 5 3 3" xfId="35654"/>
    <cellStyle name="40% - Accent2 4 5 4" xfId="13618"/>
    <cellStyle name="40% - Accent2 4 5 4 2" xfId="18068"/>
    <cellStyle name="40% - Accent2 4 5 4 2 2" xfId="46929"/>
    <cellStyle name="40% - Accent2 4 5 4 3" xfId="42479"/>
    <cellStyle name="40% - Accent2 4 5 5" xfId="15388"/>
    <cellStyle name="40% - Accent2 4 5 5 2" xfId="44249"/>
    <cellStyle name="40% - Accent2 4 5 6" xfId="29613"/>
    <cellStyle name="40% - Accent2 4 6" xfId="957"/>
    <cellStyle name="40% - Accent2 4 6 2" xfId="3844"/>
    <cellStyle name="40% - Accent2 4 6 2 2" xfId="9885"/>
    <cellStyle name="40% - Accent2 4 6 2 2 2" xfId="26932"/>
    <cellStyle name="40% - Accent2 4 6 2 2 2 2" xfId="55793"/>
    <cellStyle name="40% - Accent2 4 6 2 2 3" xfId="38746"/>
    <cellStyle name="40% - Accent2 4 6 2 3" xfId="20954"/>
    <cellStyle name="40% - Accent2 4 6 2 3 2" xfId="49815"/>
    <cellStyle name="40% - Accent2 4 6 2 4" xfId="32705"/>
    <cellStyle name="40% - Accent2 4 6 3" xfId="6999"/>
    <cellStyle name="40% - Accent2 4 6 3 2" xfId="24046"/>
    <cellStyle name="40% - Accent2 4 6 3 2 2" xfId="52907"/>
    <cellStyle name="40% - Accent2 4 6 3 3" xfId="35860"/>
    <cellStyle name="40% - Accent2 4 6 4" xfId="14197"/>
    <cellStyle name="40% - Accent2 4 6 4 2" xfId="18274"/>
    <cellStyle name="40% - Accent2 4 6 4 2 2" xfId="47135"/>
    <cellStyle name="40% - Accent2 4 6 4 3" xfId="43058"/>
    <cellStyle name="40% - Accent2 4 6 5" xfId="15594"/>
    <cellStyle name="40% - Accent2 4 6 5 2" xfId="44455"/>
    <cellStyle name="40% - Accent2 4 6 6" xfId="29819"/>
    <cellStyle name="40% - Accent2 4 7" xfId="1163"/>
    <cellStyle name="40% - Accent2 4 7 2" xfId="4050"/>
    <cellStyle name="40% - Accent2 4 7 2 2" xfId="10091"/>
    <cellStyle name="40% - Accent2 4 7 2 2 2" xfId="27138"/>
    <cellStyle name="40% - Accent2 4 7 2 2 2 2" xfId="55999"/>
    <cellStyle name="40% - Accent2 4 7 2 2 3" xfId="38952"/>
    <cellStyle name="40% - Accent2 4 7 2 3" xfId="21160"/>
    <cellStyle name="40% - Accent2 4 7 2 3 2" xfId="50021"/>
    <cellStyle name="40% - Accent2 4 7 2 4" xfId="32911"/>
    <cellStyle name="40% - Accent2 4 7 3" xfId="7205"/>
    <cellStyle name="40% - Accent2 4 7 3 2" xfId="24252"/>
    <cellStyle name="40% - Accent2 4 7 3 2 2" xfId="53113"/>
    <cellStyle name="40% - Accent2 4 7 3 3" xfId="36066"/>
    <cellStyle name="40% - Accent2 4 7 4" xfId="13308"/>
    <cellStyle name="40% - Accent2 4 7 4 2" xfId="18480"/>
    <cellStyle name="40% - Accent2 4 7 4 2 2" xfId="47341"/>
    <cellStyle name="40% - Accent2 4 7 4 3" xfId="42169"/>
    <cellStyle name="40% - Accent2 4 7 5" xfId="15800"/>
    <cellStyle name="40% - Accent2 4 7 5 2" xfId="44661"/>
    <cellStyle name="40% - Accent2 4 7 6" xfId="30025"/>
    <cellStyle name="40% - Accent2 4 8" xfId="1369"/>
    <cellStyle name="40% - Accent2 4 8 2" xfId="4256"/>
    <cellStyle name="40% - Accent2 4 8 2 2" xfId="10297"/>
    <cellStyle name="40% - Accent2 4 8 2 2 2" xfId="27344"/>
    <cellStyle name="40% - Accent2 4 8 2 2 2 2" xfId="56205"/>
    <cellStyle name="40% - Accent2 4 8 2 2 3" xfId="39158"/>
    <cellStyle name="40% - Accent2 4 8 2 3" xfId="21366"/>
    <cellStyle name="40% - Accent2 4 8 2 3 2" xfId="50227"/>
    <cellStyle name="40% - Accent2 4 8 2 4" xfId="33117"/>
    <cellStyle name="40% - Accent2 4 8 3" xfId="7411"/>
    <cellStyle name="40% - Accent2 4 8 3 2" xfId="24458"/>
    <cellStyle name="40% - Accent2 4 8 3 2 2" xfId="53319"/>
    <cellStyle name="40% - Accent2 4 8 3 3" xfId="36272"/>
    <cellStyle name="40% - Accent2 4 8 4" xfId="13581"/>
    <cellStyle name="40% - Accent2 4 8 4 2" xfId="18686"/>
    <cellStyle name="40% - Accent2 4 8 4 2 2" xfId="47547"/>
    <cellStyle name="40% - Accent2 4 8 4 3" xfId="42442"/>
    <cellStyle name="40% - Accent2 4 8 5" xfId="16006"/>
    <cellStyle name="40% - Accent2 4 8 5 2" xfId="44867"/>
    <cellStyle name="40% - Accent2 4 8 6" xfId="30231"/>
    <cellStyle name="40% - Accent2 4 9" xfId="1575"/>
    <cellStyle name="40% - Accent2 4 9 2" xfId="4462"/>
    <cellStyle name="40% - Accent2 4 9 2 2" xfId="10503"/>
    <cellStyle name="40% - Accent2 4 9 2 2 2" xfId="27550"/>
    <cellStyle name="40% - Accent2 4 9 2 2 2 2" xfId="56411"/>
    <cellStyle name="40% - Accent2 4 9 2 2 3" xfId="39364"/>
    <cellStyle name="40% - Accent2 4 9 2 3" xfId="21572"/>
    <cellStyle name="40% - Accent2 4 9 2 3 2" xfId="50433"/>
    <cellStyle name="40% - Accent2 4 9 2 4" xfId="33323"/>
    <cellStyle name="40% - Accent2 4 9 3" xfId="7617"/>
    <cellStyle name="40% - Accent2 4 9 3 2" xfId="24664"/>
    <cellStyle name="40% - Accent2 4 9 3 2 2" xfId="53525"/>
    <cellStyle name="40% - Accent2 4 9 3 3" xfId="36478"/>
    <cellStyle name="40% - Accent2 4 9 4" xfId="13094"/>
    <cellStyle name="40% - Accent2 4 9 4 2" xfId="18892"/>
    <cellStyle name="40% - Accent2 4 9 4 2 2" xfId="47753"/>
    <cellStyle name="40% - Accent2 4 9 4 3" xfId="41955"/>
    <cellStyle name="40% - Accent2 4 9 5" xfId="16212"/>
    <cellStyle name="40% - Accent2 4 9 5 2" xfId="45073"/>
    <cellStyle name="40% - Accent2 4 9 6" xfId="30437"/>
    <cellStyle name="40% - Accent2 5" xfId="286"/>
    <cellStyle name="40% - Accent2 5 10" xfId="2449"/>
    <cellStyle name="40% - Accent2 5 10 2" xfId="5336"/>
    <cellStyle name="40% - Accent2 5 10 2 2" xfId="11377"/>
    <cellStyle name="40% - Accent2 5 10 2 2 2" xfId="28424"/>
    <cellStyle name="40% - Accent2 5 10 2 2 2 2" xfId="57285"/>
    <cellStyle name="40% - Accent2 5 10 2 2 3" xfId="40238"/>
    <cellStyle name="40% - Accent2 5 10 2 3" xfId="22446"/>
    <cellStyle name="40% - Accent2 5 10 2 3 2" xfId="51307"/>
    <cellStyle name="40% - Accent2 5 10 2 4" xfId="34197"/>
    <cellStyle name="40% - Accent2 5 10 3" xfId="8491"/>
    <cellStyle name="40% - Accent2 5 10 3 2" xfId="25538"/>
    <cellStyle name="40% - Accent2 5 10 3 2 2" xfId="54399"/>
    <cellStyle name="40% - Accent2 5 10 3 3" xfId="37352"/>
    <cellStyle name="40% - Accent2 5 10 4" xfId="14296"/>
    <cellStyle name="40% - Accent2 5 10 4 2" xfId="19766"/>
    <cellStyle name="40% - Accent2 5 10 4 2 2" xfId="48627"/>
    <cellStyle name="40% - Accent2 5 10 4 3" xfId="43157"/>
    <cellStyle name="40% - Accent2 5 10 5" xfId="17086"/>
    <cellStyle name="40% - Accent2 5 10 5 2" xfId="45947"/>
    <cellStyle name="40% - Accent2 5 10 6" xfId="31311"/>
    <cellStyle name="40% - Accent2 5 11" xfId="2658"/>
    <cellStyle name="40% - Accent2 5 11 2" xfId="5544"/>
    <cellStyle name="40% - Accent2 5 11 2 2" xfId="11585"/>
    <cellStyle name="40% - Accent2 5 11 2 2 2" xfId="28632"/>
    <cellStyle name="40% - Accent2 5 11 2 2 2 2" xfId="57493"/>
    <cellStyle name="40% - Accent2 5 11 2 2 3" xfId="40446"/>
    <cellStyle name="40% - Accent2 5 11 2 3" xfId="22654"/>
    <cellStyle name="40% - Accent2 5 11 2 3 2" xfId="51515"/>
    <cellStyle name="40% - Accent2 5 11 2 4" xfId="34405"/>
    <cellStyle name="40% - Accent2 5 11 3" xfId="8699"/>
    <cellStyle name="40% - Accent2 5 11 3 2" xfId="25746"/>
    <cellStyle name="40% - Accent2 5 11 3 2 2" xfId="54607"/>
    <cellStyle name="40% - Accent2 5 11 3 3" xfId="37560"/>
    <cellStyle name="40% - Accent2 5 11 4" xfId="13490"/>
    <cellStyle name="40% - Accent2 5 11 4 2" xfId="19974"/>
    <cellStyle name="40% - Accent2 5 11 4 2 2" xfId="48835"/>
    <cellStyle name="40% - Accent2 5 11 4 3" xfId="42351"/>
    <cellStyle name="40% - Accent2 5 11 5" xfId="17294"/>
    <cellStyle name="40% - Accent2 5 11 5 2" xfId="46155"/>
    <cellStyle name="40% - Accent2 5 11 6" xfId="31519"/>
    <cellStyle name="40% - Accent2 5 12" xfId="3173"/>
    <cellStyle name="40% - Accent2 5 12 2" xfId="9214"/>
    <cellStyle name="40% - Accent2 5 12 2 2" xfId="26261"/>
    <cellStyle name="40% - Accent2 5 12 2 2 2" xfId="55122"/>
    <cellStyle name="40% - Accent2 5 12 2 3" xfId="38075"/>
    <cellStyle name="40% - Accent2 5 12 3" xfId="13981"/>
    <cellStyle name="40% - Accent2 5 12 3 2" xfId="20283"/>
    <cellStyle name="40% - Accent2 5 12 3 2 2" xfId="49144"/>
    <cellStyle name="40% - Accent2 5 12 3 3" xfId="42842"/>
    <cellStyle name="40% - Accent2 5 12 4" xfId="14923"/>
    <cellStyle name="40% - Accent2 5 12 4 2" xfId="43784"/>
    <cellStyle name="40% - Accent2 5 12 5" xfId="32034"/>
    <cellStyle name="40% - Accent2 5 13" xfId="2864"/>
    <cellStyle name="40% - Accent2 5 13 2" xfId="8905"/>
    <cellStyle name="40% - Accent2 5 13 2 2" xfId="25952"/>
    <cellStyle name="40% - Accent2 5 13 2 2 2" xfId="54813"/>
    <cellStyle name="40% - Accent2 5 13 2 3" xfId="37766"/>
    <cellStyle name="40% - Accent2 5 13 3" xfId="17500"/>
    <cellStyle name="40% - Accent2 5 13 3 2" xfId="46361"/>
    <cellStyle name="40% - Accent2 5 13 4" xfId="31725"/>
    <cellStyle name="40% - Accent2 5 14" xfId="5750"/>
    <cellStyle name="40% - Accent2 5 14 2" xfId="11791"/>
    <cellStyle name="40% - Accent2 5 14 2 2" xfId="28838"/>
    <cellStyle name="40% - Accent2 5 14 2 2 2" xfId="57699"/>
    <cellStyle name="40% - Accent2 5 14 2 3" xfId="40652"/>
    <cellStyle name="40% - Accent2 5 14 3" xfId="22860"/>
    <cellStyle name="40% - Accent2 5 14 3 2" xfId="51721"/>
    <cellStyle name="40% - Accent2 5 14 4" xfId="34611"/>
    <cellStyle name="40% - Accent2 5 15" xfId="5967"/>
    <cellStyle name="40% - Accent2 5 15 2" xfId="23066"/>
    <cellStyle name="40% - Accent2 5 15 2 2" xfId="51927"/>
    <cellStyle name="40% - Accent2 5 15 3" xfId="34828"/>
    <cellStyle name="40% - Accent2 5 16" xfId="6328"/>
    <cellStyle name="40% - Accent2 5 16 2" xfId="23375"/>
    <cellStyle name="40% - Accent2 5 16 2 2" xfId="52236"/>
    <cellStyle name="40% - Accent2 5 16 3" xfId="35189"/>
    <cellStyle name="40% - Accent2 5 17" xfId="14614"/>
    <cellStyle name="40% - Accent2 5 17 2" xfId="43475"/>
    <cellStyle name="40% - Accent2 5 18" xfId="29148"/>
    <cellStyle name="40% - Accent2 5 2" xfId="492"/>
    <cellStyle name="40% - Accent2 5 2 2" xfId="2243"/>
    <cellStyle name="40% - Accent2 5 2 2 2" xfId="5130"/>
    <cellStyle name="40% - Accent2 5 2 2 2 2" xfId="11171"/>
    <cellStyle name="40% - Accent2 5 2 2 2 2 2" xfId="28218"/>
    <cellStyle name="40% - Accent2 5 2 2 2 2 2 2" xfId="57079"/>
    <cellStyle name="40% - Accent2 5 2 2 2 2 3" xfId="40032"/>
    <cellStyle name="40% - Accent2 5 2 2 2 3" xfId="22240"/>
    <cellStyle name="40% - Accent2 5 2 2 2 3 2" xfId="51101"/>
    <cellStyle name="40% - Accent2 5 2 2 2 4" xfId="33991"/>
    <cellStyle name="40% - Accent2 5 2 2 3" xfId="8285"/>
    <cellStyle name="40% - Accent2 5 2 2 3 2" xfId="25332"/>
    <cellStyle name="40% - Accent2 5 2 2 3 2 2" xfId="54193"/>
    <cellStyle name="40% - Accent2 5 2 2 3 3" xfId="37146"/>
    <cellStyle name="40% - Accent2 5 2 2 4" xfId="12966"/>
    <cellStyle name="40% - Accent2 5 2 2 4 2" xfId="19560"/>
    <cellStyle name="40% - Accent2 5 2 2 4 2 2" xfId="48421"/>
    <cellStyle name="40% - Accent2 5 2 2 4 3" xfId="41827"/>
    <cellStyle name="40% - Accent2 5 2 2 5" xfId="16880"/>
    <cellStyle name="40% - Accent2 5 2 2 5 2" xfId="45741"/>
    <cellStyle name="40% - Accent2 5 2 2 6" xfId="31105"/>
    <cellStyle name="40% - Accent2 5 2 3" xfId="3379"/>
    <cellStyle name="40% - Accent2 5 2 3 2" xfId="9420"/>
    <cellStyle name="40% - Accent2 5 2 3 2 2" xfId="26467"/>
    <cellStyle name="40% - Accent2 5 2 3 2 2 2" xfId="55328"/>
    <cellStyle name="40% - Accent2 5 2 3 2 3" xfId="38281"/>
    <cellStyle name="40% - Accent2 5 2 3 3" xfId="20489"/>
    <cellStyle name="40% - Accent2 5 2 3 3 2" xfId="49350"/>
    <cellStyle name="40% - Accent2 5 2 3 4" xfId="32240"/>
    <cellStyle name="40% - Accent2 5 2 4" xfId="6534"/>
    <cellStyle name="40% - Accent2 5 2 4 2" xfId="23581"/>
    <cellStyle name="40% - Accent2 5 2 4 2 2" xfId="52442"/>
    <cellStyle name="40% - Accent2 5 2 4 3" xfId="35395"/>
    <cellStyle name="40% - Accent2 5 2 5" xfId="12610"/>
    <cellStyle name="40% - Accent2 5 2 5 2" xfId="17809"/>
    <cellStyle name="40% - Accent2 5 2 5 2 2" xfId="46670"/>
    <cellStyle name="40% - Accent2 5 2 5 3" xfId="41471"/>
    <cellStyle name="40% - Accent2 5 2 6" xfId="15129"/>
    <cellStyle name="40% - Accent2 5 2 6 2" xfId="43990"/>
    <cellStyle name="40% - Accent2 5 2 7" xfId="29354"/>
    <cellStyle name="40% - Accent2 5 3" xfId="801"/>
    <cellStyle name="40% - Accent2 5 3 2" xfId="3688"/>
    <cellStyle name="40% - Accent2 5 3 2 2" xfId="9729"/>
    <cellStyle name="40% - Accent2 5 3 2 2 2" xfId="26776"/>
    <cellStyle name="40% - Accent2 5 3 2 2 2 2" xfId="55637"/>
    <cellStyle name="40% - Accent2 5 3 2 2 3" xfId="38590"/>
    <cellStyle name="40% - Accent2 5 3 2 3" xfId="20798"/>
    <cellStyle name="40% - Accent2 5 3 2 3 2" xfId="49659"/>
    <cellStyle name="40% - Accent2 5 3 2 4" xfId="32549"/>
    <cellStyle name="40% - Accent2 5 3 3" xfId="6843"/>
    <cellStyle name="40% - Accent2 5 3 3 2" xfId="23890"/>
    <cellStyle name="40% - Accent2 5 3 3 2 2" xfId="52751"/>
    <cellStyle name="40% - Accent2 5 3 3 3" xfId="35704"/>
    <cellStyle name="40% - Accent2 5 3 4" xfId="13500"/>
    <cellStyle name="40% - Accent2 5 3 4 2" xfId="18118"/>
    <cellStyle name="40% - Accent2 5 3 4 2 2" xfId="46979"/>
    <cellStyle name="40% - Accent2 5 3 4 3" xfId="42361"/>
    <cellStyle name="40% - Accent2 5 3 5" xfId="15438"/>
    <cellStyle name="40% - Accent2 5 3 5 2" xfId="44299"/>
    <cellStyle name="40% - Accent2 5 3 6" xfId="29663"/>
    <cellStyle name="40% - Accent2 5 4" xfId="1007"/>
    <cellStyle name="40% - Accent2 5 4 2" xfId="3894"/>
    <cellStyle name="40% - Accent2 5 4 2 2" xfId="9935"/>
    <cellStyle name="40% - Accent2 5 4 2 2 2" xfId="26982"/>
    <cellStyle name="40% - Accent2 5 4 2 2 2 2" xfId="55843"/>
    <cellStyle name="40% - Accent2 5 4 2 2 3" xfId="38796"/>
    <cellStyle name="40% - Accent2 5 4 2 3" xfId="21004"/>
    <cellStyle name="40% - Accent2 5 4 2 3 2" xfId="49865"/>
    <cellStyle name="40% - Accent2 5 4 2 4" xfId="32755"/>
    <cellStyle name="40% - Accent2 5 4 3" xfId="7049"/>
    <cellStyle name="40% - Accent2 5 4 3 2" xfId="24096"/>
    <cellStyle name="40% - Accent2 5 4 3 2 2" xfId="52957"/>
    <cellStyle name="40% - Accent2 5 4 3 3" xfId="35910"/>
    <cellStyle name="40% - Accent2 5 4 4" xfId="13545"/>
    <cellStyle name="40% - Accent2 5 4 4 2" xfId="18324"/>
    <cellStyle name="40% - Accent2 5 4 4 2 2" xfId="47185"/>
    <cellStyle name="40% - Accent2 5 4 4 3" xfId="42406"/>
    <cellStyle name="40% - Accent2 5 4 5" xfId="15644"/>
    <cellStyle name="40% - Accent2 5 4 5 2" xfId="44505"/>
    <cellStyle name="40% - Accent2 5 4 6" xfId="29869"/>
    <cellStyle name="40% - Accent2 5 5" xfId="1213"/>
    <cellStyle name="40% - Accent2 5 5 2" xfId="4100"/>
    <cellStyle name="40% - Accent2 5 5 2 2" xfId="10141"/>
    <cellStyle name="40% - Accent2 5 5 2 2 2" xfId="27188"/>
    <cellStyle name="40% - Accent2 5 5 2 2 2 2" xfId="56049"/>
    <cellStyle name="40% - Accent2 5 5 2 2 3" xfId="39002"/>
    <cellStyle name="40% - Accent2 5 5 2 3" xfId="21210"/>
    <cellStyle name="40% - Accent2 5 5 2 3 2" xfId="50071"/>
    <cellStyle name="40% - Accent2 5 5 2 4" xfId="32961"/>
    <cellStyle name="40% - Accent2 5 5 3" xfId="7255"/>
    <cellStyle name="40% - Accent2 5 5 3 2" xfId="24302"/>
    <cellStyle name="40% - Accent2 5 5 3 2 2" xfId="53163"/>
    <cellStyle name="40% - Accent2 5 5 3 3" xfId="36116"/>
    <cellStyle name="40% - Accent2 5 5 4" xfId="14441"/>
    <cellStyle name="40% - Accent2 5 5 4 2" xfId="18530"/>
    <cellStyle name="40% - Accent2 5 5 4 2 2" xfId="47391"/>
    <cellStyle name="40% - Accent2 5 5 4 3" xfId="43302"/>
    <cellStyle name="40% - Accent2 5 5 5" xfId="15850"/>
    <cellStyle name="40% - Accent2 5 5 5 2" xfId="44711"/>
    <cellStyle name="40% - Accent2 5 5 6" xfId="30075"/>
    <cellStyle name="40% - Accent2 5 6" xfId="1419"/>
    <cellStyle name="40% - Accent2 5 6 2" xfId="4306"/>
    <cellStyle name="40% - Accent2 5 6 2 2" xfId="10347"/>
    <cellStyle name="40% - Accent2 5 6 2 2 2" xfId="27394"/>
    <cellStyle name="40% - Accent2 5 6 2 2 2 2" xfId="56255"/>
    <cellStyle name="40% - Accent2 5 6 2 2 3" xfId="39208"/>
    <cellStyle name="40% - Accent2 5 6 2 3" xfId="21416"/>
    <cellStyle name="40% - Accent2 5 6 2 3 2" xfId="50277"/>
    <cellStyle name="40% - Accent2 5 6 2 4" xfId="33167"/>
    <cellStyle name="40% - Accent2 5 6 3" xfId="7461"/>
    <cellStyle name="40% - Accent2 5 6 3 2" xfId="24508"/>
    <cellStyle name="40% - Accent2 5 6 3 2 2" xfId="53369"/>
    <cellStyle name="40% - Accent2 5 6 3 3" xfId="36322"/>
    <cellStyle name="40% - Accent2 5 6 4" xfId="13907"/>
    <cellStyle name="40% - Accent2 5 6 4 2" xfId="18736"/>
    <cellStyle name="40% - Accent2 5 6 4 2 2" xfId="47597"/>
    <cellStyle name="40% - Accent2 5 6 4 3" xfId="42768"/>
    <cellStyle name="40% - Accent2 5 6 5" xfId="16056"/>
    <cellStyle name="40% - Accent2 5 6 5 2" xfId="44917"/>
    <cellStyle name="40% - Accent2 5 6 6" xfId="30281"/>
    <cellStyle name="40% - Accent2 5 7" xfId="1625"/>
    <cellStyle name="40% - Accent2 5 7 2" xfId="4512"/>
    <cellStyle name="40% - Accent2 5 7 2 2" xfId="10553"/>
    <cellStyle name="40% - Accent2 5 7 2 2 2" xfId="27600"/>
    <cellStyle name="40% - Accent2 5 7 2 2 2 2" xfId="56461"/>
    <cellStyle name="40% - Accent2 5 7 2 2 3" xfId="39414"/>
    <cellStyle name="40% - Accent2 5 7 2 3" xfId="21622"/>
    <cellStyle name="40% - Accent2 5 7 2 3 2" xfId="50483"/>
    <cellStyle name="40% - Accent2 5 7 2 4" xfId="33373"/>
    <cellStyle name="40% - Accent2 5 7 3" xfId="7667"/>
    <cellStyle name="40% - Accent2 5 7 3 2" xfId="24714"/>
    <cellStyle name="40% - Accent2 5 7 3 2 2" xfId="53575"/>
    <cellStyle name="40% - Accent2 5 7 3 3" xfId="36528"/>
    <cellStyle name="40% - Accent2 5 7 4" xfId="12458"/>
    <cellStyle name="40% - Accent2 5 7 4 2" xfId="18942"/>
    <cellStyle name="40% - Accent2 5 7 4 2 2" xfId="47803"/>
    <cellStyle name="40% - Accent2 5 7 4 3" xfId="41319"/>
    <cellStyle name="40% - Accent2 5 7 5" xfId="16262"/>
    <cellStyle name="40% - Accent2 5 7 5 2" xfId="45123"/>
    <cellStyle name="40% - Accent2 5 7 6" xfId="30487"/>
    <cellStyle name="40% - Accent2 5 8" xfId="1831"/>
    <cellStyle name="40% - Accent2 5 8 2" xfId="4718"/>
    <cellStyle name="40% - Accent2 5 8 2 2" xfId="10759"/>
    <cellStyle name="40% - Accent2 5 8 2 2 2" xfId="27806"/>
    <cellStyle name="40% - Accent2 5 8 2 2 2 2" xfId="56667"/>
    <cellStyle name="40% - Accent2 5 8 2 2 3" xfId="39620"/>
    <cellStyle name="40% - Accent2 5 8 2 3" xfId="21828"/>
    <cellStyle name="40% - Accent2 5 8 2 3 2" xfId="50689"/>
    <cellStyle name="40% - Accent2 5 8 2 4" xfId="33579"/>
    <cellStyle name="40% - Accent2 5 8 3" xfId="7873"/>
    <cellStyle name="40% - Accent2 5 8 3 2" xfId="24920"/>
    <cellStyle name="40% - Accent2 5 8 3 2 2" xfId="53781"/>
    <cellStyle name="40% - Accent2 5 8 3 3" xfId="36734"/>
    <cellStyle name="40% - Accent2 5 8 4" xfId="13038"/>
    <cellStyle name="40% - Accent2 5 8 4 2" xfId="19148"/>
    <cellStyle name="40% - Accent2 5 8 4 2 2" xfId="48009"/>
    <cellStyle name="40% - Accent2 5 8 4 3" xfId="41899"/>
    <cellStyle name="40% - Accent2 5 8 5" xfId="16468"/>
    <cellStyle name="40% - Accent2 5 8 5 2" xfId="45329"/>
    <cellStyle name="40% - Accent2 5 8 6" xfId="30693"/>
    <cellStyle name="40% - Accent2 5 9" xfId="2037"/>
    <cellStyle name="40% - Accent2 5 9 2" xfId="4924"/>
    <cellStyle name="40% - Accent2 5 9 2 2" xfId="10965"/>
    <cellStyle name="40% - Accent2 5 9 2 2 2" xfId="28012"/>
    <cellStyle name="40% - Accent2 5 9 2 2 2 2" xfId="56873"/>
    <cellStyle name="40% - Accent2 5 9 2 2 3" xfId="39826"/>
    <cellStyle name="40% - Accent2 5 9 2 3" xfId="22034"/>
    <cellStyle name="40% - Accent2 5 9 2 3 2" xfId="50895"/>
    <cellStyle name="40% - Accent2 5 9 2 4" xfId="33785"/>
    <cellStyle name="40% - Accent2 5 9 3" xfId="8079"/>
    <cellStyle name="40% - Accent2 5 9 3 2" xfId="25126"/>
    <cellStyle name="40% - Accent2 5 9 3 2 2" xfId="53987"/>
    <cellStyle name="40% - Accent2 5 9 3 3" xfId="36940"/>
    <cellStyle name="40% - Accent2 5 9 4" xfId="13596"/>
    <cellStyle name="40% - Accent2 5 9 4 2" xfId="19354"/>
    <cellStyle name="40% - Accent2 5 9 4 2 2" xfId="48215"/>
    <cellStyle name="40% - Accent2 5 9 4 3" xfId="42457"/>
    <cellStyle name="40% - Accent2 5 9 5" xfId="16674"/>
    <cellStyle name="40% - Accent2 5 9 5 2" xfId="45535"/>
    <cellStyle name="40% - Accent2 5 9 6" xfId="30899"/>
    <cellStyle name="40% - Accent2 6" xfId="183"/>
    <cellStyle name="40% - Accent2 6 2" xfId="595"/>
    <cellStyle name="40% - Accent2 6 2 2" xfId="3482"/>
    <cellStyle name="40% - Accent2 6 2 2 2" xfId="9523"/>
    <cellStyle name="40% - Accent2 6 2 2 2 2" xfId="26570"/>
    <cellStyle name="40% - Accent2 6 2 2 2 2 2" xfId="55431"/>
    <cellStyle name="40% - Accent2 6 2 2 2 3" xfId="38384"/>
    <cellStyle name="40% - Accent2 6 2 2 3" xfId="20592"/>
    <cellStyle name="40% - Accent2 6 2 2 3 2" xfId="49453"/>
    <cellStyle name="40% - Accent2 6 2 2 4" xfId="32343"/>
    <cellStyle name="40% - Accent2 6 2 3" xfId="6637"/>
    <cellStyle name="40% - Accent2 6 2 3 2" xfId="23684"/>
    <cellStyle name="40% - Accent2 6 2 3 2 2" xfId="52545"/>
    <cellStyle name="40% - Accent2 6 2 3 3" xfId="35498"/>
    <cellStyle name="40% - Accent2 6 2 4" xfId="13875"/>
    <cellStyle name="40% - Accent2 6 2 4 2" xfId="17912"/>
    <cellStyle name="40% - Accent2 6 2 4 2 2" xfId="46773"/>
    <cellStyle name="40% - Accent2 6 2 4 3" xfId="42736"/>
    <cellStyle name="40% - Accent2 6 2 5" xfId="15232"/>
    <cellStyle name="40% - Accent2 6 2 5 2" xfId="44093"/>
    <cellStyle name="40% - Accent2 6 2 6" xfId="29457"/>
    <cellStyle name="40% - Accent2 6 3" xfId="2140"/>
    <cellStyle name="40% - Accent2 6 3 2" xfId="5027"/>
    <cellStyle name="40% - Accent2 6 3 2 2" xfId="11068"/>
    <cellStyle name="40% - Accent2 6 3 2 2 2" xfId="28115"/>
    <cellStyle name="40% - Accent2 6 3 2 2 2 2" xfId="56976"/>
    <cellStyle name="40% - Accent2 6 3 2 2 3" xfId="39929"/>
    <cellStyle name="40% - Accent2 6 3 2 3" xfId="22137"/>
    <cellStyle name="40% - Accent2 6 3 2 3 2" xfId="50998"/>
    <cellStyle name="40% - Accent2 6 3 2 4" xfId="33888"/>
    <cellStyle name="40% - Accent2 6 3 3" xfId="8182"/>
    <cellStyle name="40% - Accent2 6 3 3 2" xfId="25229"/>
    <cellStyle name="40% - Accent2 6 3 3 2 2" xfId="54090"/>
    <cellStyle name="40% - Accent2 6 3 3 3" xfId="37043"/>
    <cellStyle name="40% - Accent2 6 3 4" xfId="12997"/>
    <cellStyle name="40% - Accent2 6 3 4 2" xfId="19457"/>
    <cellStyle name="40% - Accent2 6 3 4 2 2" xfId="48318"/>
    <cellStyle name="40% - Accent2 6 3 4 3" xfId="41858"/>
    <cellStyle name="40% - Accent2 6 3 5" xfId="16777"/>
    <cellStyle name="40% - Accent2 6 3 5 2" xfId="45638"/>
    <cellStyle name="40% - Accent2 6 3 6" xfId="31002"/>
    <cellStyle name="40% - Accent2 6 4" xfId="3070"/>
    <cellStyle name="40% - Accent2 6 4 2" xfId="9111"/>
    <cellStyle name="40% - Accent2 6 4 2 2" xfId="26158"/>
    <cellStyle name="40% - Accent2 6 4 2 2 2" xfId="55019"/>
    <cellStyle name="40% - Accent2 6 4 2 3" xfId="37972"/>
    <cellStyle name="40% - Accent2 6 4 3" xfId="20180"/>
    <cellStyle name="40% - Accent2 6 4 3 2" xfId="49041"/>
    <cellStyle name="40% - Accent2 6 4 4" xfId="31931"/>
    <cellStyle name="40% - Accent2 6 5" xfId="6225"/>
    <cellStyle name="40% - Accent2 6 5 2" xfId="23272"/>
    <cellStyle name="40% - Accent2 6 5 2 2" xfId="52133"/>
    <cellStyle name="40% - Accent2 6 5 3" xfId="35086"/>
    <cellStyle name="40% - Accent2 6 6" xfId="13975"/>
    <cellStyle name="40% - Accent2 6 6 2" xfId="17603"/>
    <cellStyle name="40% - Accent2 6 6 2 2" xfId="46464"/>
    <cellStyle name="40% - Accent2 6 6 3" xfId="42836"/>
    <cellStyle name="40% - Accent2 6 7" xfId="14820"/>
    <cellStyle name="40% - Accent2 6 7 2" xfId="43681"/>
    <cellStyle name="40% - Accent2 6 8" xfId="29045"/>
    <cellStyle name="40% - Accent2 7" xfId="389"/>
    <cellStyle name="40% - Accent2 7 2" xfId="3276"/>
    <cellStyle name="40% - Accent2 7 2 2" xfId="9317"/>
    <cellStyle name="40% - Accent2 7 2 2 2" xfId="26364"/>
    <cellStyle name="40% - Accent2 7 2 2 2 2" xfId="55225"/>
    <cellStyle name="40% - Accent2 7 2 2 3" xfId="38178"/>
    <cellStyle name="40% - Accent2 7 2 3" xfId="20386"/>
    <cellStyle name="40% - Accent2 7 2 3 2" xfId="49247"/>
    <cellStyle name="40% - Accent2 7 2 4" xfId="32137"/>
    <cellStyle name="40% - Accent2 7 3" xfId="6431"/>
    <cellStyle name="40% - Accent2 7 3 2" xfId="23478"/>
    <cellStyle name="40% - Accent2 7 3 2 2" xfId="52339"/>
    <cellStyle name="40% - Accent2 7 3 3" xfId="35292"/>
    <cellStyle name="40% - Accent2 7 4" xfId="13561"/>
    <cellStyle name="40% - Accent2 7 4 2" xfId="17706"/>
    <cellStyle name="40% - Accent2 7 4 2 2" xfId="46567"/>
    <cellStyle name="40% - Accent2 7 4 3" xfId="42422"/>
    <cellStyle name="40% - Accent2 7 5" xfId="15026"/>
    <cellStyle name="40% - Accent2 7 5 2" xfId="43887"/>
    <cellStyle name="40% - Accent2 7 6" xfId="29251"/>
    <cellStyle name="40% - Accent2 8" xfId="698"/>
    <cellStyle name="40% - Accent2 8 2" xfId="3585"/>
    <cellStyle name="40% - Accent2 8 2 2" xfId="9626"/>
    <cellStyle name="40% - Accent2 8 2 2 2" xfId="26673"/>
    <cellStyle name="40% - Accent2 8 2 2 2 2" xfId="55534"/>
    <cellStyle name="40% - Accent2 8 2 2 3" xfId="38487"/>
    <cellStyle name="40% - Accent2 8 2 3" xfId="20695"/>
    <cellStyle name="40% - Accent2 8 2 3 2" xfId="49556"/>
    <cellStyle name="40% - Accent2 8 2 4" xfId="32446"/>
    <cellStyle name="40% - Accent2 8 3" xfId="6740"/>
    <cellStyle name="40% - Accent2 8 3 2" xfId="23787"/>
    <cellStyle name="40% - Accent2 8 3 2 2" xfId="52648"/>
    <cellStyle name="40% - Accent2 8 3 3" xfId="35601"/>
    <cellStyle name="40% - Accent2 8 4" xfId="14367"/>
    <cellStyle name="40% - Accent2 8 4 2" xfId="18015"/>
    <cellStyle name="40% - Accent2 8 4 2 2" xfId="46876"/>
    <cellStyle name="40% - Accent2 8 4 3" xfId="43228"/>
    <cellStyle name="40% - Accent2 8 5" xfId="15335"/>
    <cellStyle name="40% - Accent2 8 5 2" xfId="44196"/>
    <cellStyle name="40% - Accent2 8 6" xfId="29560"/>
    <cellStyle name="40% - Accent2 9" xfId="904"/>
    <cellStyle name="40% - Accent2 9 2" xfId="3791"/>
    <cellStyle name="40% - Accent2 9 2 2" xfId="9832"/>
    <cellStyle name="40% - Accent2 9 2 2 2" xfId="26879"/>
    <cellStyle name="40% - Accent2 9 2 2 2 2" xfId="55740"/>
    <cellStyle name="40% - Accent2 9 2 2 3" xfId="38693"/>
    <cellStyle name="40% - Accent2 9 2 3" xfId="20901"/>
    <cellStyle name="40% - Accent2 9 2 3 2" xfId="49762"/>
    <cellStyle name="40% - Accent2 9 2 4" xfId="32652"/>
    <cellStyle name="40% - Accent2 9 3" xfId="6946"/>
    <cellStyle name="40% - Accent2 9 3 2" xfId="23993"/>
    <cellStyle name="40% - Accent2 9 3 2 2" xfId="52854"/>
    <cellStyle name="40% - Accent2 9 3 3" xfId="35807"/>
    <cellStyle name="40% - Accent2 9 4" xfId="12308"/>
    <cellStyle name="40% - Accent2 9 4 2" xfId="18221"/>
    <cellStyle name="40% - Accent2 9 4 2 2" xfId="47082"/>
    <cellStyle name="40% - Accent2 9 4 3" xfId="41169"/>
    <cellStyle name="40% - Accent2 9 5" xfId="15541"/>
    <cellStyle name="40% - Accent2 9 5 2" xfId="44402"/>
    <cellStyle name="40% - Accent2 9 6" xfId="29766"/>
    <cellStyle name="40% - Accent3" xfId="75" builtinId="39" customBuiltin="1"/>
    <cellStyle name="40% - Accent3 10" xfId="1112"/>
    <cellStyle name="40% - Accent3 10 2" xfId="3999"/>
    <cellStyle name="40% - Accent3 10 2 2" xfId="10040"/>
    <cellStyle name="40% - Accent3 10 2 2 2" xfId="27087"/>
    <cellStyle name="40% - Accent3 10 2 2 2 2" xfId="55948"/>
    <cellStyle name="40% - Accent3 10 2 2 3" xfId="38901"/>
    <cellStyle name="40% - Accent3 10 2 3" xfId="21109"/>
    <cellStyle name="40% - Accent3 10 2 3 2" xfId="49970"/>
    <cellStyle name="40% - Accent3 10 2 4" xfId="32860"/>
    <cellStyle name="40% - Accent3 10 3" xfId="7154"/>
    <cellStyle name="40% - Accent3 10 3 2" xfId="24201"/>
    <cellStyle name="40% - Accent3 10 3 2 2" xfId="53062"/>
    <cellStyle name="40% - Accent3 10 3 3" xfId="36015"/>
    <cellStyle name="40% - Accent3 10 4" xfId="14118"/>
    <cellStyle name="40% - Accent3 10 4 2" xfId="18429"/>
    <cellStyle name="40% - Accent3 10 4 2 2" xfId="47290"/>
    <cellStyle name="40% - Accent3 10 4 3" xfId="42979"/>
    <cellStyle name="40% - Accent3 10 5" xfId="15749"/>
    <cellStyle name="40% - Accent3 10 5 2" xfId="44610"/>
    <cellStyle name="40% - Accent3 10 6" xfId="29974"/>
    <cellStyle name="40% - Accent3 11" xfId="1318"/>
    <cellStyle name="40% - Accent3 11 2" xfId="4205"/>
    <cellStyle name="40% - Accent3 11 2 2" xfId="10246"/>
    <cellStyle name="40% - Accent3 11 2 2 2" xfId="27293"/>
    <cellStyle name="40% - Accent3 11 2 2 2 2" xfId="56154"/>
    <cellStyle name="40% - Accent3 11 2 2 3" xfId="39107"/>
    <cellStyle name="40% - Accent3 11 2 3" xfId="21315"/>
    <cellStyle name="40% - Accent3 11 2 3 2" xfId="50176"/>
    <cellStyle name="40% - Accent3 11 2 4" xfId="33066"/>
    <cellStyle name="40% - Accent3 11 3" xfId="7360"/>
    <cellStyle name="40% - Accent3 11 3 2" xfId="24407"/>
    <cellStyle name="40% - Accent3 11 3 2 2" xfId="53268"/>
    <cellStyle name="40% - Accent3 11 3 3" xfId="36221"/>
    <cellStyle name="40% - Accent3 11 4" xfId="13794"/>
    <cellStyle name="40% - Accent3 11 4 2" xfId="18635"/>
    <cellStyle name="40% - Accent3 11 4 2 2" xfId="47496"/>
    <cellStyle name="40% - Accent3 11 4 3" xfId="42655"/>
    <cellStyle name="40% - Accent3 11 5" xfId="15955"/>
    <cellStyle name="40% - Accent3 11 5 2" xfId="44816"/>
    <cellStyle name="40% - Accent3 11 6" xfId="30180"/>
    <cellStyle name="40% - Accent3 12" xfId="1524"/>
    <cellStyle name="40% - Accent3 12 2" xfId="4411"/>
    <cellStyle name="40% - Accent3 12 2 2" xfId="10452"/>
    <cellStyle name="40% - Accent3 12 2 2 2" xfId="27499"/>
    <cellStyle name="40% - Accent3 12 2 2 2 2" xfId="56360"/>
    <cellStyle name="40% - Accent3 12 2 2 3" xfId="39313"/>
    <cellStyle name="40% - Accent3 12 2 3" xfId="21521"/>
    <cellStyle name="40% - Accent3 12 2 3 2" xfId="50382"/>
    <cellStyle name="40% - Accent3 12 2 4" xfId="33272"/>
    <cellStyle name="40% - Accent3 12 3" xfId="7566"/>
    <cellStyle name="40% - Accent3 12 3 2" xfId="24613"/>
    <cellStyle name="40% - Accent3 12 3 2 2" xfId="53474"/>
    <cellStyle name="40% - Accent3 12 3 3" xfId="36427"/>
    <cellStyle name="40% - Accent3 12 4" xfId="11930"/>
    <cellStyle name="40% - Accent3 12 4 2" xfId="18841"/>
    <cellStyle name="40% - Accent3 12 4 2 2" xfId="47702"/>
    <cellStyle name="40% - Accent3 12 4 3" xfId="40791"/>
    <cellStyle name="40% - Accent3 12 5" xfId="16161"/>
    <cellStyle name="40% - Accent3 12 5 2" xfId="45022"/>
    <cellStyle name="40% - Accent3 12 6" xfId="30386"/>
    <cellStyle name="40% - Accent3 13" xfId="1730"/>
    <cellStyle name="40% - Accent3 13 2" xfId="4617"/>
    <cellStyle name="40% - Accent3 13 2 2" xfId="10658"/>
    <cellStyle name="40% - Accent3 13 2 2 2" xfId="27705"/>
    <cellStyle name="40% - Accent3 13 2 2 2 2" xfId="56566"/>
    <cellStyle name="40% - Accent3 13 2 2 3" xfId="39519"/>
    <cellStyle name="40% - Accent3 13 2 3" xfId="21727"/>
    <cellStyle name="40% - Accent3 13 2 3 2" xfId="50588"/>
    <cellStyle name="40% - Accent3 13 2 4" xfId="33478"/>
    <cellStyle name="40% - Accent3 13 3" xfId="7772"/>
    <cellStyle name="40% - Accent3 13 3 2" xfId="24819"/>
    <cellStyle name="40% - Accent3 13 3 2 2" xfId="53680"/>
    <cellStyle name="40% - Accent3 13 3 3" xfId="36633"/>
    <cellStyle name="40% - Accent3 13 4" xfId="14033"/>
    <cellStyle name="40% - Accent3 13 4 2" xfId="19047"/>
    <cellStyle name="40% - Accent3 13 4 2 2" xfId="47908"/>
    <cellStyle name="40% - Accent3 13 4 3" xfId="42894"/>
    <cellStyle name="40% - Accent3 13 5" xfId="16367"/>
    <cellStyle name="40% - Accent3 13 5 2" xfId="45228"/>
    <cellStyle name="40% - Accent3 13 6" xfId="30592"/>
    <cellStyle name="40% - Accent3 14" xfId="1936"/>
    <cellStyle name="40% - Accent3 14 2" xfId="4823"/>
    <cellStyle name="40% - Accent3 14 2 2" xfId="10864"/>
    <cellStyle name="40% - Accent3 14 2 2 2" xfId="27911"/>
    <cellStyle name="40% - Accent3 14 2 2 2 2" xfId="56772"/>
    <cellStyle name="40% - Accent3 14 2 2 3" xfId="39725"/>
    <cellStyle name="40% - Accent3 14 2 3" xfId="21933"/>
    <cellStyle name="40% - Accent3 14 2 3 2" xfId="50794"/>
    <cellStyle name="40% - Accent3 14 2 4" xfId="33684"/>
    <cellStyle name="40% - Accent3 14 3" xfId="7978"/>
    <cellStyle name="40% - Accent3 14 3 2" xfId="25025"/>
    <cellStyle name="40% - Accent3 14 3 2 2" xfId="53886"/>
    <cellStyle name="40% - Accent3 14 3 3" xfId="36839"/>
    <cellStyle name="40% - Accent3 14 4" xfId="12956"/>
    <cellStyle name="40% - Accent3 14 4 2" xfId="19253"/>
    <cellStyle name="40% - Accent3 14 4 2 2" xfId="48114"/>
    <cellStyle name="40% - Accent3 14 4 3" xfId="41817"/>
    <cellStyle name="40% - Accent3 14 5" xfId="16573"/>
    <cellStyle name="40% - Accent3 14 5 2" xfId="45434"/>
    <cellStyle name="40% - Accent3 14 6" xfId="30798"/>
    <cellStyle name="40% - Accent3 15" xfId="2348"/>
    <cellStyle name="40% - Accent3 15 2" xfId="5235"/>
    <cellStyle name="40% - Accent3 15 2 2" xfId="11276"/>
    <cellStyle name="40% - Accent3 15 2 2 2" xfId="28323"/>
    <cellStyle name="40% - Accent3 15 2 2 2 2" xfId="57184"/>
    <cellStyle name="40% - Accent3 15 2 2 3" xfId="40137"/>
    <cellStyle name="40% - Accent3 15 2 3" xfId="22345"/>
    <cellStyle name="40% - Accent3 15 2 3 2" xfId="51206"/>
    <cellStyle name="40% - Accent3 15 2 4" xfId="34096"/>
    <cellStyle name="40% - Accent3 15 3" xfId="8390"/>
    <cellStyle name="40% - Accent3 15 3 2" xfId="25437"/>
    <cellStyle name="40% - Accent3 15 3 2 2" xfId="54298"/>
    <cellStyle name="40% - Accent3 15 3 3" xfId="37251"/>
    <cellStyle name="40% - Accent3 15 4" xfId="13299"/>
    <cellStyle name="40% - Accent3 15 4 2" xfId="19665"/>
    <cellStyle name="40% - Accent3 15 4 2 2" xfId="48526"/>
    <cellStyle name="40% - Accent3 15 4 3" xfId="42160"/>
    <cellStyle name="40% - Accent3 15 5" xfId="16985"/>
    <cellStyle name="40% - Accent3 15 5 2" xfId="45846"/>
    <cellStyle name="40% - Accent3 15 6" xfId="31210"/>
    <cellStyle name="40% - Accent3 16" xfId="2557"/>
    <cellStyle name="40% - Accent3 16 2" xfId="5443"/>
    <cellStyle name="40% - Accent3 16 2 2" xfId="11484"/>
    <cellStyle name="40% - Accent3 16 2 2 2" xfId="28531"/>
    <cellStyle name="40% - Accent3 16 2 2 2 2" xfId="57392"/>
    <cellStyle name="40% - Accent3 16 2 2 3" xfId="40345"/>
    <cellStyle name="40% - Accent3 16 2 3" xfId="22553"/>
    <cellStyle name="40% - Accent3 16 2 3 2" xfId="51414"/>
    <cellStyle name="40% - Accent3 16 2 4" xfId="34304"/>
    <cellStyle name="40% - Accent3 16 3" xfId="8598"/>
    <cellStyle name="40% - Accent3 16 3 2" xfId="25645"/>
    <cellStyle name="40% - Accent3 16 3 2 2" xfId="54506"/>
    <cellStyle name="40% - Accent3 16 3 3" xfId="37459"/>
    <cellStyle name="40% - Accent3 16 4" xfId="13822"/>
    <cellStyle name="40% - Accent3 16 4 2" xfId="19873"/>
    <cellStyle name="40% - Accent3 16 4 2 2" xfId="48734"/>
    <cellStyle name="40% - Accent3 16 4 3" xfId="42683"/>
    <cellStyle name="40% - Accent3 16 5" xfId="17193"/>
    <cellStyle name="40% - Accent3 16 5 2" xfId="46054"/>
    <cellStyle name="40% - Accent3 16 6" xfId="31418"/>
    <cellStyle name="40% - Accent3 17" xfId="2969"/>
    <cellStyle name="40% - Accent3 17 2" xfId="9010"/>
    <cellStyle name="40% - Accent3 17 2 2" xfId="26057"/>
    <cellStyle name="40% - Accent3 17 2 2 2" xfId="54918"/>
    <cellStyle name="40% - Accent3 17 2 3" xfId="37871"/>
    <cellStyle name="40% - Accent3 17 3" xfId="12994"/>
    <cellStyle name="40% - Accent3 17 3 2" xfId="20079"/>
    <cellStyle name="40% - Accent3 17 3 2 2" xfId="48940"/>
    <cellStyle name="40% - Accent3 17 3 3" xfId="41855"/>
    <cellStyle name="40% - Accent3 17 4" xfId="14719"/>
    <cellStyle name="40% - Accent3 17 4 2" xfId="43580"/>
    <cellStyle name="40% - Accent3 17 5" xfId="31830"/>
    <cellStyle name="40% - Accent3 18" xfId="2763"/>
    <cellStyle name="40% - Accent3 18 2" xfId="8804"/>
    <cellStyle name="40% - Accent3 18 2 2" xfId="25851"/>
    <cellStyle name="40% - Accent3 18 2 2 2" xfId="54712"/>
    <cellStyle name="40% - Accent3 18 2 3" xfId="37665"/>
    <cellStyle name="40% - Accent3 18 3" xfId="17399"/>
    <cellStyle name="40% - Accent3 18 3 2" xfId="46260"/>
    <cellStyle name="40% - Accent3 18 4" xfId="31624"/>
    <cellStyle name="40% - Accent3 19" xfId="5649"/>
    <cellStyle name="40% - Accent3 19 2" xfId="11690"/>
    <cellStyle name="40% - Accent3 19 2 2" xfId="28737"/>
    <cellStyle name="40% - Accent3 19 2 2 2" xfId="57598"/>
    <cellStyle name="40% - Accent3 19 2 3" xfId="40551"/>
    <cellStyle name="40% - Accent3 19 3" xfId="22759"/>
    <cellStyle name="40% - Accent3 19 3 2" xfId="51620"/>
    <cellStyle name="40% - Accent3 19 4" xfId="34510"/>
    <cellStyle name="40% - Accent3 2" xfId="96"/>
    <cellStyle name="40% - Accent3 2 10" xfId="1332"/>
    <cellStyle name="40% - Accent3 2 10 2" xfId="4219"/>
    <cellStyle name="40% - Accent3 2 10 2 2" xfId="10260"/>
    <cellStyle name="40% - Accent3 2 10 2 2 2" xfId="27307"/>
    <cellStyle name="40% - Accent3 2 10 2 2 2 2" xfId="56168"/>
    <cellStyle name="40% - Accent3 2 10 2 2 3" xfId="39121"/>
    <cellStyle name="40% - Accent3 2 10 2 3" xfId="21329"/>
    <cellStyle name="40% - Accent3 2 10 2 3 2" xfId="50190"/>
    <cellStyle name="40% - Accent3 2 10 2 4" xfId="33080"/>
    <cellStyle name="40% - Accent3 2 10 3" xfId="7374"/>
    <cellStyle name="40% - Accent3 2 10 3 2" xfId="24421"/>
    <cellStyle name="40% - Accent3 2 10 3 2 2" xfId="53282"/>
    <cellStyle name="40% - Accent3 2 10 3 3" xfId="36235"/>
    <cellStyle name="40% - Accent3 2 10 4" xfId="12177"/>
    <cellStyle name="40% - Accent3 2 10 4 2" xfId="18649"/>
    <cellStyle name="40% - Accent3 2 10 4 2 2" xfId="47510"/>
    <cellStyle name="40% - Accent3 2 10 4 3" xfId="41038"/>
    <cellStyle name="40% - Accent3 2 10 5" xfId="15969"/>
    <cellStyle name="40% - Accent3 2 10 5 2" xfId="44830"/>
    <cellStyle name="40% - Accent3 2 10 6" xfId="30194"/>
    <cellStyle name="40% - Accent3 2 11" xfId="1538"/>
    <cellStyle name="40% - Accent3 2 11 2" xfId="4425"/>
    <cellStyle name="40% - Accent3 2 11 2 2" xfId="10466"/>
    <cellStyle name="40% - Accent3 2 11 2 2 2" xfId="27513"/>
    <cellStyle name="40% - Accent3 2 11 2 2 2 2" xfId="56374"/>
    <cellStyle name="40% - Accent3 2 11 2 2 3" xfId="39327"/>
    <cellStyle name="40% - Accent3 2 11 2 3" xfId="21535"/>
    <cellStyle name="40% - Accent3 2 11 2 3 2" xfId="50396"/>
    <cellStyle name="40% - Accent3 2 11 2 4" xfId="33286"/>
    <cellStyle name="40% - Accent3 2 11 3" xfId="7580"/>
    <cellStyle name="40% - Accent3 2 11 3 2" xfId="24627"/>
    <cellStyle name="40% - Accent3 2 11 3 2 2" xfId="53488"/>
    <cellStyle name="40% - Accent3 2 11 3 3" xfId="36441"/>
    <cellStyle name="40% - Accent3 2 11 4" xfId="12250"/>
    <cellStyle name="40% - Accent3 2 11 4 2" xfId="18855"/>
    <cellStyle name="40% - Accent3 2 11 4 2 2" xfId="47716"/>
    <cellStyle name="40% - Accent3 2 11 4 3" xfId="41111"/>
    <cellStyle name="40% - Accent3 2 11 5" xfId="16175"/>
    <cellStyle name="40% - Accent3 2 11 5 2" xfId="45036"/>
    <cellStyle name="40% - Accent3 2 11 6" xfId="30400"/>
    <cellStyle name="40% - Accent3 2 12" xfId="1744"/>
    <cellStyle name="40% - Accent3 2 12 2" xfId="4631"/>
    <cellStyle name="40% - Accent3 2 12 2 2" xfId="10672"/>
    <cellStyle name="40% - Accent3 2 12 2 2 2" xfId="27719"/>
    <cellStyle name="40% - Accent3 2 12 2 2 2 2" xfId="56580"/>
    <cellStyle name="40% - Accent3 2 12 2 2 3" xfId="39533"/>
    <cellStyle name="40% - Accent3 2 12 2 3" xfId="21741"/>
    <cellStyle name="40% - Accent3 2 12 2 3 2" xfId="50602"/>
    <cellStyle name="40% - Accent3 2 12 2 4" xfId="33492"/>
    <cellStyle name="40% - Accent3 2 12 3" xfId="7786"/>
    <cellStyle name="40% - Accent3 2 12 3 2" xfId="24833"/>
    <cellStyle name="40% - Accent3 2 12 3 2 2" xfId="53694"/>
    <cellStyle name="40% - Accent3 2 12 3 3" xfId="36647"/>
    <cellStyle name="40% - Accent3 2 12 4" xfId="12937"/>
    <cellStyle name="40% - Accent3 2 12 4 2" xfId="19061"/>
    <cellStyle name="40% - Accent3 2 12 4 2 2" xfId="47922"/>
    <cellStyle name="40% - Accent3 2 12 4 3" xfId="41798"/>
    <cellStyle name="40% - Accent3 2 12 5" xfId="16381"/>
    <cellStyle name="40% - Accent3 2 12 5 2" xfId="45242"/>
    <cellStyle name="40% - Accent3 2 12 6" xfId="30606"/>
    <cellStyle name="40% - Accent3 2 13" xfId="1950"/>
    <cellStyle name="40% - Accent3 2 13 2" xfId="4837"/>
    <cellStyle name="40% - Accent3 2 13 2 2" xfId="10878"/>
    <cellStyle name="40% - Accent3 2 13 2 2 2" xfId="27925"/>
    <cellStyle name="40% - Accent3 2 13 2 2 2 2" xfId="56786"/>
    <cellStyle name="40% - Accent3 2 13 2 2 3" xfId="39739"/>
    <cellStyle name="40% - Accent3 2 13 2 3" xfId="21947"/>
    <cellStyle name="40% - Accent3 2 13 2 3 2" xfId="50808"/>
    <cellStyle name="40% - Accent3 2 13 2 4" xfId="33698"/>
    <cellStyle name="40% - Accent3 2 13 3" xfId="7992"/>
    <cellStyle name="40% - Accent3 2 13 3 2" xfId="25039"/>
    <cellStyle name="40% - Accent3 2 13 3 2 2" xfId="53900"/>
    <cellStyle name="40% - Accent3 2 13 3 3" xfId="36853"/>
    <cellStyle name="40% - Accent3 2 13 4" xfId="13583"/>
    <cellStyle name="40% - Accent3 2 13 4 2" xfId="19267"/>
    <cellStyle name="40% - Accent3 2 13 4 2 2" xfId="48128"/>
    <cellStyle name="40% - Accent3 2 13 4 3" xfId="42444"/>
    <cellStyle name="40% - Accent3 2 13 5" xfId="16587"/>
    <cellStyle name="40% - Accent3 2 13 5 2" xfId="45448"/>
    <cellStyle name="40% - Accent3 2 13 6" xfId="30812"/>
    <cellStyle name="40% - Accent3 2 14" xfId="2362"/>
    <cellStyle name="40% - Accent3 2 14 2" xfId="5249"/>
    <cellStyle name="40% - Accent3 2 14 2 2" xfId="11290"/>
    <cellStyle name="40% - Accent3 2 14 2 2 2" xfId="28337"/>
    <cellStyle name="40% - Accent3 2 14 2 2 2 2" xfId="57198"/>
    <cellStyle name="40% - Accent3 2 14 2 2 3" xfId="40151"/>
    <cellStyle name="40% - Accent3 2 14 2 3" xfId="22359"/>
    <cellStyle name="40% - Accent3 2 14 2 3 2" xfId="51220"/>
    <cellStyle name="40% - Accent3 2 14 2 4" xfId="34110"/>
    <cellStyle name="40% - Accent3 2 14 3" xfId="8404"/>
    <cellStyle name="40% - Accent3 2 14 3 2" xfId="25451"/>
    <cellStyle name="40% - Accent3 2 14 3 2 2" xfId="54312"/>
    <cellStyle name="40% - Accent3 2 14 3 3" xfId="37265"/>
    <cellStyle name="40% - Accent3 2 14 4" xfId="13282"/>
    <cellStyle name="40% - Accent3 2 14 4 2" xfId="19679"/>
    <cellStyle name="40% - Accent3 2 14 4 2 2" xfId="48540"/>
    <cellStyle name="40% - Accent3 2 14 4 3" xfId="42143"/>
    <cellStyle name="40% - Accent3 2 14 5" xfId="16999"/>
    <cellStyle name="40% - Accent3 2 14 5 2" xfId="45860"/>
    <cellStyle name="40% - Accent3 2 14 6" xfId="31224"/>
    <cellStyle name="40% - Accent3 2 15" xfId="2571"/>
    <cellStyle name="40% - Accent3 2 15 2" xfId="5457"/>
    <cellStyle name="40% - Accent3 2 15 2 2" xfId="11498"/>
    <cellStyle name="40% - Accent3 2 15 2 2 2" xfId="28545"/>
    <cellStyle name="40% - Accent3 2 15 2 2 2 2" xfId="57406"/>
    <cellStyle name="40% - Accent3 2 15 2 2 3" xfId="40359"/>
    <cellStyle name="40% - Accent3 2 15 2 3" xfId="22567"/>
    <cellStyle name="40% - Accent3 2 15 2 3 2" xfId="51428"/>
    <cellStyle name="40% - Accent3 2 15 2 4" xfId="34318"/>
    <cellStyle name="40% - Accent3 2 15 3" xfId="8612"/>
    <cellStyle name="40% - Accent3 2 15 3 2" xfId="25659"/>
    <cellStyle name="40% - Accent3 2 15 3 2 2" xfId="54520"/>
    <cellStyle name="40% - Accent3 2 15 3 3" xfId="37473"/>
    <cellStyle name="40% - Accent3 2 15 4" xfId="13217"/>
    <cellStyle name="40% - Accent3 2 15 4 2" xfId="19887"/>
    <cellStyle name="40% - Accent3 2 15 4 2 2" xfId="48748"/>
    <cellStyle name="40% - Accent3 2 15 4 3" xfId="42078"/>
    <cellStyle name="40% - Accent3 2 15 5" xfId="17207"/>
    <cellStyle name="40% - Accent3 2 15 5 2" xfId="46068"/>
    <cellStyle name="40% - Accent3 2 15 6" xfId="31432"/>
    <cellStyle name="40% - Accent3 2 16" xfId="2983"/>
    <cellStyle name="40% - Accent3 2 16 2" xfId="9024"/>
    <cellStyle name="40% - Accent3 2 16 2 2" xfId="26071"/>
    <cellStyle name="40% - Accent3 2 16 2 2 2" xfId="54932"/>
    <cellStyle name="40% - Accent3 2 16 2 3" xfId="37885"/>
    <cellStyle name="40% - Accent3 2 16 3" xfId="12649"/>
    <cellStyle name="40% - Accent3 2 16 3 2" xfId="20093"/>
    <cellStyle name="40% - Accent3 2 16 3 2 2" xfId="48954"/>
    <cellStyle name="40% - Accent3 2 16 3 3" xfId="41510"/>
    <cellStyle name="40% - Accent3 2 16 4" xfId="14733"/>
    <cellStyle name="40% - Accent3 2 16 4 2" xfId="43594"/>
    <cellStyle name="40% - Accent3 2 16 5" xfId="31844"/>
    <cellStyle name="40% - Accent3 2 17" xfId="2777"/>
    <cellStyle name="40% - Accent3 2 17 2" xfId="8818"/>
    <cellStyle name="40% - Accent3 2 17 2 2" xfId="25865"/>
    <cellStyle name="40% - Accent3 2 17 2 2 2" xfId="54726"/>
    <cellStyle name="40% - Accent3 2 17 2 3" xfId="37679"/>
    <cellStyle name="40% - Accent3 2 17 3" xfId="17413"/>
    <cellStyle name="40% - Accent3 2 17 3 2" xfId="46274"/>
    <cellStyle name="40% - Accent3 2 17 4" xfId="31638"/>
    <cellStyle name="40% - Accent3 2 18" xfId="5663"/>
    <cellStyle name="40% - Accent3 2 18 2" xfId="11704"/>
    <cellStyle name="40% - Accent3 2 18 2 2" xfId="28751"/>
    <cellStyle name="40% - Accent3 2 18 2 2 2" xfId="57612"/>
    <cellStyle name="40% - Accent3 2 18 2 3" xfId="40565"/>
    <cellStyle name="40% - Accent3 2 18 3" xfId="22773"/>
    <cellStyle name="40% - Accent3 2 18 3 2" xfId="51634"/>
    <cellStyle name="40% - Accent3 2 18 4" xfId="34524"/>
    <cellStyle name="40% - Accent3 2 19" xfId="5880"/>
    <cellStyle name="40% - Accent3 2 19 2" xfId="22979"/>
    <cellStyle name="40% - Accent3 2 19 2 2" xfId="51840"/>
    <cellStyle name="40% - Accent3 2 19 3" xfId="34741"/>
    <cellStyle name="40% - Accent3 2 2" xfId="122"/>
    <cellStyle name="40% - Accent3 2 2 10" xfId="1770"/>
    <cellStyle name="40% - Accent3 2 2 10 2" xfId="4657"/>
    <cellStyle name="40% - Accent3 2 2 10 2 2" xfId="10698"/>
    <cellStyle name="40% - Accent3 2 2 10 2 2 2" xfId="27745"/>
    <cellStyle name="40% - Accent3 2 2 10 2 2 2 2" xfId="56606"/>
    <cellStyle name="40% - Accent3 2 2 10 2 2 3" xfId="39559"/>
    <cellStyle name="40% - Accent3 2 2 10 2 3" xfId="21767"/>
    <cellStyle name="40% - Accent3 2 2 10 2 3 2" xfId="50628"/>
    <cellStyle name="40% - Accent3 2 2 10 2 4" xfId="33518"/>
    <cellStyle name="40% - Accent3 2 2 10 3" xfId="7812"/>
    <cellStyle name="40% - Accent3 2 2 10 3 2" xfId="24859"/>
    <cellStyle name="40% - Accent3 2 2 10 3 2 2" xfId="53720"/>
    <cellStyle name="40% - Accent3 2 2 10 3 3" xfId="36673"/>
    <cellStyle name="40% - Accent3 2 2 10 4" xfId="12450"/>
    <cellStyle name="40% - Accent3 2 2 10 4 2" xfId="19087"/>
    <cellStyle name="40% - Accent3 2 2 10 4 2 2" xfId="47948"/>
    <cellStyle name="40% - Accent3 2 2 10 4 3" xfId="41311"/>
    <cellStyle name="40% - Accent3 2 2 10 5" xfId="16407"/>
    <cellStyle name="40% - Accent3 2 2 10 5 2" xfId="45268"/>
    <cellStyle name="40% - Accent3 2 2 10 6" xfId="30632"/>
    <cellStyle name="40% - Accent3 2 2 11" xfId="1976"/>
    <cellStyle name="40% - Accent3 2 2 11 2" xfId="4863"/>
    <cellStyle name="40% - Accent3 2 2 11 2 2" xfId="10904"/>
    <cellStyle name="40% - Accent3 2 2 11 2 2 2" xfId="27951"/>
    <cellStyle name="40% - Accent3 2 2 11 2 2 2 2" xfId="56812"/>
    <cellStyle name="40% - Accent3 2 2 11 2 2 3" xfId="39765"/>
    <cellStyle name="40% - Accent3 2 2 11 2 3" xfId="21973"/>
    <cellStyle name="40% - Accent3 2 2 11 2 3 2" xfId="50834"/>
    <cellStyle name="40% - Accent3 2 2 11 2 4" xfId="33724"/>
    <cellStyle name="40% - Accent3 2 2 11 3" xfId="8018"/>
    <cellStyle name="40% - Accent3 2 2 11 3 2" xfId="25065"/>
    <cellStyle name="40% - Accent3 2 2 11 3 2 2" xfId="53926"/>
    <cellStyle name="40% - Accent3 2 2 11 3 3" xfId="36879"/>
    <cellStyle name="40% - Accent3 2 2 11 4" xfId="12962"/>
    <cellStyle name="40% - Accent3 2 2 11 4 2" xfId="19293"/>
    <cellStyle name="40% - Accent3 2 2 11 4 2 2" xfId="48154"/>
    <cellStyle name="40% - Accent3 2 2 11 4 3" xfId="41823"/>
    <cellStyle name="40% - Accent3 2 2 11 5" xfId="16613"/>
    <cellStyle name="40% - Accent3 2 2 11 5 2" xfId="45474"/>
    <cellStyle name="40% - Accent3 2 2 11 6" xfId="30838"/>
    <cellStyle name="40% - Accent3 2 2 12" xfId="2388"/>
    <cellStyle name="40% - Accent3 2 2 12 2" xfId="5275"/>
    <cellStyle name="40% - Accent3 2 2 12 2 2" xfId="11316"/>
    <cellStyle name="40% - Accent3 2 2 12 2 2 2" xfId="28363"/>
    <cellStyle name="40% - Accent3 2 2 12 2 2 2 2" xfId="57224"/>
    <cellStyle name="40% - Accent3 2 2 12 2 2 3" xfId="40177"/>
    <cellStyle name="40% - Accent3 2 2 12 2 3" xfId="22385"/>
    <cellStyle name="40% - Accent3 2 2 12 2 3 2" xfId="51246"/>
    <cellStyle name="40% - Accent3 2 2 12 2 4" xfId="34136"/>
    <cellStyle name="40% - Accent3 2 2 12 3" xfId="8430"/>
    <cellStyle name="40% - Accent3 2 2 12 3 2" xfId="25477"/>
    <cellStyle name="40% - Accent3 2 2 12 3 2 2" xfId="54338"/>
    <cellStyle name="40% - Accent3 2 2 12 3 3" xfId="37291"/>
    <cellStyle name="40% - Accent3 2 2 12 4" xfId="12494"/>
    <cellStyle name="40% - Accent3 2 2 12 4 2" xfId="19705"/>
    <cellStyle name="40% - Accent3 2 2 12 4 2 2" xfId="48566"/>
    <cellStyle name="40% - Accent3 2 2 12 4 3" xfId="41355"/>
    <cellStyle name="40% - Accent3 2 2 12 5" xfId="17025"/>
    <cellStyle name="40% - Accent3 2 2 12 5 2" xfId="45886"/>
    <cellStyle name="40% - Accent3 2 2 12 6" xfId="31250"/>
    <cellStyle name="40% - Accent3 2 2 13" xfId="2597"/>
    <cellStyle name="40% - Accent3 2 2 13 2" xfId="5483"/>
    <cellStyle name="40% - Accent3 2 2 13 2 2" xfId="11524"/>
    <cellStyle name="40% - Accent3 2 2 13 2 2 2" xfId="28571"/>
    <cellStyle name="40% - Accent3 2 2 13 2 2 2 2" xfId="57432"/>
    <cellStyle name="40% - Accent3 2 2 13 2 2 3" xfId="40385"/>
    <cellStyle name="40% - Accent3 2 2 13 2 3" xfId="22593"/>
    <cellStyle name="40% - Accent3 2 2 13 2 3 2" xfId="51454"/>
    <cellStyle name="40% - Accent3 2 2 13 2 4" xfId="34344"/>
    <cellStyle name="40% - Accent3 2 2 13 3" xfId="8638"/>
    <cellStyle name="40% - Accent3 2 2 13 3 2" xfId="25685"/>
    <cellStyle name="40% - Accent3 2 2 13 3 2 2" xfId="54546"/>
    <cellStyle name="40% - Accent3 2 2 13 3 3" xfId="37499"/>
    <cellStyle name="40% - Accent3 2 2 13 4" xfId="13445"/>
    <cellStyle name="40% - Accent3 2 2 13 4 2" xfId="19913"/>
    <cellStyle name="40% - Accent3 2 2 13 4 2 2" xfId="48774"/>
    <cellStyle name="40% - Accent3 2 2 13 4 3" xfId="42306"/>
    <cellStyle name="40% - Accent3 2 2 13 5" xfId="17233"/>
    <cellStyle name="40% - Accent3 2 2 13 5 2" xfId="46094"/>
    <cellStyle name="40% - Accent3 2 2 13 6" xfId="31458"/>
    <cellStyle name="40% - Accent3 2 2 14" xfId="3009"/>
    <cellStyle name="40% - Accent3 2 2 14 2" xfId="9050"/>
    <cellStyle name="40% - Accent3 2 2 14 2 2" xfId="26097"/>
    <cellStyle name="40% - Accent3 2 2 14 2 2 2" xfId="54958"/>
    <cellStyle name="40% - Accent3 2 2 14 2 3" xfId="37911"/>
    <cellStyle name="40% - Accent3 2 2 14 3" xfId="12618"/>
    <cellStyle name="40% - Accent3 2 2 14 3 2" xfId="20119"/>
    <cellStyle name="40% - Accent3 2 2 14 3 2 2" xfId="48980"/>
    <cellStyle name="40% - Accent3 2 2 14 3 3" xfId="41479"/>
    <cellStyle name="40% - Accent3 2 2 14 4" xfId="14759"/>
    <cellStyle name="40% - Accent3 2 2 14 4 2" xfId="43620"/>
    <cellStyle name="40% - Accent3 2 2 14 5" xfId="31870"/>
    <cellStyle name="40% - Accent3 2 2 15" xfId="2803"/>
    <cellStyle name="40% - Accent3 2 2 15 2" xfId="8844"/>
    <cellStyle name="40% - Accent3 2 2 15 2 2" xfId="25891"/>
    <cellStyle name="40% - Accent3 2 2 15 2 2 2" xfId="54752"/>
    <cellStyle name="40% - Accent3 2 2 15 2 3" xfId="37705"/>
    <cellStyle name="40% - Accent3 2 2 15 3" xfId="17439"/>
    <cellStyle name="40% - Accent3 2 2 15 3 2" xfId="46300"/>
    <cellStyle name="40% - Accent3 2 2 15 4" xfId="31664"/>
    <cellStyle name="40% - Accent3 2 2 16" xfId="5689"/>
    <cellStyle name="40% - Accent3 2 2 16 2" xfId="11730"/>
    <cellStyle name="40% - Accent3 2 2 16 2 2" xfId="28777"/>
    <cellStyle name="40% - Accent3 2 2 16 2 2 2" xfId="57638"/>
    <cellStyle name="40% - Accent3 2 2 16 2 3" xfId="40591"/>
    <cellStyle name="40% - Accent3 2 2 16 3" xfId="22799"/>
    <cellStyle name="40% - Accent3 2 2 16 3 2" xfId="51660"/>
    <cellStyle name="40% - Accent3 2 2 16 4" xfId="34550"/>
    <cellStyle name="40% - Accent3 2 2 17" xfId="5906"/>
    <cellStyle name="40% - Accent3 2 2 17 2" xfId="23005"/>
    <cellStyle name="40% - Accent3 2 2 17 2 2" xfId="51866"/>
    <cellStyle name="40% - Accent3 2 2 17 3" xfId="34767"/>
    <cellStyle name="40% - Accent3 2 2 18" xfId="6164"/>
    <cellStyle name="40% - Accent3 2 2 18 2" xfId="23211"/>
    <cellStyle name="40% - Accent3 2 2 18 2 2" xfId="52072"/>
    <cellStyle name="40% - Accent3 2 2 18 3" xfId="35025"/>
    <cellStyle name="40% - Accent3 2 2 19" xfId="14553"/>
    <cellStyle name="40% - Accent3 2 2 19 2" xfId="43414"/>
    <cellStyle name="40% - Accent3 2 2 2" xfId="328"/>
    <cellStyle name="40% - Accent3 2 2 2 10" xfId="2491"/>
    <cellStyle name="40% - Accent3 2 2 2 10 2" xfId="5378"/>
    <cellStyle name="40% - Accent3 2 2 2 10 2 2" xfId="11419"/>
    <cellStyle name="40% - Accent3 2 2 2 10 2 2 2" xfId="28466"/>
    <cellStyle name="40% - Accent3 2 2 2 10 2 2 2 2" xfId="57327"/>
    <cellStyle name="40% - Accent3 2 2 2 10 2 2 3" xfId="40280"/>
    <cellStyle name="40% - Accent3 2 2 2 10 2 3" xfId="22488"/>
    <cellStyle name="40% - Accent3 2 2 2 10 2 3 2" xfId="51349"/>
    <cellStyle name="40% - Accent3 2 2 2 10 2 4" xfId="34239"/>
    <cellStyle name="40% - Accent3 2 2 2 10 3" xfId="8533"/>
    <cellStyle name="40% - Accent3 2 2 2 10 3 2" xfId="25580"/>
    <cellStyle name="40% - Accent3 2 2 2 10 3 2 2" xfId="54441"/>
    <cellStyle name="40% - Accent3 2 2 2 10 3 3" xfId="37394"/>
    <cellStyle name="40% - Accent3 2 2 2 10 4" xfId="12274"/>
    <cellStyle name="40% - Accent3 2 2 2 10 4 2" xfId="19808"/>
    <cellStyle name="40% - Accent3 2 2 2 10 4 2 2" xfId="48669"/>
    <cellStyle name="40% - Accent3 2 2 2 10 4 3" xfId="41135"/>
    <cellStyle name="40% - Accent3 2 2 2 10 5" xfId="17128"/>
    <cellStyle name="40% - Accent3 2 2 2 10 5 2" xfId="45989"/>
    <cellStyle name="40% - Accent3 2 2 2 10 6" xfId="31353"/>
    <cellStyle name="40% - Accent3 2 2 2 11" xfId="2700"/>
    <cellStyle name="40% - Accent3 2 2 2 11 2" xfId="5586"/>
    <cellStyle name="40% - Accent3 2 2 2 11 2 2" xfId="11627"/>
    <cellStyle name="40% - Accent3 2 2 2 11 2 2 2" xfId="28674"/>
    <cellStyle name="40% - Accent3 2 2 2 11 2 2 2 2" xfId="57535"/>
    <cellStyle name="40% - Accent3 2 2 2 11 2 2 3" xfId="40488"/>
    <cellStyle name="40% - Accent3 2 2 2 11 2 3" xfId="22696"/>
    <cellStyle name="40% - Accent3 2 2 2 11 2 3 2" xfId="51557"/>
    <cellStyle name="40% - Accent3 2 2 2 11 2 4" xfId="34447"/>
    <cellStyle name="40% - Accent3 2 2 2 11 3" xfId="8741"/>
    <cellStyle name="40% - Accent3 2 2 2 11 3 2" xfId="25788"/>
    <cellStyle name="40% - Accent3 2 2 2 11 3 2 2" xfId="54649"/>
    <cellStyle name="40% - Accent3 2 2 2 11 3 3" xfId="37602"/>
    <cellStyle name="40% - Accent3 2 2 2 11 4" xfId="13078"/>
    <cellStyle name="40% - Accent3 2 2 2 11 4 2" xfId="20016"/>
    <cellStyle name="40% - Accent3 2 2 2 11 4 2 2" xfId="48877"/>
    <cellStyle name="40% - Accent3 2 2 2 11 4 3" xfId="41939"/>
    <cellStyle name="40% - Accent3 2 2 2 11 5" xfId="17336"/>
    <cellStyle name="40% - Accent3 2 2 2 11 5 2" xfId="46197"/>
    <cellStyle name="40% - Accent3 2 2 2 11 6" xfId="31561"/>
    <cellStyle name="40% - Accent3 2 2 2 12" xfId="3215"/>
    <cellStyle name="40% - Accent3 2 2 2 12 2" xfId="9256"/>
    <cellStyle name="40% - Accent3 2 2 2 12 2 2" xfId="26303"/>
    <cellStyle name="40% - Accent3 2 2 2 12 2 2 2" xfId="55164"/>
    <cellStyle name="40% - Accent3 2 2 2 12 2 3" xfId="38117"/>
    <cellStyle name="40% - Accent3 2 2 2 12 3" xfId="13410"/>
    <cellStyle name="40% - Accent3 2 2 2 12 3 2" xfId="20325"/>
    <cellStyle name="40% - Accent3 2 2 2 12 3 2 2" xfId="49186"/>
    <cellStyle name="40% - Accent3 2 2 2 12 3 3" xfId="42271"/>
    <cellStyle name="40% - Accent3 2 2 2 12 4" xfId="14965"/>
    <cellStyle name="40% - Accent3 2 2 2 12 4 2" xfId="43826"/>
    <cellStyle name="40% - Accent3 2 2 2 12 5" xfId="32076"/>
    <cellStyle name="40% - Accent3 2 2 2 13" xfId="2906"/>
    <cellStyle name="40% - Accent3 2 2 2 13 2" xfId="8947"/>
    <cellStyle name="40% - Accent3 2 2 2 13 2 2" xfId="25994"/>
    <cellStyle name="40% - Accent3 2 2 2 13 2 2 2" xfId="54855"/>
    <cellStyle name="40% - Accent3 2 2 2 13 2 3" xfId="37808"/>
    <cellStyle name="40% - Accent3 2 2 2 13 3" xfId="17542"/>
    <cellStyle name="40% - Accent3 2 2 2 13 3 2" xfId="46403"/>
    <cellStyle name="40% - Accent3 2 2 2 13 4" xfId="31767"/>
    <cellStyle name="40% - Accent3 2 2 2 14" xfId="5792"/>
    <cellStyle name="40% - Accent3 2 2 2 14 2" xfId="11833"/>
    <cellStyle name="40% - Accent3 2 2 2 14 2 2" xfId="28880"/>
    <cellStyle name="40% - Accent3 2 2 2 14 2 2 2" xfId="57741"/>
    <cellStyle name="40% - Accent3 2 2 2 14 2 3" xfId="40694"/>
    <cellStyle name="40% - Accent3 2 2 2 14 3" xfId="22902"/>
    <cellStyle name="40% - Accent3 2 2 2 14 3 2" xfId="51763"/>
    <cellStyle name="40% - Accent3 2 2 2 14 4" xfId="34653"/>
    <cellStyle name="40% - Accent3 2 2 2 15" xfId="6009"/>
    <cellStyle name="40% - Accent3 2 2 2 15 2" xfId="23108"/>
    <cellStyle name="40% - Accent3 2 2 2 15 2 2" xfId="51969"/>
    <cellStyle name="40% - Accent3 2 2 2 15 3" xfId="34870"/>
    <cellStyle name="40% - Accent3 2 2 2 16" xfId="6370"/>
    <cellStyle name="40% - Accent3 2 2 2 16 2" xfId="23417"/>
    <cellStyle name="40% - Accent3 2 2 2 16 2 2" xfId="52278"/>
    <cellStyle name="40% - Accent3 2 2 2 16 3" xfId="35231"/>
    <cellStyle name="40% - Accent3 2 2 2 17" xfId="14656"/>
    <cellStyle name="40% - Accent3 2 2 2 17 2" xfId="43517"/>
    <cellStyle name="40% - Accent3 2 2 2 18" xfId="29190"/>
    <cellStyle name="40% - Accent3 2 2 2 2" xfId="534"/>
    <cellStyle name="40% - Accent3 2 2 2 2 2" xfId="2285"/>
    <cellStyle name="40% - Accent3 2 2 2 2 2 2" xfId="5172"/>
    <cellStyle name="40% - Accent3 2 2 2 2 2 2 2" xfId="11213"/>
    <cellStyle name="40% - Accent3 2 2 2 2 2 2 2 2" xfId="28260"/>
    <cellStyle name="40% - Accent3 2 2 2 2 2 2 2 2 2" xfId="57121"/>
    <cellStyle name="40% - Accent3 2 2 2 2 2 2 2 3" xfId="40074"/>
    <cellStyle name="40% - Accent3 2 2 2 2 2 2 3" xfId="22282"/>
    <cellStyle name="40% - Accent3 2 2 2 2 2 2 3 2" xfId="51143"/>
    <cellStyle name="40% - Accent3 2 2 2 2 2 2 4" xfId="34033"/>
    <cellStyle name="40% - Accent3 2 2 2 2 2 3" xfId="8327"/>
    <cellStyle name="40% - Accent3 2 2 2 2 2 3 2" xfId="25374"/>
    <cellStyle name="40% - Accent3 2 2 2 2 2 3 2 2" xfId="54235"/>
    <cellStyle name="40% - Accent3 2 2 2 2 2 3 3" xfId="37188"/>
    <cellStyle name="40% - Accent3 2 2 2 2 2 4" xfId="14280"/>
    <cellStyle name="40% - Accent3 2 2 2 2 2 4 2" xfId="19602"/>
    <cellStyle name="40% - Accent3 2 2 2 2 2 4 2 2" xfId="48463"/>
    <cellStyle name="40% - Accent3 2 2 2 2 2 4 3" xfId="43141"/>
    <cellStyle name="40% - Accent3 2 2 2 2 2 5" xfId="16922"/>
    <cellStyle name="40% - Accent3 2 2 2 2 2 5 2" xfId="45783"/>
    <cellStyle name="40% - Accent3 2 2 2 2 2 6" xfId="31147"/>
    <cellStyle name="40% - Accent3 2 2 2 2 3" xfId="3421"/>
    <cellStyle name="40% - Accent3 2 2 2 2 3 2" xfId="9462"/>
    <cellStyle name="40% - Accent3 2 2 2 2 3 2 2" xfId="26509"/>
    <cellStyle name="40% - Accent3 2 2 2 2 3 2 2 2" xfId="55370"/>
    <cellStyle name="40% - Accent3 2 2 2 2 3 2 3" xfId="38323"/>
    <cellStyle name="40% - Accent3 2 2 2 2 3 3" xfId="20531"/>
    <cellStyle name="40% - Accent3 2 2 2 2 3 3 2" xfId="49392"/>
    <cellStyle name="40% - Accent3 2 2 2 2 3 4" xfId="32282"/>
    <cellStyle name="40% - Accent3 2 2 2 2 4" xfId="6576"/>
    <cellStyle name="40% - Accent3 2 2 2 2 4 2" xfId="23623"/>
    <cellStyle name="40% - Accent3 2 2 2 2 4 2 2" xfId="52484"/>
    <cellStyle name="40% - Accent3 2 2 2 2 4 3" xfId="35437"/>
    <cellStyle name="40% - Accent3 2 2 2 2 5" xfId="13878"/>
    <cellStyle name="40% - Accent3 2 2 2 2 5 2" xfId="17851"/>
    <cellStyle name="40% - Accent3 2 2 2 2 5 2 2" xfId="46712"/>
    <cellStyle name="40% - Accent3 2 2 2 2 5 3" xfId="42739"/>
    <cellStyle name="40% - Accent3 2 2 2 2 6" xfId="15171"/>
    <cellStyle name="40% - Accent3 2 2 2 2 6 2" xfId="44032"/>
    <cellStyle name="40% - Accent3 2 2 2 2 7" xfId="29396"/>
    <cellStyle name="40% - Accent3 2 2 2 3" xfId="843"/>
    <cellStyle name="40% - Accent3 2 2 2 3 2" xfId="3730"/>
    <cellStyle name="40% - Accent3 2 2 2 3 2 2" xfId="9771"/>
    <cellStyle name="40% - Accent3 2 2 2 3 2 2 2" xfId="26818"/>
    <cellStyle name="40% - Accent3 2 2 2 3 2 2 2 2" xfId="55679"/>
    <cellStyle name="40% - Accent3 2 2 2 3 2 2 3" xfId="38632"/>
    <cellStyle name="40% - Accent3 2 2 2 3 2 3" xfId="20840"/>
    <cellStyle name="40% - Accent3 2 2 2 3 2 3 2" xfId="49701"/>
    <cellStyle name="40% - Accent3 2 2 2 3 2 4" xfId="32591"/>
    <cellStyle name="40% - Accent3 2 2 2 3 3" xfId="6885"/>
    <cellStyle name="40% - Accent3 2 2 2 3 3 2" xfId="23932"/>
    <cellStyle name="40% - Accent3 2 2 2 3 3 2 2" xfId="52793"/>
    <cellStyle name="40% - Accent3 2 2 2 3 3 3" xfId="35746"/>
    <cellStyle name="40% - Accent3 2 2 2 3 4" xfId="12291"/>
    <cellStyle name="40% - Accent3 2 2 2 3 4 2" xfId="18160"/>
    <cellStyle name="40% - Accent3 2 2 2 3 4 2 2" xfId="47021"/>
    <cellStyle name="40% - Accent3 2 2 2 3 4 3" xfId="41152"/>
    <cellStyle name="40% - Accent3 2 2 2 3 5" xfId="15480"/>
    <cellStyle name="40% - Accent3 2 2 2 3 5 2" xfId="44341"/>
    <cellStyle name="40% - Accent3 2 2 2 3 6" xfId="29705"/>
    <cellStyle name="40% - Accent3 2 2 2 4" xfId="1049"/>
    <cellStyle name="40% - Accent3 2 2 2 4 2" xfId="3936"/>
    <cellStyle name="40% - Accent3 2 2 2 4 2 2" xfId="9977"/>
    <cellStyle name="40% - Accent3 2 2 2 4 2 2 2" xfId="27024"/>
    <cellStyle name="40% - Accent3 2 2 2 4 2 2 2 2" xfId="55885"/>
    <cellStyle name="40% - Accent3 2 2 2 4 2 2 3" xfId="38838"/>
    <cellStyle name="40% - Accent3 2 2 2 4 2 3" xfId="21046"/>
    <cellStyle name="40% - Accent3 2 2 2 4 2 3 2" xfId="49907"/>
    <cellStyle name="40% - Accent3 2 2 2 4 2 4" xfId="32797"/>
    <cellStyle name="40% - Accent3 2 2 2 4 3" xfId="7091"/>
    <cellStyle name="40% - Accent3 2 2 2 4 3 2" xfId="24138"/>
    <cellStyle name="40% - Accent3 2 2 2 4 3 2 2" xfId="52999"/>
    <cellStyle name="40% - Accent3 2 2 2 4 3 3" xfId="35952"/>
    <cellStyle name="40% - Accent3 2 2 2 4 4" xfId="14160"/>
    <cellStyle name="40% - Accent3 2 2 2 4 4 2" xfId="18366"/>
    <cellStyle name="40% - Accent3 2 2 2 4 4 2 2" xfId="47227"/>
    <cellStyle name="40% - Accent3 2 2 2 4 4 3" xfId="43021"/>
    <cellStyle name="40% - Accent3 2 2 2 4 5" xfId="15686"/>
    <cellStyle name="40% - Accent3 2 2 2 4 5 2" xfId="44547"/>
    <cellStyle name="40% - Accent3 2 2 2 4 6" xfId="29911"/>
    <cellStyle name="40% - Accent3 2 2 2 5" xfId="1255"/>
    <cellStyle name="40% - Accent3 2 2 2 5 2" xfId="4142"/>
    <cellStyle name="40% - Accent3 2 2 2 5 2 2" xfId="10183"/>
    <cellStyle name="40% - Accent3 2 2 2 5 2 2 2" xfId="27230"/>
    <cellStyle name="40% - Accent3 2 2 2 5 2 2 2 2" xfId="56091"/>
    <cellStyle name="40% - Accent3 2 2 2 5 2 2 3" xfId="39044"/>
    <cellStyle name="40% - Accent3 2 2 2 5 2 3" xfId="21252"/>
    <cellStyle name="40% - Accent3 2 2 2 5 2 3 2" xfId="50113"/>
    <cellStyle name="40% - Accent3 2 2 2 5 2 4" xfId="33003"/>
    <cellStyle name="40% - Accent3 2 2 2 5 3" xfId="7297"/>
    <cellStyle name="40% - Accent3 2 2 2 5 3 2" xfId="24344"/>
    <cellStyle name="40% - Accent3 2 2 2 5 3 2 2" xfId="53205"/>
    <cellStyle name="40% - Accent3 2 2 2 5 3 3" xfId="36158"/>
    <cellStyle name="40% - Accent3 2 2 2 5 4" xfId="13479"/>
    <cellStyle name="40% - Accent3 2 2 2 5 4 2" xfId="18572"/>
    <cellStyle name="40% - Accent3 2 2 2 5 4 2 2" xfId="47433"/>
    <cellStyle name="40% - Accent3 2 2 2 5 4 3" xfId="42340"/>
    <cellStyle name="40% - Accent3 2 2 2 5 5" xfId="15892"/>
    <cellStyle name="40% - Accent3 2 2 2 5 5 2" xfId="44753"/>
    <cellStyle name="40% - Accent3 2 2 2 5 6" xfId="30117"/>
    <cellStyle name="40% - Accent3 2 2 2 6" xfId="1461"/>
    <cellStyle name="40% - Accent3 2 2 2 6 2" xfId="4348"/>
    <cellStyle name="40% - Accent3 2 2 2 6 2 2" xfId="10389"/>
    <cellStyle name="40% - Accent3 2 2 2 6 2 2 2" xfId="27436"/>
    <cellStyle name="40% - Accent3 2 2 2 6 2 2 2 2" xfId="56297"/>
    <cellStyle name="40% - Accent3 2 2 2 6 2 2 3" xfId="39250"/>
    <cellStyle name="40% - Accent3 2 2 2 6 2 3" xfId="21458"/>
    <cellStyle name="40% - Accent3 2 2 2 6 2 3 2" xfId="50319"/>
    <cellStyle name="40% - Accent3 2 2 2 6 2 4" xfId="33209"/>
    <cellStyle name="40% - Accent3 2 2 2 6 3" xfId="7503"/>
    <cellStyle name="40% - Accent3 2 2 2 6 3 2" xfId="24550"/>
    <cellStyle name="40% - Accent3 2 2 2 6 3 2 2" xfId="53411"/>
    <cellStyle name="40% - Accent3 2 2 2 6 3 3" xfId="36364"/>
    <cellStyle name="40% - Accent3 2 2 2 6 4" xfId="13247"/>
    <cellStyle name="40% - Accent3 2 2 2 6 4 2" xfId="18778"/>
    <cellStyle name="40% - Accent3 2 2 2 6 4 2 2" xfId="47639"/>
    <cellStyle name="40% - Accent3 2 2 2 6 4 3" xfId="42108"/>
    <cellStyle name="40% - Accent3 2 2 2 6 5" xfId="16098"/>
    <cellStyle name="40% - Accent3 2 2 2 6 5 2" xfId="44959"/>
    <cellStyle name="40% - Accent3 2 2 2 6 6" xfId="30323"/>
    <cellStyle name="40% - Accent3 2 2 2 7" xfId="1667"/>
    <cellStyle name="40% - Accent3 2 2 2 7 2" xfId="4554"/>
    <cellStyle name="40% - Accent3 2 2 2 7 2 2" xfId="10595"/>
    <cellStyle name="40% - Accent3 2 2 2 7 2 2 2" xfId="27642"/>
    <cellStyle name="40% - Accent3 2 2 2 7 2 2 2 2" xfId="56503"/>
    <cellStyle name="40% - Accent3 2 2 2 7 2 2 3" xfId="39456"/>
    <cellStyle name="40% - Accent3 2 2 2 7 2 3" xfId="21664"/>
    <cellStyle name="40% - Accent3 2 2 2 7 2 3 2" xfId="50525"/>
    <cellStyle name="40% - Accent3 2 2 2 7 2 4" xfId="33415"/>
    <cellStyle name="40% - Accent3 2 2 2 7 3" xfId="7709"/>
    <cellStyle name="40% - Accent3 2 2 2 7 3 2" xfId="24756"/>
    <cellStyle name="40% - Accent3 2 2 2 7 3 2 2" xfId="53617"/>
    <cellStyle name="40% - Accent3 2 2 2 7 3 3" xfId="36570"/>
    <cellStyle name="40% - Accent3 2 2 2 7 4" xfId="14080"/>
    <cellStyle name="40% - Accent3 2 2 2 7 4 2" xfId="18984"/>
    <cellStyle name="40% - Accent3 2 2 2 7 4 2 2" xfId="47845"/>
    <cellStyle name="40% - Accent3 2 2 2 7 4 3" xfId="42941"/>
    <cellStyle name="40% - Accent3 2 2 2 7 5" xfId="16304"/>
    <cellStyle name="40% - Accent3 2 2 2 7 5 2" xfId="45165"/>
    <cellStyle name="40% - Accent3 2 2 2 7 6" xfId="30529"/>
    <cellStyle name="40% - Accent3 2 2 2 8" xfId="1873"/>
    <cellStyle name="40% - Accent3 2 2 2 8 2" xfId="4760"/>
    <cellStyle name="40% - Accent3 2 2 2 8 2 2" xfId="10801"/>
    <cellStyle name="40% - Accent3 2 2 2 8 2 2 2" xfId="27848"/>
    <cellStyle name="40% - Accent3 2 2 2 8 2 2 2 2" xfId="56709"/>
    <cellStyle name="40% - Accent3 2 2 2 8 2 2 3" xfId="39662"/>
    <cellStyle name="40% - Accent3 2 2 2 8 2 3" xfId="21870"/>
    <cellStyle name="40% - Accent3 2 2 2 8 2 3 2" xfId="50731"/>
    <cellStyle name="40% - Accent3 2 2 2 8 2 4" xfId="33621"/>
    <cellStyle name="40% - Accent3 2 2 2 8 3" xfId="7915"/>
    <cellStyle name="40% - Accent3 2 2 2 8 3 2" xfId="24962"/>
    <cellStyle name="40% - Accent3 2 2 2 8 3 2 2" xfId="53823"/>
    <cellStyle name="40% - Accent3 2 2 2 8 3 3" xfId="36776"/>
    <cellStyle name="40% - Accent3 2 2 2 8 4" xfId="12766"/>
    <cellStyle name="40% - Accent3 2 2 2 8 4 2" xfId="19190"/>
    <cellStyle name="40% - Accent3 2 2 2 8 4 2 2" xfId="48051"/>
    <cellStyle name="40% - Accent3 2 2 2 8 4 3" xfId="41627"/>
    <cellStyle name="40% - Accent3 2 2 2 8 5" xfId="16510"/>
    <cellStyle name="40% - Accent3 2 2 2 8 5 2" xfId="45371"/>
    <cellStyle name="40% - Accent3 2 2 2 8 6" xfId="30735"/>
    <cellStyle name="40% - Accent3 2 2 2 9" xfId="2079"/>
    <cellStyle name="40% - Accent3 2 2 2 9 2" xfId="4966"/>
    <cellStyle name="40% - Accent3 2 2 2 9 2 2" xfId="11007"/>
    <cellStyle name="40% - Accent3 2 2 2 9 2 2 2" xfId="28054"/>
    <cellStyle name="40% - Accent3 2 2 2 9 2 2 2 2" xfId="56915"/>
    <cellStyle name="40% - Accent3 2 2 2 9 2 2 3" xfId="39868"/>
    <cellStyle name="40% - Accent3 2 2 2 9 2 3" xfId="22076"/>
    <cellStyle name="40% - Accent3 2 2 2 9 2 3 2" xfId="50937"/>
    <cellStyle name="40% - Accent3 2 2 2 9 2 4" xfId="33827"/>
    <cellStyle name="40% - Accent3 2 2 2 9 3" xfId="8121"/>
    <cellStyle name="40% - Accent3 2 2 2 9 3 2" xfId="25168"/>
    <cellStyle name="40% - Accent3 2 2 2 9 3 2 2" xfId="54029"/>
    <cellStyle name="40% - Accent3 2 2 2 9 3 3" xfId="36982"/>
    <cellStyle name="40% - Accent3 2 2 2 9 4" xfId="13455"/>
    <cellStyle name="40% - Accent3 2 2 2 9 4 2" xfId="19396"/>
    <cellStyle name="40% - Accent3 2 2 2 9 4 2 2" xfId="48257"/>
    <cellStyle name="40% - Accent3 2 2 2 9 4 3" xfId="42316"/>
    <cellStyle name="40% - Accent3 2 2 2 9 5" xfId="16716"/>
    <cellStyle name="40% - Accent3 2 2 2 9 5 2" xfId="45577"/>
    <cellStyle name="40% - Accent3 2 2 2 9 6" xfId="30941"/>
    <cellStyle name="40% - Accent3 2 2 20" xfId="28984"/>
    <cellStyle name="40% - Accent3 2 2 3" xfId="225"/>
    <cellStyle name="40% - Accent3 2 2 3 2" xfId="637"/>
    <cellStyle name="40% - Accent3 2 2 3 2 2" xfId="3524"/>
    <cellStyle name="40% - Accent3 2 2 3 2 2 2" xfId="9565"/>
    <cellStyle name="40% - Accent3 2 2 3 2 2 2 2" xfId="26612"/>
    <cellStyle name="40% - Accent3 2 2 3 2 2 2 2 2" xfId="55473"/>
    <cellStyle name="40% - Accent3 2 2 3 2 2 2 3" xfId="38426"/>
    <cellStyle name="40% - Accent3 2 2 3 2 2 3" xfId="20634"/>
    <cellStyle name="40% - Accent3 2 2 3 2 2 3 2" xfId="49495"/>
    <cellStyle name="40% - Accent3 2 2 3 2 2 4" xfId="32385"/>
    <cellStyle name="40% - Accent3 2 2 3 2 3" xfId="6679"/>
    <cellStyle name="40% - Accent3 2 2 3 2 3 2" xfId="23726"/>
    <cellStyle name="40% - Accent3 2 2 3 2 3 2 2" xfId="52587"/>
    <cellStyle name="40% - Accent3 2 2 3 2 3 3" xfId="35540"/>
    <cellStyle name="40% - Accent3 2 2 3 2 4" xfId="13883"/>
    <cellStyle name="40% - Accent3 2 2 3 2 4 2" xfId="17954"/>
    <cellStyle name="40% - Accent3 2 2 3 2 4 2 2" xfId="46815"/>
    <cellStyle name="40% - Accent3 2 2 3 2 4 3" xfId="42744"/>
    <cellStyle name="40% - Accent3 2 2 3 2 5" xfId="15274"/>
    <cellStyle name="40% - Accent3 2 2 3 2 5 2" xfId="44135"/>
    <cellStyle name="40% - Accent3 2 2 3 2 6" xfId="29499"/>
    <cellStyle name="40% - Accent3 2 2 3 3" xfId="2182"/>
    <cellStyle name="40% - Accent3 2 2 3 3 2" xfId="5069"/>
    <cellStyle name="40% - Accent3 2 2 3 3 2 2" xfId="11110"/>
    <cellStyle name="40% - Accent3 2 2 3 3 2 2 2" xfId="28157"/>
    <cellStyle name="40% - Accent3 2 2 3 3 2 2 2 2" xfId="57018"/>
    <cellStyle name="40% - Accent3 2 2 3 3 2 2 3" xfId="39971"/>
    <cellStyle name="40% - Accent3 2 2 3 3 2 3" xfId="22179"/>
    <cellStyle name="40% - Accent3 2 2 3 3 2 3 2" xfId="51040"/>
    <cellStyle name="40% - Accent3 2 2 3 3 2 4" xfId="33930"/>
    <cellStyle name="40% - Accent3 2 2 3 3 3" xfId="8224"/>
    <cellStyle name="40% - Accent3 2 2 3 3 3 2" xfId="25271"/>
    <cellStyle name="40% - Accent3 2 2 3 3 3 2 2" xfId="54132"/>
    <cellStyle name="40% - Accent3 2 2 3 3 3 3" xfId="37085"/>
    <cellStyle name="40% - Accent3 2 2 3 3 4" xfId="13037"/>
    <cellStyle name="40% - Accent3 2 2 3 3 4 2" xfId="19499"/>
    <cellStyle name="40% - Accent3 2 2 3 3 4 2 2" xfId="48360"/>
    <cellStyle name="40% - Accent3 2 2 3 3 4 3" xfId="41898"/>
    <cellStyle name="40% - Accent3 2 2 3 3 5" xfId="16819"/>
    <cellStyle name="40% - Accent3 2 2 3 3 5 2" xfId="45680"/>
    <cellStyle name="40% - Accent3 2 2 3 3 6" xfId="31044"/>
    <cellStyle name="40% - Accent3 2 2 3 4" xfId="3112"/>
    <cellStyle name="40% - Accent3 2 2 3 4 2" xfId="9153"/>
    <cellStyle name="40% - Accent3 2 2 3 4 2 2" xfId="26200"/>
    <cellStyle name="40% - Accent3 2 2 3 4 2 2 2" xfId="55061"/>
    <cellStyle name="40% - Accent3 2 2 3 4 2 3" xfId="38014"/>
    <cellStyle name="40% - Accent3 2 2 3 4 3" xfId="20222"/>
    <cellStyle name="40% - Accent3 2 2 3 4 3 2" xfId="49083"/>
    <cellStyle name="40% - Accent3 2 2 3 4 4" xfId="31973"/>
    <cellStyle name="40% - Accent3 2 2 3 5" xfId="6267"/>
    <cellStyle name="40% - Accent3 2 2 3 5 2" xfId="23314"/>
    <cellStyle name="40% - Accent3 2 2 3 5 2 2" xfId="52175"/>
    <cellStyle name="40% - Accent3 2 2 3 5 3" xfId="35128"/>
    <cellStyle name="40% - Accent3 2 2 3 6" xfId="12386"/>
    <cellStyle name="40% - Accent3 2 2 3 6 2" xfId="17645"/>
    <cellStyle name="40% - Accent3 2 2 3 6 2 2" xfId="46506"/>
    <cellStyle name="40% - Accent3 2 2 3 6 3" xfId="41247"/>
    <cellStyle name="40% - Accent3 2 2 3 7" xfId="14862"/>
    <cellStyle name="40% - Accent3 2 2 3 7 2" xfId="43723"/>
    <cellStyle name="40% - Accent3 2 2 3 8" xfId="29087"/>
    <cellStyle name="40% - Accent3 2 2 4" xfId="431"/>
    <cellStyle name="40% - Accent3 2 2 4 2" xfId="3318"/>
    <cellStyle name="40% - Accent3 2 2 4 2 2" xfId="9359"/>
    <cellStyle name="40% - Accent3 2 2 4 2 2 2" xfId="26406"/>
    <cellStyle name="40% - Accent3 2 2 4 2 2 2 2" xfId="55267"/>
    <cellStyle name="40% - Accent3 2 2 4 2 2 3" xfId="38220"/>
    <cellStyle name="40% - Accent3 2 2 4 2 3" xfId="20428"/>
    <cellStyle name="40% - Accent3 2 2 4 2 3 2" xfId="49289"/>
    <cellStyle name="40% - Accent3 2 2 4 2 4" xfId="32179"/>
    <cellStyle name="40% - Accent3 2 2 4 3" xfId="6473"/>
    <cellStyle name="40% - Accent3 2 2 4 3 2" xfId="23520"/>
    <cellStyle name="40% - Accent3 2 2 4 3 2 2" xfId="52381"/>
    <cellStyle name="40% - Accent3 2 2 4 3 3" xfId="35334"/>
    <cellStyle name="40% - Accent3 2 2 4 4" xfId="13567"/>
    <cellStyle name="40% - Accent3 2 2 4 4 2" xfId="17748"/>
    <cellStyle name="40% - Accent3 2 2 4 4 2 2" xfId="46609"/>
    <cellStyle name="40% - Accent3 2 2 4 4 3" xfId="42428"/>
    <cellStyle name="40% - Accent3 2 2 4 5" xfId="15068"/>
    <cellStyle name="40% - Accent3 2 2 4 5 2" xfId="43929"/>
    <cellStyle name="40% - Accent3 2 2 4 6" xfId="29293"/>
    <cellStyle name="40% - Accent3 2 2 5" xfId="740"/>
    <cellStyle name="40% - Accent3 2 2 5 2" xfId="3627"/>
    <cellStyle name="40% - Accent3 2 2 5 2 2" xfId="9668"/>
    <cellStyle name="40% - Accent3 2 2 5 2 2 2" xfId="26715"/>
    <cellStyle name="40% - Accent3 2 2 5 2 2 2 2" xfId="55576"/>
    <cellStyle name="40% - Accent3 2 2 5 2 2 3" xfId="38529"/>
    <cellStyle name="40% - Accent3 2 2 5 2 3" xfId="20737"/>
    <cellStyle name="40% - Accent3 2 2 5 2 3 2" xfId="49598"/>
    <cellStyle name="40% - Accent3 2 2 5 2 4" xfId="32488"/>
    <cellStyle name="40% - Accent3 2 2 5 3" xfId="6782"/>
    <cellStyle name="40% - Accent3 2 2 5 3 2" xfId="23829"/>
    <cellStyle name="40% - Accent3 2 2 5 3 2 2" xfId="52690"/>
    <cellStyle name="40% - Accent3 2 2 5 3 3" xfId="35643"/>
    <cellStyle name="40% - Accent3 2 2 5 4" xfId="14239"/>
    <cellStyle name="40% - Accent3 2 2 5 4 2" xfId="18057"/>
    <cellStyle name="40% - Accent3 2 2 5 4 2 2" xfId="46918"/>
    <cellStyle name="40% - Accent3 2 2 5 4 3" xfId="43100"/>
    <cellStyle name="40% - Accent3 2 2 5 5" xfId="15377"/>
    <cellStyle name="40% - Accent3 2 2 5 5 2" xfId="44238"/>
    <cellStyle name="40% - Accent3 2 2 5 6" xfId="29602"/>
    <cellStyle name="40% - Accent3 2 2 6" xfId="946"/>
    <cellStyle name="40% - Accent3 2 2 6 2" xfId="3833"/>
    <cellStyle name="40% - Accent3 2 2 6 2 2" xfId="9874"/>
    <cellStyle name="40% - Accent3 2 2 6 2 2 2" xfId="26921"/>
    <cellStyle name="40% - Accent3 2 2 6 2 2 2 2" xfId="55782"/>
    <cellStyle name="40% - Accent3 2 2 6 2 2 3" xfId="38735"/>
    <cellStyle name="40% - Accent3 2 2 6 2 3" xfId="20943"/>
    <cellStyle name="40% - Accent3 2 2 6 2 3 2" xfId="49804"/>
    <cellStyle name="40% - Accent3 2 2 6 2 4" xfId="32694"/>
    <cellStyle name="40% - Accent3 2 2 6 3" xfId="6988"/>
    <cellStyle name="40% - Accent3 2 2 6 3 2" xfId="24035"/>
    <cellStyle name="40% - Accent3 2 2 6 3 2 2" xfId="52896"/>
    <cellStyle name="40% - Accent3 2 2 6 3 3" xfId="35849"/>
    <cellStyle name="40% - Accent3 2 2 6 4" xfId="12222"/>
    <cellStyle name="40% - Accent3 2 2 6 4 2" xfId="18263"/>
    <cellStyle name="40% - Accent3 2 2 6 4 2 2" xfId="47124"/>
    <cellStyle name="40% - Accent3 2 2 6 4 3" xfId="41083"/>
    <cellStyle name="40% - Accent3 2 2 6 5" xfId="15583"/>
    <cellStyle name="40% - Accent3 2 2 6 5 2" xfId="44444"/>
    <cellStyle name="40% - Accent3 2 2 6 6" xfId="29808"/>
    <cellStyle name="40% - Accent3 2 2 7" xfId="1152"/>
    <cellStyle name="40% - Accent3 2 2 7 2" xfId="4039"/>
    <cellStyle name="40% - Accent3 2 2 7 2 2" xfId="10080"/>
    <cellStyle name="40% - Accent3 2 2 7 2 2 2" xfId="27127"/>
    <cellStyle name="40% - Accent3 2 2 7 2 2 2 2" xfId="55988"/>
    <cellStyle name="40% - Accent3 2 2 7 2 2 3" xfId="38941"/>
    <cellStyle name="40% - Accent3 2 2 7 2 3" xfId="21149"/>
    <cellStyle name="40% - Accent3 2 2 7 2 3 2" xfId="50010"/>
    <cellStyle name="40% - Accent3 2 2 7 2 4" xfId="32900"/>
    <cellStyle name="40% - Accent3 2 2 7 3" xfId="7194"/>
    <cellStyle name="40% - Accent3 2 2 7 3 2" xfId="24241"/>
    <cellStyle name="40% - Accent3 2 2 7 3 2 2" xfId="53102"/>
    <cellStyle name="40% - Accent3 2 2 7 3 3" xfId="36055"/>
    <cellStyle name="40% - Accent3 2 2 7 4" xfId="11980"/>
    <cellStyle name="40% - Accent3 2 2 7 4 2" xfId="18469"/>
    <cellStyle name="40% - Accent3 2 2 7 4 2 2" xfId="47330"/>
    <cellStyle name="40% - Accent3 2 2 7 4 3" xfId="40841"/>
    <cellStyle name="40% - Accent3 2 2 7 5" xfId="15789"/>
    <cellStyle name="40% - Accent3 2 2 7 5 2" xfId="44650"/>
    <cellStyle name="40% - Accent3 2 2 7 6" xfId="30014"/>
    <cellStyle name="40% - Accent3 2 2 8" xfId="1358"/>
    <cellStyle name="40% - Accent3 2 2 8 2" xfId="4245"/>
    <cellStyle name="40% - Accent3 2 2 8 2 2" xfId="10286"/>
    <cellStyle name="40% - Accent3 2 2 8 2 2 2" xfId="27333"/>
    <cellStyle name="40% - Accent3 2 2 8 2 2 2 2" xfId="56194"/>
    <cellStyle name="40% - Accent3 2 2 8 2 2 3" xfId="39147"/>
    <cellStyle name="40% - Accent3 2 2 8 2 3" xfId="21355"/>
    <cellStyle name="40% - Accent3 2 2 8 2 3 2" xfId="50216"/>
    <cellStyle name="40% - Accent3 2 2 8 2 4" xfId="33106"/>
    <cellStyle name="40% - Accent3 2 2 8 3" xfId="7400"/>
    <cellStyle name="40% - Accent3 2 2 8 3 2" xfId="24447"/>
    <cellStyle name="40% - Accent3 2 2 8 3 2 2" xfId="53308"/>
    <cellStyle name="40% - Accent3 2 2 8 3 3" xfId="36261"/>
    <cellStyle name="40% - Accent3 2 2 8 4" xfId="11886"/>
    <cellStyle name="40% - Accent3 2 2 8 4 2" xfId="18675"/>
    <cellStyle name="40% - Accent3 2 2 8 4 2 2" xfId="47536"/>
    <cellStyle name="40% - Accent3 2 2 8 4 3" xfId="40747"/>
    <cellStyle name="40% - Accent3 2 2 8 5" xfId="15995"/>
    <cellStyle name="40% - Accent3 2 2 8 5 2" xfId="44856"/>
    <cellStyle name="40% - Accent3 2 2 8 6" xfId="30220"/>
    <cellStyle name="40% - Accent3 2 2 9" xfId="1564"/>
    <cellStyle name="40% - Accent3 2 2 9 2" xfId="4451"/>
    <cellStyle name="40% - Accent3 2 2 9 2 2" xfId="10492"/>
    <cellStyle name="40% - Accent3 2 2 9 2 2 2" xfId="27539"/>
    <cellStyle name="40% - Accent3 2 2 9 2 2 2 2" xfId="56400"/>
    <cellStyle name="40% - Accent3 2 2 9 2 2 3" xfId="39353"/>
    <cellStyle name="40% - Accent3 2 2 9 2 3" xfId="21561"/>
    <cellStyle name="40% - Accent3 2 2 9 2 3 2" xfId="50422"/>
    <cellStyle name="40% - Accent3 2 2 9 2 4" xfId="33312"/>
    <cellStyle name="40% - Accent3 2 2 9 3" xfId="7606"/>
    <cellStyle name="40% - Accent3 2 2 9 3 2" xfId="24653"/>
    <cellStyle name="40% - Accent3 2 2 9 3 2 2" xfId="53514"/>
    <cellStyle name="40% - Accent3 2 2 9 3 3" xfId="36467"/>
    <cellStyle name="40% - Accent3 2 2 9 4" xfId="12086"/>
    <cellStyle name="40% - Accent3 2 2 9 4 2" xfId="18881"/>
    <cellStyle name="40% - Accent3 2 2 9 4 2 2" xfId="47742"/>
    <cellStyle name="40% - Accent3 2 2 9 4 3" xfId="40947"/>
    <cellStyle name="40% - Accent3 2 2 9 5" xfId="16201"/>
    <cellStyle name="40% - Accent3 2 2 9 5 2" xfId="45062"/>
    <cellStyle name="40% - Accent3 2 2 9 6" xfId="30426"/>
    <cellStyle name="40% - Accent3 2 20" xfId="6138"/>
    <cellStyle name="40% - Accent3 2 20 2" xfId="23185"/>
    <cellStyle name="40% - Accent3 2 20 2 2" xfId="52046"/>
    <cellStyle name="40% - Accent3 2 20 3" xfId="34999"/>
    <cellStyle name="40% - Accent3 2 21" xfId="14527"/>
    <cellStyle name="40% - Accent3 2 21 2" xfId="43388"/>
    <cellStyle name="40% - Accent3 2 22" xfId="28958"/>
    <cellStyle name="40% - Accent3 2 3" xfId="148"/>
    <cellStyle name="40% - Accent3 2 3 10" xfId="1796"/>
    <cellStyle name="40% - Accent3 2 3 10 2" xfId="4683"/>
    <cellStyle name="40% - Accent3 2 3 10 2 2" xfId="10724"/>
    <cellStyle name="40% - Accent3 2 3 10 2 2 2" xfId="27771"/>
    <cellStyle name="40% - Accent3 2 3 10 2 2 2 2" xfId="56632"/>
    <cellStyle name="40% - Accent3 2 3 10 2 2 3" xfId="39585"/>
    <cellStyle name="40% - Accent3 2 3 10 2 3" xfId="21793"/>
    <cellStyle name="40% - Accent3 2 3 10 2 3 2" xfId="50654"/>
    <cellStyle name="40% - Accent3 2 3 10 2 4" xfId="33544"/>
    <cellStyle name="40% - Accent3 2 3 10 3" xfId="7838"/>
    <cellStyle name="40% - Accent3 2 3 10 3 2" xfId="24885"/>
    <cellStyle name="40% - Accent3 2 3 10 3 2 2" xfId="53746"/>
    <cellStyle name="40% - Accent3 2 3 10 3 3" xfId="36699"/>
    <cellStyle name="40% - Accent3 2 3 10 4" xfId="12638"/>
    <cellStyle name="40% - Accent3 2 3 10 4 2" xfId="19113"/>
    <cellStyle name="40% - Accent3 2 3 10 4 2 2" xfId="47974"/>
    <cellStyle name="40% - Accent3 2 3 10 4 3" xfId="41499"/>
    <cellStyle name="40% - Accent3 2 3 10 5" xfId="16433"/>
    <cellStyle name="40% - Accent3 2 3 10 5 2" xfId="45294"/>
    <cellStyle name="40% - Accent3 2 3 10 6" xfId="30658"/>
    <cellStyle name="40% - Accent3 2 3 11" xfId="2002"/>
    <cellStyle name="40% - Accent3 2 3 11 2" xfId="4889"/>
    <cellStyle name="40% - Accent3 2 3 11 2 2" xfId="10930"/>
    <cellStyle name="40% - Accent3 2 3 11 2 2 2" xfId="27977"/>
    <cellStyle name="40% - Accent3 2 3 11 2 2 2 2" xfId="56838"/>
    <cellStyle name="40% - Accent3 2 3 11 2 2 3" xfId="39791"/>
    <cellStyle name="40% - Accent3 2 3 11 2 3" xfId="21999"/>
    <cellStyle name="40% - Accent3 2 3 11 2 3 2" xfId="50860"/>
    <cellStyle name="40% - Accent3 2 3 11 2 4" xfId="33750"/>
    <cellStyle name="40% - Accent3 2 3 11 3" xfId="8044"/>
    <cellStyle name="40% - Accent3 2 3 11 3 2" xfId="25091"/>
    <cellStyle name="40% - Accent3 2 3 11 3 2 2" xfId="53952"/>
    <cellStyle name="40% - Accent3 2 3 11 3 3" xfId="36905"/>
    <cellStyle name="40% - Accent3 2 3 11 4" xfId="12441"/>
    <cellStyle name="40% - Accent3 2 3 11 4 2" xfId="19319"/>
    <cellStyle name="40% - Accent3 2 3 11 4 2 2" xfId="48180"/>
    <cellStyle name="40% - Accent3 2 3 11 4 3" xfId="41302"/>
    <cellStyle name="40% - Accent3 2 3 11 5" xfId="16639"/>
    <cellStyle name="40% - Accent3 2 3 11 5 2" xfId="45500"/>
    <cellStyle name="40% - Accent3 2 3 11 6" xfId="30864"/>
    <cellStyle name="40% - Accent3 2 3 12" xfId="2414"/>
    <cellStyle name="40% - Accent3 2 3 12 2" xfId="5301"/>
    <cellStyle name="40% - Accent3 2 3 12 2 2" xfId="11342"/>
    <cellStyle name="40% - Accent3 2 3 12 2 2 2" xfId="28389"/>
    <cellStyle name="40% - Accent3 2 3 12 2 2 2 2" xfId="57250"/>
    <cellStyle name="40% - Accent3 2 3 12 2 2 3" xfId="40203"/>
    <cellStyle name="40% - Accent3 2 3 12 2 3" xfId="22411"/>
    <cellStyle name="40% - Accent3 2 3 12 2 3 2" xfId="51272"/>
    <cellStyle name="40% - Accent3 2 3 12 2 4" xfId="34162"/>
    <cellStyle name="40% - Accent3 2 3 12 3" xfId="8456"/>
    <cellStyle name="40% - Accent3 2 3 12 3 2" xfId="25503"/>
    <cellStyle name="40% - Accent3 2 3 12 3 2 2" xfId="54364"/>
    <cellStyle name="40% - Accent3 2 3 12 3 3" xfId="37317"/>
    <cellStyle name="40% - Accent3 2 3 12 4" xfId="12072"/>
    <cellStyle name="40% - Accent3 2 3 12 4 2" xfId="19731"/>
    <cellStyle name="40% - Accent3 2 3 12 4 2 2" xfId="48592"/>
    <cellStyle name="40% - Accent3 2 3 12 4 3" xfId="40933"/>
    <cellStyle name="40% - Accent3 2 3 12 5" xfId="17051"/>
    <cellStyle name="40% - Accent3 2 3 12 5 2" xfId="45912"/>
    <cellStyle name="40% - Accent3 2 3 12 6" xfId="31276"/>
    <cellStyle name="40% - Accent3 2 3 13" xfId="2623"/>
    <cellStyle name="40% - Accent3 2 3 13 2" xfId="5509"/>
    <cellStyle name="40% - Accent3 2 3 13 2 2" xfId="11550"/>
    <cellStyle name="40% - Accent3 2 3 13 2 2 2" xfId="28597"/>
    <cellStyle name="40% - Accent3 2 3 13 2 2 2 2" xfId="57458"/>
    <cellStyle name="40% - Accent3 2 3 13 2 2 3" xfId="40411"/>
    <cellStyle name="40% - Accent3 2 3 13 2 3" xfId="22619"/>
    <cellStyle name="40% - Accent3 2 3 13 2 3 2" xfId="51480"/>
    <cellStyle name="40% - Accent3 2 3 13 2 4" xfId="34370"/>
    <cellStyle name="40% - Accent3 2 3 13 3" xfId="8664"/>
    <cellStyle name="40% - Accent3 2 3 13 3 2" xfId="25711"/>
    <cellStyle name="40% - Accent3 2 3 13 3 2 2" xfId="54572"/>
    <cellStyle name="40% - Accent3 2 3 13 3 3" xfId="37525"/>
    <cellStyle name="40% - Accent3 2 3 13 4" xfId="12027"/>
    <cellStyle name="40% - Accent3 2 3 13 4 2" xfId="19939"/>
    <cellStyle name="40% - Accent3 2 3 13 4 2 2" xfId="48800"/>
    <cellStyle name="40% - Accent3 2 3 13 4 3" xfId="40888"/>
    <cellStyle name="40% - Accent3 2 3 13 5" xfId="17259"/>
    <cellStyle name="40% - Accent3 2 3 13 5 2" xfId="46120"/>
    <cellStyle name="40% - Accent3 2 3 13 6" xfId="31484"/>
    <cellStyle name="40% - Accent3 2 3 14" xfId="3035"/>
    <cellStyle name="40% - Accent3 2 3 14 2" xfId="9076"/>
    <cellStyle name="40% - Accent3 2 3 14 2 2" xfId="26123"/>
    <cellStyle name="40% - Accent3 2 3 14 2 2 2" xfId="54984"/>
    <cellStyle name="40% - Accent3 2 3 14 2 3" xfId="37937"/>
    <cellStyle name="40% - Accent3 2 3 14 3" xfId="12264"/>
    <cellStyle name="40% - Accent3 2 3 14 3 2" xfId="20145"/>
    <cellStyle name="40% - Accent3 2 3 14 3 2 2" xfId="49006"/>
    <cellStyle name="40% - Accent3 2 3 14 3 3" xfId="41125"/>
    <cellStyle name="40% - Accent3 2 3 14 4" xfId="14785"/>
    <cellStyle name="40% - Accent3 2 3 14 4 2" xfId="43646"/>
    <cellStyle name="40% - Accent3 2 3 14 5" xfId="31896"/>
    <cellStyle name="40% - Accent3 2 3 15" xfId="2829"/>
    <cellStyle name="40% - Accent3 2 3 15 2" xfId="8870"/>
    <cellStyle name="40% - Accent3 2 3 15 2 2" xfId="25917"/>
    <cellStyle name="40% - Accent3 2 3 15 2 2 2" xfId="54778"/>
    <cellStyle name="40% - Accent3 2 3 15 2 3" xfId="37731"/>
    <cellStyle name="40% - Accent3 2 3 15 3" xfId="17465"/>
    <cellStyle name="40% - Accent3 2 3 15 3 2" xfId="46326"/>
    <cellStyle name="40% - Accent3 2 3 15 4" xfId="31690"/>
    <cellStyle name="40% - Accent3 2 3 16" xfId="5715"/>
    <cellStyle name="40% - Accent3 2 3 16 2" xfId="11756"/>
    <cellStyle name="40% - Accent3 2 3 16 2 2" xfId="28803"/>
    <cellStyle name="40% - Accent3 2 3 16 2 2 2" xfId="57664"/>
    <cellStyle name="40% - Accent3 2 3 16 2 3" xfId="40617"/>
    <cellStyle name="40% - Accent3 2 3 16 3" xfId="22825"/>
    <cellStyle name="40% - Accent3 2 3 16 3 2" xfId="51686"/>
    <cellStyle name="40% - Accent3 2 3 16 4" xfId="34576"/>
    <cellStyle name="40% - Accent3 2 3 17" xfId="5932"/>
    <cellStyle name="40% - Accent3 2 3 17 2" xfId="23031"/>
    <cellStyle name="40% - Accent3 2 3 17 2 2" xfId="51892"/>
    <cellStyle name="40% - Accent3 2 3 17 3" xfId="34793"/>
    <cellStyle name="40% - Accent3 2 3 18" xfId="6190"/>
    <cellStyle name="40% - Accent3 2 3 18 2" xfId="23237"/>
    <cellStyle name="40% - Accent3 2 3 18 2 2" xfId="52098"/>
    <cellStyle name="40% - Accent3 2 3 18 3" xfId="35051"/>
    <cellStyle name="40% - Accent3 2 3 19" xfId="14579"/>
    <cellStyle name="40% - Accent3 2 3 19 2" xfId="43440"/>
    <cellStyle name="40% - Accent3 2 3 2" xfId="354"/>
    <cellStyle name="40% - Accent3 2 3 2 10" xfId="2517"/>
    <cellStyle name="40% - Accent3 2 3 2 10 2" xfId="5404"/>
    <cellStyle name="40% - Accent3 2 3 2 10 2 2" xfId="11445"/>
    <cellStyle name="40% - Accent3 2 3 2 10 2 2 2" xfId="28492"/>
    <cellStyle name="40% - Accent3 2 3 2 10 2 2 2 2" xfId="57353"/>
    <cellStyle name="40% - Accent3 2 3 2 10 2 2 3" xfId="40306"/>
    <cellStyle name="40% - Accent3 2 3 2 10 2 3" xfId="22514"/>
    <cellStyle name="40% - Accent3 2 3 2 10 2 3 2" xfId="51375"/>
    <cellStyle name="40% - Accent3 2 3 2 10 2 4" xfId="34265"/>
    <cellStyle name="40% - Accent3 2 3 2 10 3" xfId="8559"/>
    <cellStyle name="40% - Accent3 2 3 2 10 3 2" xfId="25606"/>
    <cellStyle name="40% - Accent3 2 3 2 10 3 2 2" xfId="54467"/>
    <cellStyle name="40% - Accent3 2 3 2 10 3 3" xfId="37420"/>
    <cellStyle name="40% - Accent3 2 3 2 10 4" xfId="13552"/>
    <cellStyle name="40% - Accent3 2 3 2 10 4 2" xfId="19834"/>
    <cellStyle name="40% - Accent3 2 3 2 10 4 2 2" xfId="48695"/>
    <cellStyle name="40% - Accent3 2 3 2 10 4 3" xfId="42413"/>
    <cellStyle name="40% - Accent3 2 3 2 10 5" xfId="17154"/>
    <cellStyle name="40% - Accent3 2 3 2 10 5 2" xfId="46015"/>
    <cellStyle name="40% - Accent3 2 3 2 10 6" xfId="31379"/>
    <cellStyle name="40% - Accent3 2 3 2 11" xfId="2726"/>
    <cellStyle name="40% - Accent3 2 3 2 11 2" xfId="5612"/>
    <cellStyle name="40% - Accent3 2 3 2 11 2 2" xfId="11653"/>
    <cellStyle name="40% - Accent3 2 3 2 11 2 2 2" xfId="28700"/>
    <cellStyle name="40% - Accent3 2 3 2 11 2 2 2 2" xfId="57561"/>
    <cellStyle name="40% - Accent3 2 3 2 11 2 2 3" xfId="40514"/>
    <cellStyle name="40% - Accent3 2 3 2 11 2 3" xfId="22722"/>
    <cellStyle name="40% - Accent3 2 3 2 11 2 3 2" xfId="51583"/>
    <cellStyle name="40% - Accent3 2 3 2 11 2 4" xfId="34473"/>
    <cellStyle name="40% - Accent3 2 3 2 11 3" xfId="8767"/>
    <cellStyle name="40% - Accent3 2 3 2 11 3 2" xfId="25814"/>
    <cellStyle name="40% - Accent3 2 3 2 11 3 2 2" xfId="54675"/>
    <cellStyle name="40% - Accent3 2 3 2 11 3 3" xfId="37628"/>
    <cellStyle name="40% - Accent3 2 3 2 11 4" xfId="11973"/>
    <cellStyle name="40% - Accent3 2 3 2 11 4 2" xfId="20042"/>
    <cellStyle name="40% - Accent3 2 3 2 11 4 2 2" xfId="48903"/>
    <cellStyle name="40% - Accent3 2 3 2 11 4 3" xfId="40834"/>
    <cellStyle name="40% - Accent3 2 3 2 11 5" xfId="17362"/>
    <cellStyle name="40% - Accent3 2 3 2 11 5 2" xfId="46223"/>
    <cellStyle name="40% - Accent3 2 3 2 11 6" xfId="31587"/>
    <cellStyle name="40% - Accent3 2 3 2 12" xfId="3241"/>
    <cellStyle name="40% - Accent3 2 3 2 12 2" xfId="9282"/>
    <cellStyle name="40% - Accent3 2 3 2 12 2 2" xfId="26329"/>
    <cellStyle name="40% - Accent3 2 3 2 12 2 2 2" xfId="55190"/>
    <cellStyle name="40% - Accent3 2 3 2 12 2 3" xfId="38143"/>
    <cellStyle name="40% - Accent3 2 3 2 12 3" xfId="12581"/>
    <cellStyle name="40% - Accent3 2 3 2 12 3 2" xfId="20351"/>
    <cellStyle name="40% - Accent3 2 3 2 12 3 2 2" xfId="49212"/>
    <cellStyle name="40% - Accent3 2 3 2 12 3 3" xfId="41442"/>
    <cellStyle name="40% - Accent3 2 3 2 12 4" xfId="14991"/>
    <cellStyle name="40% - Accent3 2 3 2 12 4 2" xfId="43852"/>
    <cellStyle name="40% - Accent3 2 3 2 12 5" xfId="32102"/>
    <cellStyle name="40% - Accent3 2 3 2 13" xfId="2932"/>
    <cellStyle name="40% - Accent3 2 3 2 13 2" xfId="8973"/>
    <cellStyle name="40% - Accent3 2 3 2 13 2 2" xfId="26020"/>
    <cellStyle name="40% - Accent3 2 3 2 13 2 2 2" xfId="54881"/>
    <cellStyle name="40% - Accent3 2 3 2 13 2 3" xfId="37834"/>
    <cellStyle name="40% - Accent3 2 3 2 13 3" xfId="17568"/>
    <cellStyle name="40% - Accent3 2 3 2 13 3 2" xfId="46429"/>
    <cellStyle name="40% - Accent3 2 3 2 13 4" xfId="31793"/>
    <cellStyle name="40% - Accent3 2 3 2 14" xfId="5818"/>
    <cellStyle name="40% - Accent3 2 3 2 14 2" xfId="11859"/>
    <cellStyle name="40% - Accent3 2 3 2 14 2 2" xfId="28906"/>
    <cellStyle name="40% - Accent3 2 3 2 14 2 2 2" xfId="57767"/>
    <cellStyle name="40% - Accent3 2 3 2 14 2 3" xfId="40720"/>
    <cellStyle name="40% - Accent3 2 3 2 14 3" xfId="22928"/>
    <cellStyle name="40% - Accent3 2 3 2 14 3 2" xfId="51789"/>
    <cellStyle name="40% - Accent3 2 3 2 14 4" xfId="34679"/>
    <cellStyle name="40% - Accent3 2 3 2 15" xfId="6035"/>
    <cellStyle name="40% - Accent3 2 3 2 15 2" xfId="23134"/>
    <cellStyle name="40% - Accent3 2 3 2 15 2 2" xfId="51995"/>
    <cellStyle name="40% - Accent3 2 3 2 15 3" xfId="34896"/>
    <cellStyle name="40% - Accent3 2 3 2 16" xfId="6396"/>
    <cellStyle name="40% - Accent3 2 3 2 16 2" xfId="23443"/>
    <cellStyle name="40% - Accent3 2 3 2 16 2 2" xfId="52304"/>
    <cellStyle name="40% - Accent3 2 3 2 16 3" xfId="35257"/>
    <cellStyle name="40% - Accent3 2 3 2 17" xfId="14682"/>
    <cellStyle name="40% - Accent3 2 3 2 17 2" xfId="43543"/>
    <cellStyle name="40% - Accent3 2 3 2 18" xfId="29216"/>
    <cellStyle name="40% - Accent3 2 3 2 2" xfId="560"/>
    <cellStyle name="40% - Accent3 2 3 2 2 2" xfId="2311"/>
    <cellStyle name="40% - Accent3 2 3 2 2 2 2" xfId="5198"/>
    <cellStyle name="40% - Accent3 2 3 2 2 2 2 2" xfId="11239"/>
    <cellStyle name="40% - Accent3 2 3 2 2 2 2 2 2" xfId="28286"/>
    <cellStyle name="40% - Accent3 2 3 2 2 2 2 2 2 2" xfId="57147"/>
    <cellStyle name="40% - Accent3 2 3 2 2 2 2 2 3" xfId="40100"/>
    <cellStyle name="40% - Accent3 2 3 2 2 2 2 3" xfId="22308"/>
    <cellStyle name="40% - Accent3 2 3 2 2 2 2 3 2" xfId="51169"/>
    <cellStyle name="40% - Accent3 2 3 2 2 2 2 4" xfId="34059"/>
    <cellStyle name="40% - Accent3 2 3 2 2 2 3" xfId="8353"/>
    <cellStyle name="40% - Accent3 2 3 2 2 2 3 2" xfId="25400"/>
    <cellStyle name="40% - Accent3 2 3 2 2 2 3 2 2" xfId="54261"/>
    <cellStyle name="40% - Accent3 2 3 2 2 2 3 3" xfId="37214"/>
    <cellStyle name="40% - Accent3 2 3 2 2 2 4" xfId="11951"/>
    <cellStyle name="40% - Accent3 2 3 2 2 2 4 2" xfId="19628"/>
    <cellStyle name="40% - Accent3 2 3 2 2 2 4 2 2" xfId="48489"/>
    <cellStyle name="40% - Accent3 2 3 2 2 2 4 3" xfId="40812"/>
    <cellStyle name="40% - Accent3 2 3 2 2 2 5" xfId="16948"/>
    <cellStyle name="40% - Accent3 2 3 2 2 2 5 2" xfId="45809"/>
    <cellStyle name="40% - Accent3 2 3 2 2 2 6" xfId="31173"/>
    <cellStyle name="40% - Accent3 2 3 2 2 3" xfId="3447"/>
    <cellStyle name="40% - Accent3 2 3 2 2 3 2" xfId="9488"/>
    <cellStyle name="40% - Accent3 2 3 2 2 3 2 2" xfId="26535"/>
    <cellStyle name="40% - Accent3 2 3 2 2 3 2 2 2" xfId="55396"/>
    <cellStyle name="40% - Accent3 2 3 2 2 3 2 3" xfId="38349"/>
    <cellStyle name="40% - Accent3 2 3 2 2 3 3" xfId="20557"/>
    <cellStyle name="40% - Accent3 2 3 2 2 3 3 2" xfId="49418"/>
    <cellStyle name="40% - Accent3 2 3 2 2 3 4" xfId="32308"/>
    <cellStyle name="40% - Accent3 2 3 2 2 4" xfId="6602"/>
    <cellStyle name="40% - Accent3 2 3 2 2 4 2" xfId="23649"/>
    <cellStyle name="40% - Accent3 2 3 2 2 4 2 2" xfId="52510"/>
    <cellStyle name="40% - Accent3 2 3 2 2 4 3" xfId="35463"/>
    <cellStyle name="40% - Accent3 2 3 2 2 5" xfId="5838"/>
    <cellStyle name="40% - Accent3 2 3 2 2 5 2" xfId="17877"/>
    <cellStyle name="40% - Accent3 2 3 2 2 5 2 2" xfId="46738"/>
    <cellStyle name="40% - Accent3 2 3 2 2 5 3" xfId="34699"/>
    <cellStyle name="40% - Accent3 2 3 2 2 6" xfId="15197"/>
    <cellStyle name="40% - Accent3 2 3 2 2 6 2" xfId="44058"/>
    <cellStyle name="40% - Accent3 2 3 2 2 7" xfId="29422"/>
    <cellStyle name="40% - Accent3 2 3 2 3" xfId="869"/>
    <cellStyle name="40% - Accent3 2 3 2 3 2" xfId="3756"/>
    <cellStyle name="40% - Accent3 2 3 2 3 2 2" xfId="9797"/>
    <cellStyle name="40% - Accent3 2 3 2 3 2 2 2" xfId="26844"/>
    <cellStyle name="40% - Accent3 2 3 2 3 2 2 2 2" xfId="55705"/>
    <cellStyle name="40% - Accent3 2 3 2 3 2 2 3" xfId="38658"/>
    <cellStyle name="40% - Accent3 2 3 2 3 2 3" xfId="20866"/>
    <cellStyle name="40% - Accent3 2 3 2 3 2 3 2" xfId="49727"/>
    <cellStyle name="40% - Accent3 2 3 2 3 2 4" xfId="32617"/>
    <cellStyle name="40% - Accent3 2 3 2 3 3" xfId="6911"/>
    <cellStyle name="40% - Accent3 2 3 2 3 3 2" xfId="23958"/>
    <cellStyle name="40% - Accent3 2 3 2 3 3 2 2" xfId="52819"/>
    <cellStyle name="40% - Accent3 2 3 2 3 3 3" xfId="35772"/>
    <cellStyle name="40% - Accent3 2 3 2 3 4" xfId="12112"/>
    <cellStyle name="40% - Accent3 2 3 2 3 4 2" xfId="18186"/>
    <cellStyle name="40% - Accent3 2 3 2 3 4 2 2" xfId="47047"/>
    <cellStyle name="40% - Accent3 2 3 2 3 4 3" xfId="40973"/>
    <cellStyle name="40% - Accent3 2 3 2 3 5" xfId="15506"/>
    <cellStyle name="40% - Accent3 2 3 2 3 5 2" xfId="44367"/>
    <cellStyle name="40% - Accent3 2 3 2 3 6" xfId="29731"/>
    <cellStyle name="40% - Accent3 2 3 2 4" xfId="1075"/>
    <cellStyle name="40% - Accent3 2 3 2 4 2" xfId="3962"/>
    <cellStyle name="40% - Accent3 2 3 2 4 2 2" xfId="10003"/>
    <cellStyle name="40% - Accent3 2 3 2 4 2 2 2" xfId="27050"/>
    <cellStyle name="40% - Accent3 2 3 2 4 2 2 2 2" xfId="55911"/>
    <cellStyle name="40% - Accent3 2 3 2 4 2 2 3" xfId="38864"/>
    <cellStyle name="40% - Accent3 2 3 2 4 2 3" xfId="21072"/>
    <cellStyle name="40% - Accent3 2 3 2 4 2 3 2" xfId="49933"/>
    <cellStyle name="40% - Accent3 2 3 2 4 2 4" xfId="32823"/>
    <cellStyle name="40% - Accent3 2 3 2 4 3" xfId="7117"/>
    <cellStyle name="40% - Accent3 2 3 2 4 3 2" xfId="24164"/>
    <cellStyle name="40% - Accent3 2 3 2 4 3 2 2" xfId="53025"/>
    <cellStyle name="40% - Accent3 2 3 2 4 3 3" xfId="35978"/>
    <cellStyle name="40% - Accent3 2 3 2 4 4" xfId="12496"/>
    <cellStyle name="40% - Accent3 2 3 2 4 4 2" xfId="18392"/>
    <cellStyle name="40% - Accent3 2 3 2 4 4 2 2" xfId="47253"/>
    <cellStyle name="40% - Accent3 2 3 2 4 4 3" xfId="41357"/>
    <cellStyle name="40% - Accent3 2 3 2 4 5" xfId="15712"/>
    <cellStyle name="40% - Accent3 2 3 2 4 5 2" xfId="44573"/>
    <cellStyle name="40% - Accent3 2 3 2 4 6" xfId="29937"/>
    <cellStyle name="40% - Accent3 2 3 2 5" xfId="1281"/>
    <cellStyle name="40% - Accent3 2 3 2 5 2" xfId="4168"/>
    <cellStyle name="40% - Accent3 2 3 2 5 2 2" xfId="10209"/>
    <cellStyle name="40% - Accent3 2 3 2 5 2 2 2" xfId="27256"/>
    <cellStyle name="40% - Accent3 2 3 2 5 2 2 2 2" xfId="56117"/>
    <cellStyle name="40% - Accent3 2 3 2 5 2 2 3" xfId="39070"/>
    <cellStyle name="40% - Accent3 2 3 2 5 2 3" xfId="21278"/>
    <cellStyle name="40% - Accent3 2 3 2 5 2 3 2" xfId="50139"/>
    <cellStyle name="40% - Accent3 2 3 2 5 2 4" xfId="33029"/>
    <cellStyle name="40% - Accent3 2 3 2 5 3" xfId="7323"/>
    <cellStyle name="40% - Accent3 2 3 2 5 3 2" xfId="24370"/>
    <cellStyle name="40% - Accent3 2 3 2 5 3 2 2" xfId="53231"/>
    <cellStyle name="40% - Accent3 2 3 2 5 3 3" xfId="36184"/>
    <cellStyle name="40% - Accent3 2 3 2 5 4" xfId="14015"/>
    <cellStyle name="40% - Accent3 2 3 2 5 4 2" xfId="18598"/>
    <cellStyle name="40% - Accent3 2 3 2 5 4 2 2" xfId="47459"/>
    <cellStyle name="40% - Accent3 2 3 2 5 4 3" xfId="42876"/>
    <cellStyle name="40% - Accent3 2 3 2 5 5" xfId="15918"/>
    <cellStyle name="40% - Accent3 2 3 2 5 5 2" xfId="44779"/>
    <cellStyle name="40% - Accent3 2 3 2 5 6" xfId="30143"/>
    <cellStyle name="40% - Accent3 2 3 2 6" xfId="1487"/>
    <cellStyle name="40% - Accent3 2 3 2 6 2" xfId="4374"/>
    <cellStyle name="40% - Accent3 2 3 2 6 2 2" xfId="10415"/>
    <cellStyle name="40% - Accent3 2 3 2 6 2 2 2" xfId="27462"/>
    <cellStyle name="40% - Accent3 2 3 2 6 2 2 2 2" xfId="56323"/>
    <cellStyle name="40% - Accent3 2 3 2 6 2 2 3" xfId="39276"/>
    <cellStyle name="40% - Accent3 2 3 2 6 2 3" xfId="21484"/>
    <cellStyle name="40% - Accent3 2 3 2 6 2 3 2" xfId="50345"/>
    <cellStyle name="40% - Accent3 2 3 2 6 2 4" xfId="33235"/>
    <cellStyle name="40% - Accent3 2 3 2 6 3" xfId="7529"/>
    <cellStyle name="40% - Accent3 2 3 2 6 3 2" xfId="24576"/>
    <cellStyle name="40% - Accent3 2 3 2 6 3 2 2" xfId="53437"/>
    <cellStyle name="40% - Accent3 2 3 2 6 3 3" xfId="36390"/>
    <cellStyle name="40% - Accent3 2 3 2 6 4" xfId="13423"/>
    <cellStyle name="40% - Accent3 2 3 2 6 4 2" xfId="18804"/>
    <cellStyle name="40% - Accent3 2 3 2 6 4 2 2" xfId="47665"/>
    <cellStyle name="40% - Accent3 2 3 2 6 4 3" xfId="42284"/>
    <cellStyle name="40% - Accent3 2 3 2 6 5" xfId="16124"/>
    <cellStyle name="40% - Accent3 2 3 2 6 5 2" xfId="44985"/>
    <cellStyle name="40% - Accent3 2 3 2 6 6" xfId="30349"/>
    <cellStyle name="40% - Accent3 2 3 2 7" xfId="1693"/>
    <cellStyle name="40% - Accent3 2 3 2 7 2" xfId="4580"/>
    <cellStyle name="40% - Accent3 2 3 2 7 2 2" xfId="10621"/>
    <cellStyle name="40% - Accent3 2 3 2 7 2 2 2" xfId="27668"/>
    <cellStyle name="40% - Accent3 2 3 2 7 2 2 2 2" xfId="56529"/>
    <cellStyle name="40% - Accent3 2 3 2 7 2 2 3" xfId="39482"/>
    <cellStyle name="40% - Accent3 2 3 2 7 2 3" xfId="21690"/>
    <cellStyle name="40% - Accent3 2 3 2 7 2 3 2" xfId="50551"/>
    <cellStyle name="40% - Accent3 2 3 2 7 2 4" xfId="33441"/>
    <cellStyle name="40% - Accent3 2 3 2 7 3" xfId="7735"/>
    <cellStyle name="40% - Accent3 2 3 2 7 3 2" xfId="24782"/>
    <cellStyle name="40% - Accent3 2 3 2 7 3 2 2" xfId="53643"/>
    <cellStyle name="40% - Accent3 2 3 2 7 3 3" xfId="36596"/>
    <cellStyle name="40% - Accent3 2 3 2 7 4" xfId="13173"/>
    <cellStyle name="40% - Accent3 2 3 2 7 4 2" xfId="19010"/>
    <cellStyle name="40% - Accent3 2 3 2 7 4 2 2" xfId="47871"/>
    <cellStyle name="40% - Accent3 2 3 2 7 4 3" xfId="42034"/>
    <cellStyle name="40% - Accent3 2 3 2 7 5" xfId="16330"/>
    <cellStyle name="40% - Accent3 2 3 2 7 5 2" xfId="45191"/>
    <cellStyle name="40% - Accent3 2 3 2 7 6" xfId="30555"/>
    <cellStyle name="40% - Accent3 2 3 2 8" xfId="1899"/>
    <cellStyle name="40% - Accent3 2 3 2 8 2" xfId="4786"/>
    <cellStyle name="40% - Accent3 2 3 2 8 2 2" xfId="10827"/>
    <cellStyle name="40% - Accent3 2 3 2 8 2 2 2" xfId="27874"/>
    <cellStyle name="40% - Accent3 2 3 2 8 2 2 2 2" xfId="56735"/>
    <cellStyle name="40% - Accent3 2 3 2 8 2 2 3" xfId="39688"/>
    <cellStyle name="40% - Accent3 2 3 2 8 2 3" xfId="21896"/>
    <cellStyle name="40% - Accent3 2 3 2 8 2 3 2" xfId="50757"/>
    <cellStyle name="40% - Accent3 2 3 2 8 2 4" xfId="33647"/>
    <cellStyle name="40% - Accent3 2 3 2 8 3" xfId="7941"/>
    <cellStyle name="40% - Accent3 2 3 2 8 3 2" xfId="24988"/>
    <cellStyle name="40% - Accent3 2 3 2 8 3 2 2" xfId="53849"/>
    <cellStyle name="40% - Accent3 2 3 2 8 3 3" xfId="36802"/>
    <cellStyle name="40% - Accent3 2 3 2 8 4" xfId="14028"/>
    <cellStyle name="40% - Accent3 2 3 2 8 4 2" xfId="19216"/>
    <cellStyle name="40% - Accent3 2 3 2 8 4 2 2" xfId="48077"/>
    <cellStyle name="40% - Accent3 2 3 2 8 4 3" xfId="42889"/>
    <cellStyle name="40% - Accent3 2 3 2 8 5" xfId="16536"/>
    <cellStyle name="40% - Accent3 2 3 2 8 5 2" xfId="45397"/>
    <cellStyle name="40% - Accent3 2 3 2 8 6" xfId="30761"/>
    <cellStyle name="40% - Accent3 2 3 2 9" xfId="2105"/>
    <cellStyle name="40% - Accent3 2 3 2 9 2" xfId="4992"/>
    <cellStyle name="40% - Accent3 2 3 2 9 2 2" xfId="11033"/>
    <cellStyle name="40% - Accent3 2 3 2 9 2 2 2" xfId="28080"/>
    <cellStyle name="40% - Accent3 2 3 2 9 2 2 2 2" xfId="56941"/>
    <cellStyle name="40% - Accent3 2 3 2 9 2 2 3" xfId="39894"/>
    <cellStyle name="40% - Accent3 2 3 2 9 2 3" xfId="22102"/>
    <cellStyle name="40% - Accent3 2 3 2 9 2 3 2" xfId="50963"/>
    <cellStyle name="40% - Accent3 2 3 2 9 2 4" xfId="33853"/>
    <cellStyle name="40% - Accent3 2 3 2 9 3" xfId="8147"/>
    <cellStyle name="40% - Accent3 2 3 2 9 3 2" xfId="25194"/>
    <cellStyle name="40% - Accent3 2 3 2 9 3 2 2" xfId="54055"/>
    <cellStyle name="40% - Accent3 2 3 2 9 3 3" xfId="37008"/>
    <cellStyle name="40% - Accent3 2 3 2 9 4" xfId="11976"/>
    <cellStyle name="40% - Accent3 2 3 2 9 4 2" xfId="19422"/>
    <cellStyle name="40% - Accent3 2 3 2 9 4 2 2" xfId="48283"/>
    <cellStyle name="40% - Accent3 2 3 2 9 4 3" xfId="40837"/>
    <cellStyle name="40% - Accent3 2 3 2 9 5" xfId="16742"/>
    <cellStyle name="40% - Accent3 2 3 2 9 5 2" xfId="45603"/>
    <cellStyle name="40% - Accent3 2 3 2 9 6" xfId="30967"/>
    <cellStyle name="40% - Accent3 2 3 20" xfId="29010"/>
    <cellStyle name="40% - Accent3 2 3 3" xfId="251"/>
    <cellStyle name="40% - Accent3 2 3 3 2" xfId="663"/>
    <cellStyle name="40% - Accent3 2 3 3 2 2" xfId="3550"/>
    <cellStyle name="40% - Accent3 2 3 3 2 2 2" xfId="9591"/>
    <cellStyle name="40% - Accent3 2 3 3 2 2 2 2" xfId="26638"/>
    <cellStyle name="40% - Accent3 2 3 3 2 2 2 2 2" xfId="55499"/>
    <cellStyle name="40% - Accent3 2 3 3 2 2 2 3" xfId="38452"/>
    <cellStyle name="40% - Accent3 2 3 3 2 2 3" xfId="20660"/>
    <cellStyle name="40% - Accent3 2 3 3 2 2 3 2" xfId="49521"/>
    <cellStyle name="40% - Accent3 2 3 3 2 2 4" xfId="32411"/>
    <cellStyle name="40% - Accent3 2 3 3 2 3" xfId="6705"/>
    <cellStyle name="40% - Accent3 2 3 3 2 3 2" xfId="23752"/>
    <cellStyle name="40% - Accent3 2 3 3 2 3 2 2" xfId="52613"/>
    <cellStyle name="40% - Accent3 2 3 3 2 3 3" xfId="35566"/>
    <cellStyle name="40% - Accent3 2 3 3 2 4" xfId="12106"/>
    <cellStyle name="40% - Accent3 2 3 3 2 4 2" xfId="17980"/>
    <cellStyle name="40% - Accent3 2 3 3 2 4 2 2" xfId="46841"/>
    <cellStyle name="40% - Accent3 2 3 3 2 4 3" xfId="40967"/>
    <cellStyle name="40% - Accent3 2 3 3 2 5" xfId="15300"/>
    <cellStyle name="40% - Accent3 2 3 3 2 5 2" xfId="44161"/>
    <cellStyle name="40% - Accent3 2 3 3 2 6" xfId="29525"/>
    <cellStyle name="40% - Accent3 2 3 3 3" xfId="2208"/>
    <cellStyle name="40% - Accent3 2 3 3 3 2" xfId="5095"/>
    <cellStyle name="40% - Accent3 2 3 3 3 2 2" xfId="11136"/>
    <cellStyle name="40% - Accent3 2 3 3 3 2 2 2" xfId="28183"/>
    <cellStyle name="40% - Accent3 2 3 3 3 2 2 2 2" xfId="57044"/>
    <cellStyle name="40% - Accent3 2 3 3 3 2 2 3" xfId="39997"/>
    <cellStyle name="40% - Accent3 2 3 3 3 2 3" xfId="22205"/>
    <cellStyle name="40% - Accent3 2 3 3 3 2 3 2" xfId="51066"/>
    <cellStyle name="40% - Accent3 2 3 3 3 2 4" xfId="33956"/>
    <cellStyle name="40% - Accent3 2 3 3 3 3" xfId="8250"/>
    <cellStyle name="40% - Accent3 2 3 3 3 3 2" xfId="25297"/>
    <cellStyle name="40% - Accent3 2 3 3 3 3 2 2" xfId="54158"/>
    <cellStyle name="40% - Accent3 2 3 3 3 3 3" xfId="37111"/>
    <cellStyle name="40% - Accent3 2 3 3 3 4" xfId="12552"/>
    <cellStyle name="40% - Accent3 2 3 3 3 4 2" xfId="19525"/>
    <cellStyle name="40% - Accent3 2 3 3 3 4 2 2" xfId="48386"/>
    <cellStyle name="40% - Accent3 2 3 3 3 4 3" xfId="41413"/>
    <cellStyle name="40% - Accent3 2 3 3 3 5" xfId="16845"/>
    <cellStyle name="40% - Accent3 2 3 3 3 5 2" xfId="45706"/>
    <cellStyle name="40% - Accent3 2 3 3 3 6" xfId="31070"/>
    <cellStyle name="40% - Accent3 2 3 3 4" xfId="3138"/>
    <cellStyle name="40% - Accent3 2 3 3 4 2" xfId="9179"/>
    <cellStyle name="40% - Accent3 2 3 3 4 2 2" xfId="26226"/>
    <cellStyle name="40% - Accent3 2 3 3 4 2 2 2" xfId="55087"/>
    <cellStyle name="40% - Accent3 2 3 3 4 2 3" xfId="38040"/>
    <cellStyle name="40% - Accent3 2 3 3 4 3" xfId="20248"/>
    <cellStyle name="40% - Accent3 2 3 3 4 3 2" xfId="49109"/>
    <cellStyle name="40% - Accent3 2 3 3 4 4" xfId="31999"/>
    <cellStyle name="40% - Accent3 2 3 3 5" xfId="6293"/>
    <cellStyle name="40% - Accent3 2 3 3 5 2" xfId="23340"/>
    <cellStyle name="40% - Accent3 2 3 3 5 2 2" xfId="52201"/>
    <cellStyle name="40% - Accent3 2 3 3 5 3" xfId="35154"/>
    <cellStyle name="40% - Accent3 2 3 3 6" xfId="13502"/>
    <cellStyle name="40% - Accent3 2 3 3 6 2" xfId="17671"/>
    <cellStyle name="40% - Accent3 2 3 3 6 2 2" xfId="46532"/>
    <cellStyle name="40% - Accent3 2 3 3 6 3" xfId="42363"/>
    <cellStyle name="40% - Accent3 2 3 3 7" xfId="14888"/>
    <cellStyle name="40% - Accent3 2 3 3 7 2" xfId="43749"/>
    <cellStyle name="40% - Accent3 2 3 3 8" xfId="29113"/>
    <cellStyle name="40% - Accent3 2 3 4" xfId="457"/>
    <cellStyle name="40% - Accent3 2 3 4 2" xfId="3344"/>
    <cellStyle name="40% - Accent3 2 3 4 2 2" xfId="9385"/>
    <cellStyle name="40% - Accent3 2 3 4 2 2 2" xfId="26432"/>
    <cellStyle name="40% - Accent3 2 3 4 2 2 2 2" xfId="55293"/>
    <cellStyle name="40% - Accent3 2 3 4 2 2 3" xfId="38246"/>
    <cellStyle name="40% - Accent3 2 3 4 2 3" xfId="20454"/>
    <cellStyle name="40% - Accent3 2 3 4 2 3 2" xfId="49315"/>
    <cellStyle name="40% - Accent3 2 3 4 2 4" xfId="32205"/>
    <cellStyle name="40% - Accent3 2 3 4 3" xfId="6499"/>
    <cellStyle name="40% - Accent3 2 3 4 3 2" xfId="23546"/>
    <cellStyle name="40% - Accent3 2 3 4 3 2 2" xfId="52407"/>
    <cellStyle name="40% - Accent3 2 3 4 3 3" xfId="35360"/>
    <cellStyle name="40% - Accent3 2 3 4 4" xfId="13946"/>
    <cellStyle name="40% - Accent3 2 3 4 4 2" xfId="17774"/>
    <cellStyle name="40% - Accent3 2 3 4 4 2 2" xfId="46635"/>
    <cellStyle name="40% - Accent3 2 3 4 4 3" xfId="42807"/>
    <cellStyle name="40% - Accent3 2 3 4 5" xfId="15094"/>
    <cellStyle name="40% - Accent3 2 3 4 5 2" xfId="43955"/>
    <cellStyle name="40% - Accent3 2 3 4 6" xfId="29319"/>
    <cellStyle name="40% - Accent3 2 3 5" xfId="766"/>
    <cellStyle name="40% - Accent3 2 3 5 2" xfId="3653"/>
    <cellStyle name="40% - Accent3 2 3 5 2 2" xfId="9694"/>
    <cellStyle name="40% - Accent3 2 3 5 2 2 2" xfId="26741"/>
    <cellStyle name="40% - Accent3 2 3 5 2 2 2 2" xfId="55602"/>
    <cellStyle name="40% - Accent3 2 3 5 2 2 3" xfId="38555"/>
    <cellStyle name="40% - Accent3 2 3 5 2 3" xfId="20763"/>
    <cellStyle name="40% - Accent3 2 3 5 2 3 2" xfId="49624"/>
    <cellStyle name="40% - Accent3 2 3 5 2 4" xfId="32514"/>
    <cellStyle name="40% - Accent3 2 3 5 3" xfId="6808"/>
    <cellStyle name="40% - Accent3 2 3 5 3 2" xfId="23855"/>
    <cellStyle name="40% - Accent3 2 3 5 3 2 2" xfId="52716"/>
    <cellStyle name="40% - Accent3 2 3 5 3 3" xfId="35669"/>
    <cellStyle name="40% - Accent3 2 3 5 4" xfId="11967"/>
    <cellStyle name="40% - Accent3 2 3 5 4 2" xfId="18083"/>
    <cellStyle name="40% - Accent3 2 3 5 4 2 2" xfId="46944"/>
    <cellStyle name="40% - Accent3 2 3 5 4 3" xfId="40828"/>
    <cellStyle name="40% - Accent3 2 3 5 5" xfId="15403"/>
    <cellStyle name="40% - Accent3 2 3 5 5 2" xfId="44264"/>
    <cellStyle name="40% - Accent3 2 3 5 6" xfId="29628"/>
    <cellStyle name="40% - Accent3 2 3 6" xfId="972"/>
    <cellStyle name="40% - Accent3 2 3 6 2" xfId="3859"/>
    <cellStyle name="40% - Accent3 2 3 6 2 2" xfId="9900"/>
    <cellStyle name="40% - Accent3 2 3 6 2 2 2" xfId="26947"/>
    <cellStyle name="40% - Accent3 2 3 6 2 2 2 2" xfId="55808"/>
    <cellStyle name="40% - Accent3 2 3 6 2 2 3" xfId="38761"/>
    <cellStyle name="40% - Accent3 2 3 6 2 3" xfId="20969"/>
    <cellStyle name="40% - Accent3 2 3 6 2 3 2" xfId="49830"/>
    <cellStyle name="40% - Accent3 2 3 6 2 4" xfId="32720"/>
    <cellStyle name="40% - Accent3 2 3 6 3" xfId="7014"/>
    <cellStyle name="40% - Accent3 2 3 6 3 2" xfId="24061"/>
    <cellStyle name="40% - Accent3 2 3 6 3 2 2" xfId="52922"/>
    <cellStyle name="40% - Accent3 2 3 6 3 3" xfId="35875"/>
    <cellStyle name="40% - Accent3 2 3 6 4" xfId="13266"/>
    <cellStyle name="40% - Accent3 2 3 6 4 2" xfId="18289"/>
    <cellStyle name="40% - Accent3 2 3 6 4 2 2" xfId="47150"/>
    <cellStyle name="40% - Accent3 2 3 6 4 3" xfId="42127"/>
    <cellStyle name="40% - Accent3 2 3 6 5" xfId="15609"/>
    <cellStyle name="40% - Accent3 2 3 6 5 2" xfId="44470"/>
    <cellStyle name="40% - Accent3 2 3 6 6" xfId="29834"/>
    <cellStyle name="40% - Accent3 2 3 7" xfId="1178"/>
    <cellStyle name="40% - Accent3 2 3 7 2" xfId="4065"/>
    <cellStyle name="40% - Accent3 2 3 7 2 2" xfId="10106"/>
    <cellStyle name="40% - Accent3 2 3 7 2 2 2" xfId="27153"/>
    <cellStyle name="40% - Accent3 2 3 7 2 2 2 2" xfId="56014"/>
    <cellStyle name="40% - Accent3 2 3 7 2 2 3" xfId="38967"/>
    <cellStyle name="40% - Accent3 2 3 7 2 3" xfId="21175"/>
    <cellStyle name="40% - Accent3 2 3 7 2 3 2" xfId="50036"/>
    <cellStyle name="40% - Accent3 2 3 7 2 4" xfId="32926"/>
    <cellStyle name="40% - Accent3 2 3 7 3" xfId="7220"/>
    <cellStyle name="40% - Accent3 2 3 7 3 2" xfId="24267"/>
    <cellStyle name="40% - Accent3 2 3 7 3 2 2" xfId="53128"/>
    <cellStyle name="40% - Accent3 2 3 7 3 3" xfId="36081"/>
    <cellStyle name="40% - Accent3 2 3 7 4" xfId="14099"/>
    <cellStyle name="40% - Accent3 2 3 7 4 2" xfId="18495"/>
    <cellStyle name="40% - Accent3 2 3 7 4 2 2" xfId="47356"/>
    <cellStyle name="40% - Accent3 2 3 7 4 3" xfId="42960"/>
    <cellStyle name="40% - Accent3 2 3 7 5" xfId="15815"/>
    <cellStyle name="40% - Accent3 2 3 7 5 2" xfId="44676"/>
    <cellStyle name="40% - Accent3 2 3 7 6" xfId="30040"/>
    <cellStyle name="40% - Accent3 2 3 8" xfId="1384"/>
    <cellStyle name="40% - Accent3 2 3 8 2" xfId="4271"/>
    <cellStyle name="40% - Accent3 2 3 8 2 2" xfId="10312"/>
    <cellStyle name="40% - Accent3 2 3 8 2 2 2" xfId="27359"/>
    <cellStyle name="40% - Accent3 2 3 8 2 2 2 2" xfId="56220"/>
    <cellStyle name="40% - Accent3 2 3 8 2 2 3" xfId="39173"/>
    <cellStyle name="40% - Accent3 2 3 8 2 3" xfId="21381"/>
    <cellStyle name="40% - Accent3 2 3 8 2 3 2" xfId="50242"/>
    <cellStyle name="40% - Accent3 2 3 8 2 4" xfId="33132"/>
    <cellStyle name="40% - Accent3 2 3 8 3" xfId="7426"/>
    <cellStyle name="40% - Accent3 2 3 8 3 2" xfId="24473"/>
    <cellStyle name="40% - Accent3 2 3 8 3 2 2" xfId="53334"/>
    <cellStyle name="40% - Accent3 2 3 8 3 3" xfId="36287"/>
    <cellStyle name="40% - Accent3 2 3 8 4" xfId="12339"/>
    <cellStyle name="40% - Accent3 2 3 8 4 2" xfId="18701"/>
    <cellStyle name="40% - Accent3 2 3 8 4 2 2" xfId="47562"/>
    <cellStyle name="40% - Accent3 2 3 8 4 3" xfId="41200"/>
    <cellStyle name="40% - Accent3 2 3 8 5" xfId="16021"/>
    <cellStyle name="40% - Accent3 2 3 8 5 2" xfId="44882"/>
    <cellStyle name="40% - Accent3 2 3 8 6" xfId="30246"/>
    <cellStyle name="40% - Accent3 2 3 9" xfId="1590"/>
    <cellStyle name="40% - Accent3 2 3 9 2" xfId="4477"/>
    <cellStyle name="40% - Accent3 2 3 9 2 2" xfId="10518"/>
    <cellStyle name="40% - Accent3 2 3 9 2 2 2" xfId="27565"/>
    <cellStyle name="40% - Accent3 2 3 9 2 2 2 2" xfId="56426"/>
    <cellStyle name="40% - Accent3 2 3 9 2 2 3" xfId="39379"/>
    <cellStyle name="40% - Accent3 2 3 9 2 3" xfId="21587"/>
    <cellStyle name="40% - Accent3 2 3 9 2 3 2" xfId="50448"/>
    <cellStyle name="40% - Accent3 2 3 9 2 4" xfId="33338"/>
    <cellStyle name="40% - Accent3 2 3 9 3" xfId="7632"/>
    <cellStyle name="40% - Accent3 2 3 9 3 2" xfId="24679"/>
    <cellStyle name="40% - Accent3 2 3 9 3 2 2" xfId="53540"/>
    <cellStyle name="40% - Accent3 2 3 9 3 3" xfId="36493"/>
    <cellStyle name="40% - Accent3 2 3 9 4" xfId="13807"/>
    <cellStyle name="40% - Accent3 2 3 9 4 2" xfId="18907"/>
    <cellStyle name="40% - Accent3 2 3 9 4 2 2" xfId="47768"/>
    <cellStyle name="40% - Accent3 2 3 9 4 3" xfId="42668"/>
    <cellStyle name="40% - Accent3 2 3 9 5" xfId="16227"/>
    <cellStyle name="40% - Accent3 2 3 9 5 2" xfId="45088"/>
    <cellStyle name="40% - Accent3 2 3 9 6" xfId="30452"/>
    <cellStyle name="40% - Accent3 2 4" xfId="302"/>
    <cellStyle name="40% - Accent3 2 4 10" xfId="2465"/>
    <cellStyle name="40% - Accent3 2 4 10 2" xfId="5352"/>
    <cellStyle name="40% - Accent3 2 4 10 2 2" xfId="11393"/>
    <cellStyle name="40% - Accent3 2 4 10 2 2 2" xfId="28440"/>
    <cellStyle name="40% - Accent3 2 4 10 2 2 2 2" xfId="57301"/>
    <cellStyle name="40% - Accent3 2 4 10 2 2 3" xfId="40254"/>
    <cellStyle name="40% - Accent3 2 4 10 2 3" xfId="22462"/>
    <cellStyle name="40% - Accent3 2 4 10 2 3 2" xfId="51323"/>
    <cellStyle name="40% - Accent3 2 4 10 2 4" xfId="34213"/>
    <cellStyle name="40% - Accent3 2 4 10 3" xfId="8507"/>
    <cellStyle name="40% - Accent3 2 4 10 3 2" xfId="25554"/>
    <cellStyle name="40% - Accent3 2 4 10 3 2 2" xfId="54415"/>
    <cellStyle name="40% - Accent3 2 4 10 3 3" xfId="37368"/>
    <cellStyle name="40% - Accent3 2 4 10 4" xfId="13016"/>
    <cellStyle name="40% - Accent3 2 4 10 4 2" xfId="19782"/>
    <cellStyle name="40% - Accent3 2 4 10 4 2 2" xfId="48643"/>
    <cellStyle name="40% - Accent3 2 4 10 4 3" xfId="41877"/>
    <cellStyle name="40% - Accent3 2 4 10 5" xfId="17102"/>
    <cellStyle name="40% - Accent3 2 4 10 5 2" xfId="45963"/>
    <cellStyle name="40% - Accent3 2 4 10 6" xfId="31327"/>
    <cellStyle name="40% - Accent3 2 4 11" xfId="2674"/>
    <cellStyle name="40% - Accent3 2 4 11 2" xfId="5560"/>
    <cellStyle name="40% - Accent3 2 4 11 2 2" xfId="11601"/>
    <cellStyle name="40% - Accent3 2 4 11 2 2 2" xfId="28648"/>
    <cellStyle name="40% - Accent3 2 4 11 2 2 2 2" xfId="57509"/>
    <cellStyle name="40% - Accent3 2 4 11 2 2 3" xfId="40462"/>
    <cellStyle name="40% - Accent3 2 4 11 2 3" xfId="22670"/>
    <cellStyle name="40% - Accent3 2 4 11 2 3 2" xfId="51531"/>
    <cellStyle name="40% - Accent3 2 4 11 2 4" xfId="34421"/>
    <cellStyle name="40% - Accent3 2 4 11 3" xfId="8715"/>
    <cellStyle name="40% - Accent3 2 4 11 3 2" xfId="25762"/>
    <cellStyle name="40% - Accent3 2 4 11 3 2 2" xfId="54623"/>
    <cellStyle name="40% - Accent3 2 4 11 3 3" xfId="37576"/>
    <cellStyle name="40% - Accent3 2 4 11 4" xfId="12886"/>
    <cellStyle name="40% - Accent3 2 4 11 4 2" xfId="19990"/>
    <cellStyle name="40% - Accent3 2 4 11 4 2 2" xfId="48851"/>
    <cellStyle name="40% - Accent3 2 4 11 4 3" xfId="41747"/>
    <cellStyle name="40% - Accent3 2 4 11 5" xfId="17310"/>
    <cellStyle name="40% - Accent3 2 4 11 5 2" xfId="46171"/>
    <cellStyle name="40% - Accent3 2 4 11 6" xfId="31535"/>
    <cellStyle name="40% - Accent3 2 4 12" xfId="3189"/>
    <cellStyle name="40% - Accent3 2 4 12 2" xfId="9230"/>
    <cellStyle name="40% - Accent3 2 4 12 2 2" xfId="26277"/>
    <cellStyle name="40% - Accent3 2 4 12 2 2 2" xfId="55138"/>
    <cellStyle name="40% - Accent3 2 4 12 2 3" xfId="38091"/>
    <cellStyle name="40% - Accent3 2 4 12 3" xfId="14155"/>
    <cellStyle name="40% - Accent3 2 4 12 3 2" xfId="20299"/>
    <cellStyle name="40% - Accent3 2 4 12 3 2 2" xfId="49160"/>
    <cellStyle name="40% - Accent3 2 4 12 3 3" xfId="43016"/>
    <cellStyle name="40% - Accent3 2 4 12 4" xfId="14939"/>
    <cellStyle name="40% - Accent3 2 4 12 4 2" xfId="43800"/>
    <cellStyle name="40% - Accent3 2 4 12 5" xfId="32050"/>
    <cellStyle name="40% - Accent3 2 4 13" xfId="2880"/>
    <cellStyle name="40% - Accent3 2 4 13 2" xfId="8921"/>
    <cellStyle name="40% - Accent3 2 4 13 2 2" xfId="25968"/>
    <cellStyle name="40% - Accent3 2 4 13 2 2 2" xfId="54829"/>
    <cellStyle name="40% - Accent3 2 4 13 2 3" xfId="37782"/>
    <cellStyle name="40% - Accent3 2 4 13 3" xfId="17516"/>
    <cellStyle name="40% - Accent3 2 4 13 3 2" xfId="46377"/>
    <cellStyle name="40% - Accent3 2 4 13 4" xfId="31741"/>
    <cellStyle name="40% - Accent3 2 4 14" xfId="5766"/>
    <cellStyle name="40% - Accent3 2 4 14 2" xfId="11807"/>
    <cellStyle name="40% - Accent3 2 4 14 2 2" xfId="28854"/>
    <cellStyle name="40% - Accent3 2 4 14 2 2 2" xfId="57715"/>
    <cellStyle name="40% - Accent3 2 4 14 2 3" xfId="40668"/>
    <cellStyle name="40% - Accent3 2 4 14 3" xfId="22876"/>
    <cellStyle name="40% - Accent3 2 4 14 3 2" xfId="51737"/>
    <cellStyle name="40% - Accent3 2 4 14 4" xfId="34627"/>
    <cellStyle name="40% - Accent3 2 4 15" xfId="5983"/>
    <cellStyle name="40% - Accent3 2 4 15 2" xfId="23082"/>
    <cellStyle name="40% - Accent3 2 4 15 2 2" xfId="51943"/>
    <cellStyle name="40% - Accent3 2 4 15 3" xfId="34844"/>
    <cellStyle name="40% - Accent3 2 4 16" xfId="6344"/>
    <cellStyle name="40% - Accent3 2 4 16 2" xfId="23391"/>
    <cellStyle name="40% - Accent3 2 4 16 2 2" xfId="52252"/>
    <cellStyle name="40% - Accent3 2 4 16 3" xfId="35205"/>
    <cellStyle name="40% - Accent3 2 4 17" xfId="14630"/>
    <cellStyle name="40% - Accent3 2 4 17 2" xfId="43491"/>
    <cellStyle name="40% - Accent3 2 4 18" xfId="29164"/>
    <cellStyle name="40% - Accent3 2 4 2" xfId="508"/>
    <cellStyle name="40% - Accent3 2 4 2 2" xfId="2259"/>
    <cellStyle name="40% - Accent3 2 4 2 2 2" xfId="5146"/>
    <cellStyle name="40% - Accent3 2 4 2 2 2 2" xfId="11187"/>
    <cellStyle name="40% - Accent3 2 4 2 2 2 2 2" xfId="28234"/>
    <cellStyle name="40% - Accent3 2 4 2 2 2 2 2 2" xfId="57095"/>
    <cellStyle name="40% - Accent3 2 4 2 2 2 2 3" xfId="40048"/>
    <cellStyle name="40% - Accent3 2 4 2 2 2 3" xfId="22256"/>
    <cellStyle name="40% - Accent3 2 4 2 2 2 3 2" xfId="51117"/>
    <cellStyle name="40% - Accent3 2 4 2 2 2 4" xfId="34007"/>
    <cellStyle name="40% - Accent3 2 4 2 2 3" xfId="8301"/>
    <cellStyle name="40% - Accent3 2 4 2 2 3 2" xfId="25348"/>
    <cellStyle name="40% - Accent3 2 4 2 2 3 2 2" xfId="54209"/>
    <cellStyle name="40% - Accent3 2 4 2 2 3 3" xfId="37162"/>
    <cellStyle name="40% - Accent3 2 4 2 2 4" xfId="14422"/>
    <cellStyle name="40% - Accent3 2 4 2 2 4 2" xfId="19576"/>
    <cellStyle name="40% - Accent3 2 4 2 2 4 2 2" xfId="48437"/>
    <cellStyle name="40% - Accent3 2 4 2 2 4 3" xfId="43283"/>
    <cellStyle name="40% - Accent3 2 4 2 2 5" xfId="16896"/>
    <cellStyle name="40% - Accent3 2 4 2 2 5 2" xfId="45757"/>
    <cellStyle name="40% - Accent3 2 4 2 2 6" xfId="31121"/>
    <cellStyle name="40% - Accent3 2 4 2 3" xfId="3395"/>
    <cellStyle name="40% - Accent3 2 4 2 3 2" xfId="9436"/>
    <cellStyle name="40% - Accent3 2 4 2 3 2 2" xfId="26483"/>
    <cellStyle name="40% - Accent3 2 4 2 3 2 2 2" xfId="55344"/>
    <cellStyle name="40% - Accent3 2 4 2 3 2 3" xfId="38297"/>
    <cellStyle name="40% - Accent3 2 4 2 3 3" xfId="20505"/>
    <cellStyle name="40% - Accent3 2 4 2 3 3 2" xfId="49366"/>
    <cellStyle name="40% - Accent3 2 4 2 3 4" xfId="32256"/>
    <cellStyle name="40% - Accent3 2 4 2 4" xfId="6550"/>
    <cellStyle name="40% - Accent3 2 4 2 4 2" xfId="23597"/>
    <cellStyle name="40% - Accent3 2 4 2 4 2 2" xfId="52458"/>
    <cellStyle name="40% - Accent3 2 4 2 4 3" xfId="35411"/>
    <cellStyle name="40% - Accent3 2 4 2 5" xfId="13755"/>
    <cellStyle name="40% - Accent3 2 4 2 5 2" xfId="17825"/>
    <cellStyle name="40% - Accent3 2 4 2 5 2 2" xfId="46686"/>
    <cellStyle name="40% - Accent3 2 4 2 5 3" xfId="42616"/>
    <cellStyle name="40% - Accent3 2 4 2 6" xfId="15145"/>
    <cellStyle name="40% - Accent3 2 4 2 6 2" xfId="44006"/>
    <cellStyle name="40% - Accent3 2 4 2 7" xfId="29370"/>
    <cellStyle name="40% - Accent3 2 4 3" xfId="817"/>
    <cellStyle name="40% - Accent3 2 4 3 2" xfId="3704"/>
    <cellStyle name="40% - Accent3 2 4 3 2 2" xfId="9745"/>
    <cellStyle name="40% - Accent3 2 4 3 2 2 2" xfId="26792"/>
    <cellStyle name="40% - Accent3 2 4 3 2 2 2 2" xfId="55653"/>
    <cellStyle name="40% - Accent3 2 4 3 2 2 3" xfId="38606"/>
    <cellStyle name="40% - Accent3 2 4 3 2 3" xfId="20814"/>
    <cellStyle name="40% - Accent3 2 4 3 2 3 2" xfId="49675"/>
    <cellStyle name="40% - Accent3 2 4 3 2 4" xfId="32565"/>
    <cellStyle name="40% - Accent3 2 4 3 3" xfId="6859"/>
    <cellStyle name="40% - Accent3 2 4 3 3 2" xfId="23906"/>
    <cellStyle name="40% - Accent3 2 4 3 3 2 2" xfId="52767"/>
    <cellStyle name="40% - Accent3 2 4 3 3 3" xfId="35720"/>
    <cellStyle name="40% - Accent3 2 4 3 4" xfId="12118"/>
    <cellStyle name="40% - Accent3 2 4 3 4 2" xfId="18134"/>
    <cellStyle name="40% - Accent3 2 4 3 4 2 2" xfId="46995"/>
    <cellStyle name="40% - Accent3 2 4 3 4 3" xfId="40979"/>
    <cellStyle name="40% - Accent3 2 4 3 5" xfId="15454"/>
    <cellStyle name="40% - Accent3 2 4 3 5 2" xfId="44315"/>
    <cellStyle name="40% - Accent3 2 4 3 6" xfId="29679"/>
    <cellStyle name="40% - Accent3 2 4 4" xfId="1023"/>
    <cellStyle name="40% - Accent3 2 4 4 2" xfId="3910"/>
    <cellStyle name="40% - Accent3 2 4 4 2 2" xfId="9951"/>
    <cellStyle name="40% - Accent3 2 4 4 2 2 2" xfId="26998"/>
    <cellStyle name="40% - Accent3 2 4 4 2 2 2 2" xfId="55859"/>
    <cellStyle name="40% - Accent3 2 4 4 2 2 3" xfId="38812"/>
    <cellStyle name="40% - Accent3 2 4 4 2 3" xfId="21020"/>
    <cellStyle name="40% - Accent3 2 4 4 2 3 2" xfId="49881"/>
    <cellStyle name="40% - Accent3 2 4 4 2 4" xfId="32771"/>
    <cellStyle name="40% - Accent3 2 4 4 3" xfId="7065"/>
    <cellStyle name="40% - Accent3 2 4 4 3 2" xfId="24112"/>
    <cellStyle name="40% - Accent3 2 4 4 3 2 2" xfId="52973"/>
    <cellStyle name="40% - Accent3 2 4 4 3 3" xfId="35926"/>
    <cellStyle name="40% - Accent3 2 4 4 4" xfId="14375"/>
    <cellStyle name="40% - Accent3 2 4 4 4 2" xfId="18340"/>
    <cellStyle name="40% - Accent3 2 4 4 4 2 2" xfId="47201"/>
    <cellStyle name="40% - Accent3 2 4 4 4 3" xfId="43236"/>
    <cellStyle name="40% - Accent3 2 4 4 5" xfId="15660"/>
    <cellStyle name="40% - Accent3 2 4 4 5 2" xfId="44521"/>
    <cellStyle name="40% - Accent3 2 4 4 6" xfId="29885"/>
    <cellStyle name="40% - Accent3 2 4 5" xfId="1229"/>
    <cellStyle name="40% - Accent3 2 4 5 2" xfId="4116"/>
    <cellStyle name="40% - Accent3 2 4 5 2 2" xfId="10157"/>
    <cellStyle name="40% - Accent3 2 4 5 2 2 2" xfId="27204"/>
    <cellStyle name="40% - Accent3 2 4 5 2 2 2 2" xfId="56065"/>
    <cellStyle name="40% - Accent3 2 4 5 2 2 3" xfId="39018"/>
    <cellStyle name="40% - Accent3 2 4 5 2 3" xfId="21226"/>
    <cellStyle name="40% - Accent3 2 4 5 2 3 2" xfId="50087"/>
    <cellStyle name="40% - Accent3 2 4 5 2 4" xfId="32977"/>
    <cellStyle name="40% - Accent3 2 4 5 3" xfId="7271"/>
    <cellStyle name="40% - Accent3 2 4 5 3 2" xfId="24318"/>
    <cellStyle name="40% - Accent3 2 4 5 3 2 2" xfId="53179"/>
    <cellStyle name="40% - Accent3 2 4 5 3 3" xfId="36132"/>
    <cellStyle name="40% - Accent3 2 4 5 4" xfId="14277"/>
    <cellStyle name="40% - Accent3 2 4 5 4 2" xfId="18546"/>
    <cellStyle name="40% - Accent3 2 4 5 4 2 2" xfId="47407"/>
    <cellStyle name="40% - Accent3 2 4 5 4 3" xfId="43138"/>
    <cellStyle name="40% - Accent3 2 4 5 5" xfId="15866"/>
    <cellStyle name="40% - Accent3 2 4 5 5 2" xfId="44727"/>
    <cellStyle name="40% - Accent3 2 4 5 6" xfId="30091"/>
    <cellStyle name="40% - Accent3 2 4 6" xfId="1435"/>
    <cellStyle name="40% - Accent3 2 4 6 2" xfId="4322"/>
    <cellStyle name="40% - Accent3 2 4 6 2 2" xfId="10363"/>
    <cellStyle name="40% - Accent3 2 4 6 2 2 2" xfId="27410"/>
    <cellStyle name="40% - Accent3 2 4 6 2 2 2 2" xfId="56271"/>
    <cellStyle name="40% - Accent3 2 4 6 2 2 3" xfId="39224"/>
    <cellStyle name="40% - Accent3 2 4 6 2 3" xfId="21432"/>
    <cellStyle name="40% - Accent3 2 4 6 2 3 2" xfId="50293"/>
    <cellStyle name="40% - Accent3 2 4 6 2 4" xfId="33183"/>
    <cellStyle name="40% - Accent3 2 4 6 3" xfId="7477"/>
    <cellStyle name="40% - Accent3 2 4 6 3 2" xfId="24524"/>
    <cellStyle name="40% - Accent3 2 4 6 3 2 2" xfId="53385"/>
    <cellStyle name="40% - Accent3 2 4 6 3 3" xfId="36338"/>
    <cellStyle name="40% - Accent3 2 4 6 4" xfId="14111"/>
    <cellStyle name="40% - Accent3 2 4 6 4 2" xfId="18752"/>
    <cellStyle name="40% - Accent3 2 4 6 4 2 2" xfId="47613"/>
    <cellStyle name="40% - Accent3 2 4 6 4 3" xfId="42972"/>
    <cellStyle name="40% - Accent3 2 4 6 5" xfId="16072"/>
    <cellStyle name="40% - Accent3 2 4 6 5 2" xfId="44933"/>
    <cellStyle name="40% - Accent3 2 4 6 6" xfId="30297"/>
    <cellStyle name="40% - Accent3 2 4 7" xfId="1641"/>
    <cellStyle name="40% - Accent3 2 4 7 2" xfId="4528"/>
    <cellStyle name="40% - Accent3 2 4 7 2 2" xfId="10569"/>
    <cellStyle name="40% - Accent3 2 4 7 2 2 2" xfId="27616"/>
    <cellStyle name="40% - Accent3 2 4 7 2 2 2 2" xfId="56477"/>
    <cellStyle name="40% - Accent3 2 4 7 2 2 3" xfId="39430"/>
    <cellStyle name="40% - Accent3 2 4 7 2 3" xfId="21638"/>
    <cellStyle name="40% - Accent3 2 4 7 2 3 2" xfId="50499"/>
    <cellStyle name="40% - Accent3 2 4 7 2 4" xfId="33389"/>
    <cellStyle name="40% - Accent3 2 4 7 3" xfId="7683"/>
    <cellStyle name="40% - Accent3 2 4 7 3 2" xfId="24730"/>
    <cellStyle name="40% - Accent3 2 4 7 3 2 2" xfId="53591"/>
    <cellStyle name="40% - Accent3 2 4 7 3 3" xfId="36544"/>
    <cellStyle name="40% - Accent3 2 4 7 4" xfId="13478"/>
    <cellStyle name="40% - Accent3 2 4 7 4 2" xfId="18958"/>
    <cellStyle name="40% - Accent3 2 4 7 4 2 2" xfId="47819"/>
    <cellStyle name="40% - Accent3 2 4 7 4 3" xfId="42339"/>
    <cellStyle name="40% - Accent3 2 4 7 5" xfId="16278"/>
    <cellStyle name="40% - Accent3 2 4 7 5 2" xfId="45139"/>
    <cellStyle name="40% - Accent3 2 4 7 6" xfId="30503"/>
    <cellStyle name="40% - Accent3 2 4 8" xfId="1847"/>
    <cellStyle name="40% - Accent3 2 4 8 2" xfId="4734"/>
    <cellStyle name="40% - Accent3 2 4 8 2 2" xfId="10775"/>
    <cellStyle name="40% - Accent3 2 4 8 2 2 2" xfId="27822"/>
    <cellStyle name="40% - Accent3 2 4 8 2 2 2 2" xfId="56683"/>
    <cellStyle name="40% - Accent3 2 4 8 2 2 3" xfId="39636"/>
    <cellStyle name="40% - Accent3 2 4 8 2 3" xfId="21844"/>
    <cellStyle name="40% - Accent3 2 4 8 2 3 2" xfId="50705"/>
    <cellStyle name="40% - Accent3 2 4 8 2 4" xfId="33595"/>
    <cellStyle name="40% - Accent3 2 4 8 3" xfId="7889"/>
    <cellStyle name="40% - Accent3 2 4 8 3 2" xfId="24936"/>
    <cellStyle name="40% - Accent3 2 4 8 3 2 2" xfId="53797"/>
    <cellStyle name="40% - Accent3 2 4 8 3 3" xfId="36750"/>
    <cellStyle name="40% - Accent3 2 4 8 4" xfId="12737"/>
    <cellStyle name="40% - Accent3 2 4 8 4 2" xfId="19164"/>
    <cellStyle name="40% - Accent3 2 4 8 4 2 2" xfId="48025"/>
    <cellStyle name="40% - Accent3 2 4 8 4 3" xfId="41598"/>
    <cellStyle name="40% - Accent3 2 4 8 5" xfId="16484"/>
    <cellStyle name="40% - Accent3 2 4 8 5 2" xfId="45345"/>
    <cellStyle name="40% - Accent3 2 4 8 6" xfId="30709"/>
    <cellStyle name="40% - Accent3 2 4 9" xfId="2053"/>
    <cellStyle name="40% - Accent3 2 4 9 2" xfId="4940"/>
    <cellStyle name="40% - Accent3 2 4 9 2 2" xfId="10981"/>
    <cellStyle name="40% - Accent3 2 4 9 2 2 2" xfId="28028"/>
    <cellStyle name="40% - Accent3 2 4 9 2 2 2 2" xfId="56889"/>
    <cellStyle name="40% - Accent3 2 4 9 2 2 3" xfId="39842"/>
    <cellStyle name="40% - Accent3 2 4 9 2 3" xfId="22050"/>
    <cellStyle name="40% - Accent3 2 4 9 2 3 2" xfId="50911"/>
    <cellStyle name="40% - Accent3 2 4 9 2 4" xfId="33801"/>
    <cellStyle name="40% - Accent3 2 4 9 3" xfId="8095"/>
    <cellStyle name="40% - Accent3 2 4 9 3 2" xfId="25142"/>
    <cellStyle name="40% - Accent3 2 4 9 3 2 2" xfId="54003"/>
    <cellStyle name="40% - Accent3 2 4 9 3 3" xfId="36956"/>
    <cellStyle name="40% - Accent3 2 4 9 4" xfId="11971"/>
    <cellStyle name="40% - Accent3 2 4 9 4 2" xfId="19370"/>
    <cellStyle name="40% - Accent3 2 4 9 4 2 2" xfId="48231"/>
    <cellStyle name="40% - Accent3 2 4 9 4 3" xfId="40832"/>
    <cellStyle name="40% - Accent3 2 4 9 5" xfId="16690"/>
    <cellStyle name="40% - Accent3 2 4 9 5 2" xfId="45551"/>
    <cellStyle name="40% - Accent3 2 4 9 6" xfId="30915"/>
    <cellStyle name="40% - Accent3 2 5" xfId="199"/>
    <cellStyle name="40% - Accent3 2 5 2" xfId="611"/>
    <cellStyle name="40% - Accent3 2 5 2 2" xfId="3498"/>
    <cellStyle name="40% - Accent3 2 5 2 2 2" xfId="9539"/>
    <cellStyle name="40% - Accent3 2 5 2 2 2 2" xfId="26586"/>
    <cellStyle name="40% - Accent3 2 5 2 2 2 2 2" xfId="55447"/>
    <cellStyle name="40% - Accent3 2 5 2 2 2 3" xfId="38400"/>
    <cellStyle name="40% - Accent3 2 5 2 2 3" xfId="20608"/>
    <cellStyle name="40% - Accent3 2 5 2 2 3 2" xfId="49469"/>
    <cellStyle name="40% - Accent3 2 5 2 2 4" xfId="32359"/>
    <cellStyle name="40% - Accent3 2 5 2 3" xfId="6653"/>
    <cellStyle name="40% - Accent3 2 5 2 3 2" xfId="23700"/>
    <cellStyle name="40% - Accent3 2 5 2 3 2 2" xfId="52561"/>
    <cellStyle name="40% - Accent3 2 5 2 3 3" xfId="35514"/>
    <cellStyle name="40% - Accent3 2 5 2 4" xfId="13010"/>
    <cellStyle name="40% - Accent3 2 5 2 4 2" xfId="17928"/>
    <cellStyle name="40% - Accent3 2 5 2 4 2 2" xfId="46789"/>
    <cellStyle name="40% - Accent3 2 5 2 4 3" xfId="41871"/>
    <cellStyle name="40% - Accent3 2 5 2 5" xfId="15248"/>
    <cellStyle name="40% - Accent3 2 5 2 5 2" xfId="44109"/>
    <cellStyle name="40% - Accent3 2 5 2 6" xfId="29473"/>
    <cellStyle name="40% - Accent3 2 5 3" xfId="2156"/>
    <cellStyle name="40% - Accent3 2 5 3 2" xfId="5043"/>
    <cellStyle name="40% - Accent3 2 5 3 2 2" xfId="11084"/>
    <cellStyle name="40% - Accent3 2 5 3 2 2 2" xfId="28131"/>
    <cellStyle name="40% - Accent3 2 5 3 2 2 2 2" xfId="56992"/>
    <cellStyle name="40% - Accent3 2 5 3 2 2 3" xfId="39945"/>
    <cellStyle name="40% - Accent3 2 5 3 2 3" xfId="22153"/>
    <cellStyle name="40% - Accent3 2 5 3 2 3 2" xfId="51014"/>
    <cellStyle name="40% - Accent3 2 5 3 2 4" xfId="33904"/>
    <cellStyle name="40% - Accent3 2 5 3 3" xfId="8198"/>
    <cellStyle name="40% - Accent3 2 5 3 3 2" xfId="25245"/>
    <cellStyle name="40% - Accent3 2 5 3 3 2 2" xfId="54106"/>
    <cellStyle name="40% - Accent3 2 5 3 3 3" xfId="37059"/>
    <cellStyle name="40% - Accent3 2 5 3 4" xfId="13044"/>
    <cellStyle name="40% - Accent3 2 5 3 4 2" xfId="19473"/>
    <cellStyle name="40% - Accent3 2 5 3 4 2 2" xfId="48334"/>
    <cellStyle name="40% - Accent3 2 5 3 4 3" xfId="41905"/>
    <cellStyle name="40% - Accent3 2 5 3 5" xfId="16793"/>
    <cellStyle name="40% - Accent3 2 5 3 5 2" xfId="45654"/>
    <cellStyle name="40% - Accent3 2 5 3 6" xfId="31018"/>
    <cellStyle name="40% - Accent3 2 5 4" xfId="3086"/>
    <cellStyle name="40% - Accent3 2 5 4 2" xfId="9127"/>
    <cellStyle name="40% - Accent3 2 5 4 2 2" xfId="26174"/>
    <cellStyle name="40% - Accent3 2 5 4 2 2 2" xfId="55035"/>
    <cellStyle name="40% - Accent3 2 5 4 2 3" xfId="37988"/>
    <cellStyle name="40% - Accent3 2 5 4 3" xfId="20196"/>
    <cellStyle name="40% - Accent3 2 5 4 3 2" xfId="49057"/>
    <cellStyle name="40% - Accent3 2 5 4 4" xfId="31947"/>
    <cellStyle name="40% - Accent3 2 5 5" xfId="6241"/>
    <cellStyle name="40% - Accent3 2 5 5 2" xfId="23288"/>
    <cellStyle name="40% - Accent3 2 5 5 2 2" xfId="52149"/>
    <cellStyle name="40% - Accent3 2 5 5 3" xfId="35102"/>
    <cellStyle name="40% - Accent3 2 5 6" xfId="14125"/>
    <cellStyle name="40% - Accent3 2 5 6 2" xfId="17619"/>
    <cellStyle name="40% - Accent3 2 5 6 2 2" xfId="46480"/>
    <cellStyle name="40% - Accent3 2 5 6 3" xfId="42986"/>
    <cellStyle name="40% - Accent3 2 5 7" xfId="14836"/>
    <cellStyle name="40% - Accent3 2 5 7 2" xfId="43697"/>
    <cellStyle name="40% - Accent3 2 5 8" xfId="29061"/>
    <cellStyle name="40% - Accent3 2 6" xfId="405"/>
    <cellStyle name="40% - Accent3 2 6 2" xfId="3292"/>
    <cellStyle name="40% - Accent3 2 6 2 2" xfId="9333"/>
    <cellStyle name="40% - Accent3 2 6 2 2 2" xfId="26380"/>
    <cellStyle name="40% - Accent3 2 6 2 2 2 2" xfId="55241"/>
    <cellStyle name="40% - Accent3 2 6 2 2 3" xfId="38194"/>
    <cellStyle name="40% - Accent3 2 6 2 3" xfId="20402"/>
    <cellStyle name="40% - Accent3 2 6 2 3 2" xfId="49263"/>
    <cellStyle name="40% - Accent3 2 6 2 4" xfId="32153"/>
    <cellStyle name="40% - Accent3 2 6 3" xfId="6447"/>
    <cellStyle name="40% - Accent3 2 6 3 2" xfId="23494"/>
    <cellStyle name="40% - Accent3 2 6 3 2 2" xfId="52355"/>
    <cellStyle name="40% - Accent3 2 6 3 3" xfId="35308"/>
    <cellStyle name="40% - Accent3 2 6 4" xfId="13165"/>
    <cellStyle name="40% - Accent3 2 6 4 2" xfId="17722"/>
    <cellStyle name="40% - Accent3 2 6 4 2 2" xfId="46583"/>
    <cellStyle name="40% - Accent3 2 6 4 3" xfId="42026"/>
    <cellStyle name="40% - Accent3 2 6 5" xfId="15042"/>
    <cellStyle name="40% - Accent3 2 6 5 2" xfId="43903"/>
    <cellStyle name="40% - Accent3 2 6 6" xfId="29267"/>
    <cellStyle name="40% - Accent3 2 7" xfId="714"/>
    <cellStyle name="40% - Accent3 2 7 2" xfId="3601"/>
    <cellStyle name="40% - Accent3 2 7 2 2" xfId="9642"/>
    <cellStyle name="40% - Accent3 2 7 2 2 2" xfId="26689"/>
    <cellStyle name="40% - Accent3 2 7 2 2 2 2" xfId="55550"/>
    <cellStyle name="40% - Accent3 2 7 2 2 3" xfId="38503"/>
    <cellStyle name="40% - Accent3 2 7 2 3" xfId="20711"/>
    <cellStyle name="40% - Accent3 2 7 2 3 2" xfId="49572"/>
    <cellStyle name="40% - Accent3 2 7 2 4" xfId="32462"/>
    <cellStyle name="40% - Accent3 2 7 3" xfId="6756"/>
    <cellStyle name="40% - Accent3 2 7 3 2" xfId="23803"/>
    <cellStyle name="40% - Accent3 2 7 3 2 2" xfId="52664"/>
    <cellStyle name="40% - Accent3 2 7 3 3" xfId="35617"/>
    <cellStyle name="40% - Accent3 2 7 4" xfId="12703"/>
    <cellStyle name="40% - Accent3 2 7 4 2" xfId="18031"/>
    <cellStyle name="40% - Accent3 2 7 4 2 2" xfId="46892"/>
    <cellStyle name="40% - Accent3 2 7 4 3" xfId="41564"/>
    <cellStyle name="40% - Accent3 2 7 5" xfId="15351"/>
    <cellStyle name="40% - Accent3 2 7 5 2" xfId="44212"/>
    <cellStyle name="40% - Accent3 2 7 6" xfId="29576"/>
    <cellStyle name="40% - Accent3 2 8" xfId="920"/>
    <cellStyle name="40% - Accent3 2 8 2" xfId="3807"/>
    <cellStyle name="40% - Accent3 2 8 2 2" xfId="9848"/>
    <cellStyle name="40% - Accent3 2 8 2 2 2" xfId="26895"/>
    <cellStyle name="40% - Accent3 2 8 2 2 2 2" xfId="55756"/>
    <cellStyle name="40% - Accent3 2 8 2 2 3" xfId="38709"/>
    <cellStyle name="40% - Accent3 2 8 2 3" xfId="20917"/>
    <cellStyle name="40% - Accent3 2 8 2 3 2" xfId="49778"/>
    <cellStyle name="40% - Accent3 2 8 2 4" xfId="32668"/>
    <cellStyle name="40% - Accent3 2 8 3" xfId="6962"/>
    <cellStyle name="40% - Accent3 2 8 3 2" xfId="24009"/>
    <cellStyle name="40% - Accent3 2 8 3 2 2" xfId="52870"/>
    <cellStyle name="40% - Accent3 2 8 3 3" xfId="35823"/>
    <cellStyle name="40% - Accent3 2 8 4" xfId="13580"/>
    <cellStyle name="40% - Accent3 2 8 4 2" xfId="18237"/>
    <cellStyle name="40% - Accent3 2 8 4 2 2" xfId="47098"/>
    <cellStyle name="40% - Accent3 2 8 4 3" xfId="42441"/>
    <cellStyle name="40% - Accent3 2 8 5" xfId="15557"/>
    <cellStyle name="40% - Accent3 2 8 5 2" xfId="44418"/>
    <cellStyle name="40% - Accent3 2 8 6" xfId="29782"/>
    <cellStyle name="40% - Accent3 2 9" xfId="1126"/>
    <cellStyle name="40% - Accent3 2 9 2" xfId="4013"/>
    <cellStyle name="40% - Accent3 2 9 2 2" xfId="10054"/>
    <cellStyle name="40% - Accent3 2 9 2 2 2" xfId="27101"/>
    <cellStyle name="40% - Accent3 2 9 2 2 2 2" xfId="55962"/>
    <cellStyle name="40% - Accent3 2 9 2 2 3" xfId="38915"/>
    <cellStyle name="40% - Accent3 2 9 2 3" xfId="21123"/>
    <cellStyle name="40% - Accent3 2 9 2 3 2" xfId="49984"/>
    <cellStyle name="40% - Accent3 2 9 2 4" xfId="32874"/>
    <cellStyle name="40% - Accent3 2 9 3" xfId="7168"/>
    <cellStyle name="40% - Accent3 2 9 3 2" xfId="24215"/>
    <cellStyle name="40% - Accent3 2 9 3 2 2" xfId="53076"/>
    <cellStyle name="40% - Accent3 2 9 3 3" xfId="36029"/>
    <cellStyle name="40% - Accent3 2 9 4" xfId="13770"/>
    <cellStyle name="40% - Accent3 2 9 4 2" xfId="18443"/>
    <cellStyle name="40% - Accent3 2 9 4 2 2" xfId="47304"/>
    <cellStyle name="40% - Accent3 2 9 4 3" xfId="42631"/>
    <cellStyle name="40% - Accent3 2 9 5" xfId="15763"/>
    <cellStyle name="40% - Accent3 2 9 5 2" xfId="44624"/>
    <cellStyle name="40% - Accent3 2 9 6" xfId="29988"/>
    <cellStyle name="40% - Accent3 20" xfId="5865"/>
    <cellStyle name="40% - Accent3 20 2" xfId="22965"/>
    <cellStyle name="40% - Accent3 20 2 2" xfId="51826"/>
    <cellStyle name="40% - Accent3 20 3" xfId="34726"/>
    <cellStyle name="40% - Accent3 21" xfId="6124"/>
    <cellStyle name="40% - Accent3 21 2" xfId="23171"/>
    <cellStyle name="40% - Accent3 21 2 2" xfId="52032"/>
    <cellStyle name="40% - Accent3 21 3" xfId="34985"/>
    <cellStyle name="40% - Accent3 22" xfId="14513"/>
    <cellStyle name="40% - Accent3 22 2" xfId="43374"/>
    <cellStyle name="40% - Accent3 23" xfId="28944"/>
    <cellStyle name="40% - Accent3 3" xfId="109"/>
    <cellStyle name="40% - Accent3 3 10" xfId="1757"/>
    <cellStyle name="40% - Accent3 3 10 2" xfId="4644"/>
    <cellStyle name="40% - Accent3 3 10 2 2" xfId="10685"/>
    <cellStyle name="40% - Accent3 3 10 2 2 2" xfId="27732"/>
    <cellStyle name="40% - Accent3 3 10 2 2 2 2" xfId="56593"/>
    <cellStyle name="40% - Accent3 3 10 2 2 3" xfId="39546"/>
    <cellStyle name="40% - Accent3 3 10 2 3" xfId="21754"/>
    <cellStyle name="40% - Accent3 3 10 2 3 2" xfId="50615"/>
    <cellStyle name="40% - Accent3 3 10 2 4" xfId="33505"/>
    <cellStyle name="40% - Accent3 3 10 3" xfId="7799"/>
    <cellStyle name="40% - Accent3 3 10 3 2" xfId="24846"/>
    <cellStyle name="40% - Accent3 3 10 3 2 2" xfId="53707"/>
    <cellStyle name="40% - Accent3 3 10 3 3" xfId="36660"/>
    <cellStyle name="40% - Accent3 3 10 4" xfId="12415"/>
    <cellStyle name="40% - Accent3 3 10 4 2" xfId="19074"/>
    <cellStyle name="40% - Accent3 3 10 4 2 2" xfId="47935"/>
    <cellStyle name="40% - Accent3 3 10 4 3" xfId="41276"/>
    <cellStyle name="40% - Accent3 3 10 5" xfId="16394"/>
    <cellStyle name="40% - Accent3 3 10 5 2" xfId="45255"/>
    <cellStyle name="40% - Accent3 3 10 6" xfId="30619"/>
    <cellStyle name="40% - Accent3 3 11" xfId="1963"/>
    <cellStyle name="40% - Accent3 3 11 2" xfId="4850"/>
    <cellStyle name="40% - Accent3 3 11 2 2" xfId="10891"/>
    <cellStyle name="40% - Accent3 3 11 2 2 2" xfId="27938"/>
    <cellStyle name="40% - Accent3 3 11 2 2 2 2" xfId="56799"/>
    <cellStyle name="40% - Accent3 3 11 2 2 3" xfId="39752"/>
    <cellStyle name="40% - Accent3 3 11 2 3" xfId="21960"/>
    <cellStyle name="40% - Accent3 3 11 2 3 2" xfId="50821"/>
    <cellStyle name="40% - Accent3 3 11 2 4" xfId="33711"/>
    <cellStyle name="40% - Accent3 3 11 3" xfId="8005"/>
    <cellStyle name="40% - Accent3 3 11 3 2" xfId="25052"/>
    <cellStyle name="40% - Accent3 3 11 3 2 2" xfId="53913"/>
    <cellStyle name="40% - Accent3 3 11 3 3" xfId="36866"/>
    <cellStyle name="40% - Accent3 3 11 4" xfId="13973"/>
    <cellStyle name="40% - Accent3 3 11 4 2" xfId="19280"/>
    <cellStyle name="40% - Accent3 3 11 4 2 2" xfId="48141"/>
    <cellStyle name="40% - Accent3 3 11 4 3" xfId="42834"/>
    <cellStyle name="40% - Accent3 3 11 5" xfId="16600"/>
    <cellStyle name="40% - Accent3 3 11 5 2" xfId="45461"/>
    <cellStyle name="40% - Accent3 3 11 6" xfId="30825"/>
    <cellStyle name="40% - Accent3 3 12" xfId="2375"/>
    <cellStyle name="40% - Accent3 3 12 2" xfId="5262"/>
    <cellStyle name="40% - Accent3 3 12 2 2" xfId="11303"/>
    <cellStyle name="40% - Accent3 3 12 2 2 2" xfId="28350"/>
    <cellStyle name="40% - Accent3 3 12 2 2 2 2" xfId="57211"/>
    <cellStyle name="40% - Accent3 3 12 2 2 3" xfId="40164"/>
    <cellStyle name="40% - Accent3 3 12 2 3" xfId="22372"/>
    <cellStyle name="40% - Accent3 3 12 2 3 2" xfId="51233"/>
    <cellStyle name="40% - Accent3 3 12 2 4" xfId="34123"/>
    <cellStyle name="40% - Accent3 3 12 3" xfId="8417"/>
    <cellStyle name="40% - Accent3 3 12 3 2" xfId="25464"/>
    <cellStyle name="40% - Accent3 3 12 3 2 2" xfId="54325"/>
    <cellStyle name="40% - Accent3 3 12 3 3" xfId="37278"/>
    <cellStyle name="40% - Accent3 3 12 4" xfId="14031"/>
    <cellStyle name="40% - Accent3 3 12 4 2" xfId="19692"/>
    <cellStyle name="40% - Accent3 3 12 4 2 2" xfId="48553"/>
    <cellStyle name="40% - Accent3 3 12 4 3" xfId="42892"/>
    <cellStyle name="40% - Accent3 3 12 5" xfId="17012"/>
    <cellStyle name="40% - Accent3 3 12 5 2" xfId="45873"/>
    <cellStyle name="40% - Accent3 3 12 6" xfId="31237"/>
    <cellStyle name="40% - Accent3 3 13" xfId="2584"/>
    <cellStyle name="40% - Accent3 3 13 2" xfId="5470"/>
    <cellStyle name="40% - Accent3 3 13 2 2" xfId="11511"/>
    <cellStyle name="40% - Accent3 3 13 2 2 2" xfId="28558"/>
    <cellStyle name="40% - Accent3 3 13 2 2 2 2" xfId="57419"/>
    <cellStyle name="40% - Accent3 3 13 2 2 3" xfId="40372"/>
    <cellStyle name="40% - Accent3 3 13 2 3" xfId="22580"/>
    <cellStyle name="40% - Accent3 3 13 2 3 2" xfId="51441"/>
    <cellStyle name="40% - Accent3 3 13 2 4" xfId="34331"/>
    <cellStyle name="40% - Accent3 3 13 3" xfId="8625"/>
    <cellStyle name="40% - Accent3 3 13 3 2" xfId="25672"/>
    <cellStyle name="40% - Accent3 3 13 3 2 2" xfId="54533"/>
    <cellStyle name="40% - Accent3 3 13 3 3" xfId="37486"/>
    <cellStyle name="40% - Accent3 3 13 4" xfId="14068"/>
    <cellStyle name="40% - Accent3 3 13 4 2" xfId="19900"/>
    <cellStyle name="40% - Accent3 3 13 4 2 2" xfId="48761"/>
    <cellStyle name="40% - Accent3 3 13 4 3" xfId="42929"/>
    <cellStyle name="40% - Accent3 3 13 5" xfId="17220"/>
    <cellStyle name="40% - Accent3 3 13 5 2" xfId="46081"/>
    <cellStyle name="40% - Accent3 3 13 6" xfId="31445"/>
    <cellStyle name="40% - Accent3 3 14" xfId="2996"/>
    <cellStyle name="40% - Accent3 3 14 2" xfId="9037"/>
    <cellStyle name="40% - Accent3 3 14 2 2" xfId="26084"/>
    <cellStyle name="40% - Accent3 3 14 2 2 2" xfId="54945"/>
    <cellStyle name="40% - Accent3 3 14 2 3" xfId="37898"/>
    <cellStyle name="40% - Accent3 3 14 3" xfId="12849"/>
    <cellStyle name="40% - Accent3 3 14 3 2" xfId="20106"/>
    <cellStyle name="40% - Accent3 3 14 3 2 2" xfId="48967"/>
    <cellStyle name="40% - Accent3 3 14 3 3" xfId="41710"/>
    <cellStyle name="40% - Accent3 3 14 4" xfId="14746"/>
    <cellStyle name="40% - Accent3 3 14 4 2" xfId="43607"/>
    <cellStyle name="40% - Accent3 3 14 5" xfId="31857"/>
    <cellStyle name="40% - Accent3 3 15" xfId="2790"/>
    <cellStyle name="40% - Accent3 3 15 2" xfId="8831"/>
    <cellStyle name="40% - Accent3 3 15 2 2" xfId="25878"/>
    <cellStyle name="40% - Accent3 3 15 2 2 2" xfId="54739"/>
    <cellStyle name="40% - Accent3 3 15 2 3" xfId="37692"/>
    <cellStyle name="40% - Accent3 3 15 3" xfId="17426"/>
    <cellStyle name="40% - Accent3 3 15 3 2" xfId="46287"/>
    <cellStyle name="40% - Accent3 3 15 4" xfId="31651"/>
    <cellStyle name="40% - Accent3 3 16" xfId="5676"/>
    <cellStyle name="40% - Accent3 3 16 2" xfId="11717"/>
    <cellStyle name="40% - Accent3 3 16 2 2" xfId="28764"/>
    <cellStyle name="40% - Accent3 3 16 2 2 2" xfId="57625"/>
    <cellStyle name="40% - Accent3 3 16 2 3" xfId="40578"/>
    <cellStyle name="40% - Accent3 3 16 3" xfId="22786"/>
    <cellStyle name="40% - Accent3 3 16 3 2" xfId="51647"/>
    <cellStyle name="40% - Accent3 3 16 4" xfId="34537"/>
    <cellStyle name="40% - Accent3 3 17" xfId="5893"/>
    <cellStyle name="40% - Accent3 3 17 2" xfId="22992"/>
    <cellStyle name="40% - Accent3 3 17 2 2" xfId="51853"/>
    <cellStyle name="40% - Accent3 3 17 3" xfId="34754"/>
    <cellStyle name="40% - Accent3 3 18" xfId="6151"/>
    <cellStyle name="40% - Accent3 3 18 2" xfId="23198"/>
    <cellStyle name="40% - Accent3 3 18 2 2" xfId="52059"/>
    <cellStyle name="40% - Accent3 3 18 3" xfId="35012"/>
    <cellStyle name="40% - Accent3 3 19" xfId="14540"/>
    <cellStyle name="40% - Accent3 3 19 2" xfId="43401"/>
    <cellStyle name="40% - Accent3 3 2" xfId="315"/>
    <cellStyle name="40% - Accent3 3 2 10" xfId="2478"/>
    <cellStyle name="40% - Accent3 3 2 10 2" xfId="5365"/>
    <cellStyle name="40% - Accent3 3 2 10 2 2" xfId="11406"/>
    <cellStyle name="40% - Accent3 3 2 10 2 2 2" xfId="28453"/>
    <cellStyle name="40% - Accent3 3 2 10 2 2 2 2" xfId="57314"/>
    <cellStyle name="40% - Accent3 3 2 10 2 2 3" xfId="40267"/>
    <cellStyle name="40% - Accent3 3 2 10 2 3" xfId="22475"/>
    <cellStyle name="40% - Accent3 3 2 10 2 3 2" xfId="51336"/>
    <cellStyle name="40% - Accent3 3 2 10 2 4" xfId="34226"/>
    <cellStyle name="40% - Accent3 3 2 10 3" xfId="8520"/>
    <cellStyle name="40% - Accent3 3 2 10 3 2" xfId="25567"/>
    <cellStyle name="40% - Accent3 3 2 10 3 2 2" xfId="54428"/>
    <cellStyle name="40% - Accent3 3 2 10 3 3" xfId="37381"/>
    <cellStyle name="40% - Accent3 3 2 10 4" xfId="12866"/>
    <cellStyle name="40% - Accent3 3 2 10 4 2" xfId="19795"/>
    <cellStyle name="40% - Accent3 3 2 10 4 2 2" xfId="48656"/>
    <cellStyle name="40% - Accent3 3 2 10 4 3" xfId="41727"/>
    <cellStyle name="40% - Accent3 3 2 10 5" xfId="17115"/>
    <cellStyle name="40% - Accent3 3 2 10 5 2" xfId="45976"/>
    <cellStyle name="40% - Accent3 3 2 10 6" xfId="31340"/>
    <cellStyle name="40% - Accent3 3 2 11" xfId="2687"/>
    <cellStyle name="40% - Accent3 3 2 11 2" xfId="5573"/>
    <cellStyle name="40% - Accent3 3 2 11 2 2" xfId="11614"/>
    <cellStyle name="40% - Accent3 3 2 11 2 2 2" xfId="28661"/>
    <cellStyle name="40% - Accent3 3 2 11 2 2 2 2" xfId="57522"/>
    <cellStyle name="40% - Accent3 3 2 11 2 2 3" xfId="40475"/>
    <cellStyle name="40% - Accent3 3 2 11 2 3" xfId="22683"/>
    <cellStyle name="40% - Accent3 3 2 11 2 3 2" xfId="51544"/>
    <cellStyle name="40% - Accent3 3 2 11 2 4" xfId="34434"/>
    <cellStyle name="40% - Accent3 3 2 11 3" xfId="8728"/>
    <cellStyle name="40% - Accent3 3 2 11 3 2" xfId="25775"/>
    <cellStyle name="40% - Accent3 3 2 11 3 2 2" xfId="54636"/>
    <cellStyle name="40% - Accent3 3 2 11 3 3" xfId="37589"/>
    <cellStyle name="40% - Accent3 3 2 11 4" xfId="13196"/>
    <cellStyle name="40% - Accent3 3 2 11 4 2" xfId="20003"/>
    <cellStyle name="40% - Accent3 3 2 11 4 2 2" xfId="48864"/>
    <cellStyle name="40% - Accent3 3 2 11 4 3" xfId="42057"/>
    <cellStyle name="40% - Accent3 3 2 11 5" xfId="17323"/>
    <cellStyle name="40% - Accent3 3 2 11 5 2" xfId="46184"/>
    <cellStyle name="40% - Accent3 3 2 11 6" xfId="31548"/>
    <cellStyle name="40% - Accent3 3 2 12" xfId="3202"/>
    <cellStyle name="40% - Accent3 3 2 12 2" xfId="9243"/>
    <cellStyle name="40% - Accent3 3 2 12 2 2" xfId="26290"/>
    <cellStyle name="40% - Accent3 3 2 12 2 2 2" xfId="55151"/>
    <cellStyle name="40% - Accent3 3 2 12 2 3" xfId="38104"/>
    <cellStyle name="40% - Accent3 3 2 12 3" xfId="12208"/>
    <cellStyle name="40% - Accent3 3 2 12 3 2" xfId="20312"/>
    <cellStyle name="40% - Accent3 3 2 12 3 2 2" xfId="49173"/>
    <cellStyle name="40% - Accent3 3 2 12 3 3" xfId="41069"/>
    <cellStyle name="40% - Accent3 3 2 12 4" xfId="14952"/>
    <cellStyle name="40% - Accent3 3 2 12 4 2" xfId="43813"/>
    <cellStyle name="40% - Accent3 3 2 12 5" xfId="32063"/>
    <cellStyle name="40% - Accent3 3 2 13" xfId="2893"/>
    <cellStyle name="40% - Accent3 3 2 13 2" xfId="8934"/>
    <cellStyle name="40% - Accent3 3 2 13 2 2" xfId="25981"/>
    <cellStyle name="40% - Accent3 3 2 13 2 2 2" xfId="54842"/>
    <cellStyle name="40% - Accent3 3 2 13 2 3" xfId="37795"/>
    <cellStyle name="40% - Accent3 3 2 13 3" xfId="17529"/>
    <cellStyle name="40% - Accent3 3 2 13 3 2" xfId="46390"/>
    <cellStyle name="40% - Accent3 3 2 13 4" xfId="31754"/>
    <cellStyle name="40% - Accent3 3 2 14" xfId="5779"/>
    <cellStyle name="40% - Accent3 3 2 14 2" xfId="11820"/>
    <cellStyle name="40% - Accent3 3 2 14 2 2" xfId="28867"/>
    <cellStyle name="40% - Accent3 3 2 14 2 2 2" xfId="57728"/>
    <cellStyle name="40% - Accent3 3 2 14 2 3" xfId="40681"/>
    <cellStyle name="40% - Accent3 3 2 14 3" xfId="22889"/>
    <cellStyle name="40% - Accent3 3 2 14 3 2" xfId="51750"/>
    <cellStyle name="40% - Accent3 3 2 14 4" xfId="34640"/>
    <cellStyle name="40% - Accent3 3 2 15" xfId="5996"/>
    <cellStyle name="40% - Accent3 3 2 15 2" xfId="23095"/>
    <cellStyle name="40% - Accent3 3 2 15 2 2" xfId="51956"/>
    <cellStyle name="40% - Accent3 3 2 15 3" xfId="34857"/>
    <cellStyle name="40% - Accent3 3 2 16" xfId="6357"/>
    <cellStyle name="40% - Accent3 3 2 16 2" xfId="23404"/>
    <cellStyle name="40% - Accent3 3 2 16 2 2" xfId="52265"/>
    <cellStyle name="40% - Accent3 3 2 16 3" xfId="35218"/>
    <cellStyle name="40% - Accent3 3 2 17" xfId="14643"/>
    <cellStyle name="40% - Accent3 3 2 17 2" xfId="43504"/>
    <cellStyle name="40% - Accent3 3 2 18" xfId="29177"/>
    <cellStyle name="40% - Accent3 3 2 2" xfId="521"/>
    <cellStyle name="40% - Accent3 3 2 2 2" xfId="2272"/>
    <cellStyle name="40% - Accent3 3 2 2 2 2" xfId="5159"/>
    <cellStyle name="40% - Accent3 3 2 2 2 2 2" xfId="11200"/>
    <cellStyle name="40% - Accent3 3 2 2 2 2 2 2" xfId="28247"/>
    <cellStyle name="40% - Accent3 3 2 2 2 2 2 2 2" xfId="57108"/>
    <cellStyle name="40% - Accent3 3 2 2 2 2 2 3" xfId="40061"/>
    <cellStyle name="40% - Accent3 3 2 2 2 2 3" xfId="22269"/>
    <cellStyle name="40% - Accent3 3 2 2 2 2 3 2" xfId="51130"/>
    <cellStyle name="40% - Accent3 3 2 2 2 2 4" xfId="34020"/>
    <cellStyle name="40% - Accent3 3 2 2 2 3" xfId="8314"/>
    <cellStyle name="40% - Accent3 3 2 2 2 3 2" xfId="25361"/>
    <cellStyle name="40% - Accent3 3 2 2 2 3 2 2" xfId="54222"/>
    <cellStyle name="40% - Accent3 3 2 2 2 3 3" xfId="37175"/>
    <cellStyle name="40% - Accent3 3 2 2 2 4" xfId="13444"/>
    <cellStyle name="40% - Accent3 3 2 2 2 4 2" xfId="19589"/>
    <cellStyle name="40% - Accent3 3 2 2 2 4 2 2" xfId="48450"/>
    <cellStyle name="40% - Accent3 3 2 2 2 4 3" xfId="42305"/>
    <cellStyle name="40% - Accent3 3 2 2 2 5" xfId="16909"/>
    <cellStyle name="40% - Accent3 3 2 2 2 5 2" xfId="45770"/>
    <cellStyle name="40% - Accent3 3 2 2 2 6" xfId="31134"/>
    <cellStyle name="40% - Accent3 3 2 2 3" xfId="3408"/>
    <cellStyle name="40% - Accent3 3 2 2 3 2" xfId="9449"/>
    <cellStyle name="40% - Accent3 3 2 2 3 2 2" xfId="26496"/>
    <cellStyle name="40% - Accent3 3 2 2 3 2 2 2" xfId="55357"/>
    <cellStyle name="40% - Accent3 3 2 2 3 2 3" xfId="38310"/>
    <cellStyle name="40% - Accent3 3 2 2 3 3" xfId="20518"/>
    <cellStyle name="40% - Accent3 3 2 2 3 3 2" xfId="49379"/>
    <cellStyle name="40% - Accent3 3 2 2 3 4" xfId="32269"/>
    <cellStyle name="40% - Accent3 3 2 2 4" xfId="6563"/>
    <cellStyle name="40% - Accent3 3 2 2 4 2" xfId="23610"/>
    <cellStyle name="40% - Accent3 3 2 2 4 2 2" xfId="52471"/>
    <cellStyle name="40% - Accent3 3 2 2 4 3" xfId="35424"/>
    <cellStyle name="40% - Accent3 3 2 2 5" xfId="12957"/>
    <cellStyle name="40% - Accent3 3 2 2 5 2" xfId="17838"/>
    <cellStyle name="40% - Accent3 3 2 2 5 2 2" xfId="46699"/>
    <cellStyle name="40% - Accent3 3 2 2 5 3" xfId="41818"/>
    <cellStyle name="40% - Accent3 3 2 2 6" xfId="15158"/>
    <cellStyle name="40% - Accent3 3 2 2 6 2" xfId="44019"/>
    <cellStyle name="40% - Accent3 3 2 2 7" xfId="29383"/>
    <cellStyle name="40% - Accent3 3 2 3" xfId="830"/>
    <cellStyle name="40% - Accent3 3 2 3 2" xfId="3717"/>
    <cellStyle name="40% - Accent3 3 2 3 2 2" xfId="9758"/>
    <cellStyle name="40% - Accent3 3 2 3 2 2 2" xfId="26805"/>
    <cellStyle name="40% - Accent3 3 2 3 2 2 2 2" xfId="55666"/>
    <cellStyle name="40% - Accent3 3 2 3 2 2 3" xfId="38619"/>
    <cellStyle name="40% - Accent3 3 2 3 2 3" xfId="20827"/>
    <cellStyle name="40% - Accent3 3 2 3 2 3 2" xfId="49688"/>
    <cellStyle name="40% - Accent3 3 2 3 2 4" xfId="32578"/>
    <cellStyle name="40% - Accent3 3 2 3 3" xfId="6872"/>
    <cellStyle name="40% - Accent3 3 2 3 3 2" xfId="23919"/>
    <cellStyle name="40% - Accent3 3 2 3 3 2 2" xfId="52780"/>
    <cellStyle name="40% - Accent3 3 2 3 3 3" xfId="35733"/>
    <cellStyle name="40% - Accent3 3 2 3 4" xfId="12680"/>
    <cellStyle name="40% - Accent3 3 2 3 4 2" xfId="18147"/>
    <cellStyle name="40% - Accent3 3 2 3 4 2 2" xfId="47008"/>
    <cellStyle name="40% - Accent3 3 2 3 4 3" xfId="41541"/>
    <cellStyle name="40% - Accent3 3 2 3 5" xfId="15467"/>
    <cellStyle name="40% - Accent3 3 2 3 5 2" xfId="44328"/>
    <cellStyle name="40% - Accent3 3 2 3 6" xfId="29692"/>
    <cellStyle name="40% - Accent3 3 2 4" xfId="1036"/>
    <cellStyle name="40% - Accent3 3 2 4 2" xfId="3923"/>
    <cellStyle name="40% - Accent3 3 2 4 2 2" xfId="9964"/>
    <cellStyle name="40% - Accent3 3 2 4 2 2 2" xfId="27011"/>
    <cellStyle name="40% - Accent3 3 2 4 2 2 2 2" xfId="55872"/>
    <cellStyle name="40% - Accent3 3 2 4 2 2 3" xfId="38825"/>
    <cellStyle name="40% - Accent3 3 2 4 2 3" xfId="21033"/>
    <cellStyle name="40% - Accent3 3 2 4 2 3 2" xfId="49894"/>
    <cellStyle name="40% - Accent3 3 2 4 2 4" xfId="32784"/>
    <cellStyle name="40% - Accent3 3 2 4 3" xfId="7078"/>
    <cellStyle name="40% - Accent3 3 2 4 3 2" xfId="24125"/>
    <cellStyle name="40% - Accent3 3 2 4 3 2 2" xfId="52986"/>
    <cellStyle name="40% - Accent3 3 2 4 3 3" xfId="35939"/>
    <cellStyle name="40% - Accent3 3 2 4 4" xfId="12041"/>
    <cellStyle name="40% - Accent3 3 2 4 4 2" xfId="18353"/>
    <cellStyle name="40% - Accent3 3 2 4 4 2 2" xfId="47214"/>
    <cellStyle name="40% - Accent3 3 2 4 4 3" xfId="40902"/>
    <cellStyle name="40% - Accent3 3 2 4 5" xfId="15673"/>
    <cellStyle name="40% - Accent3 3 2 4 5 2" xfId="44534"/>
    <cellStyle name="40% - Accent3 3 2 4 6" xfId="29898"/>
    <cellStyle name="40% - Accent3 3 2 5" xfId="1242"/>
    <cellStyle name="40% - Accent3 3 2 5 2" xfId="4129"/>
    <cellStyle name="40% - Accent3 3 2 5 2 2" xfId="10170"/>
    <cellStyle name="40% - Accent3 3 2 5 2 2 2" xfId="27217"/>
    <cellStyle name="40% - Accent3 3 2 5 2 2 2 2" xfId="56078"/>
    <cellStyle name="40% - Accent3 3 2 5 2 2 3" xfId="39031"/>
    <cellStyle name="40% - Accent3 3 2 5 2 3" xfId="21239"/>
    <cellStyle name="40% - Accent3 3 2 5 2 3 2" xfId="50100"/>
    <cellStyle name="40% - Accent3 3 2 5 2 4" xfId="32990"/>
    <cellStyle name="40% - Accent3 3 2 5 3" xfId="7284"/>
    <cellStyle name="40% - Accent3 3 2 5 3 2" xfId="24331"/>
    <cellStyle name="40% - Accent3 3 2 5 3 2 2" xfId="53192"/>
    <cellStyle name="40% - Accent3 3 2 5 3 3" xfId="36145"/>
    <cellStyle name="40% - Accent3 3 2 5 4" xfId="13742"/>
    <cellStyle name="40% - Accent3 3 2 5 4 2" xfId="18559"/>
    <cellStyle name="40% - Accent3 3 2 5 4 2 2" xfId="47420"/>
    <cellStyle name="40% - Accent3 3 2 5 4 3" xfId="42603"/>
    <cellStyle name="40% - Accent3 3 2 5 5" xfId="15879"/>
    <cellStyle name="40% - Accent3 3 2 5 5 2" xfId="44740"/>
    <cellStyle name="40% - Accent3 3 2 5 6" xfId="30104"/>
    <cellStyle name="40% - Accent3 3 2 6" xfId="1448"/>
    <cellStyle name="40% - Accent3 3 2 6 2" xfId="4335"/>
    <cellStyle name="40% - Accent3 3 2 6 2 2" xfId="10376"/>
    <cellStyle name="40% - Accent3 3 2 6 2 2 2" xfId="27423"/>
    <cellStyle name="40% - Accent3 3 2 6 2 2 2 2" xfId="56284"/>
    <cellStyle name="40% - Accent3 3 2 6 2 2 3" xfId="39237"/>
    <cellStyle name="40% - Accent3 3 2 6 2 3" xfId="21445"/>
    <cellStyle name="40% - Accent3 3 2 6 2 3 2" xfId="50306"/>
    <cellStyle name="40% - Accent3 3 2 6 2 4" xfId="33196"/>
    <cellStyle name="40% - Accent3 3 2 6 3" xfId="7490"/>
    <cellStyle name="40% - Accent3 3 2 6 3 2" xfId="24537"/>
    <cellStyle name="40% - Accent3 3 2 6 3 2 2" xfId="53398"/>
    <cellStyle name="40% - Accent3 3 2 6 3 3" xfId="36351"/>
    <cellStyle name="40% - Accent3 3 2 6 4" xfId="14274"/>
    <cellStyle name="40% - Accent3 3 2 6 4 2" xfId="18765"/>
    <cellStyle name="40% - Accent3 3 2 6 4 2 2" xfId="47626"/>
    <cellStyle name="40% - Accent3 3 2 6 4 3" xfId="43135"/>
    <cellStyle name="40% - Accent3 3 2 6 5" xfId="16085"/>
    <cellStyle name="40% - Accent3 3 2 6 5 2" xfId="44946"/>
    <cellStyle name="40% - Accent3 3 2 6 6" xfId="30310"/>
    <cellStyle name="40% - Accent3 3 2 7" xfId="1654"/>
    <cellStyle name="40% - Accent3 3 2 7 2" xfId="4541"/>
    <cellStyle name="40% - Accent3 3 2 7 2 2" xfId="10582"/>
    <cellStyle name="40% - Accent3 3 2 7 2 2 2" xfId="27629"/>
    <cellStyle name="40% - Accent3 3 2 7 2 2 2 2" xfId="56490"/>
    <cellStyle name="40% - Accent3 3 2 7 2 2 3" xfId="39443"/>
    <cellStyle name="40% - Accent3 3 2 7 2 3" xfId="21651"/>
    <cellStyle name="40% - Accent3 3 2 7 2 3 2" xfId="50512"/>
    <cellStyle name="40% - Accent3 3 2 7 2 4" xfId="33402"/>
    <cellStyle name="40% - Accent3 3 2 7 3" xfId="7696"/>
    <cellStyle name="40% - Accent3 3 2 7 3 2" xfId="24743"/>
    <cellStyle name="40% - Accent3 3 2 7 3 2 2" xfId="53604"/>
    <cellStyle name="40% - Accent3 3 2 7 3 3" xfId="36557"/>
    <cellStyle name="40% - Accent3 3 2 7 4" xfId="12911"/>
    <cellStyle name="40% - Accent3 3 2 7 4 2" xfId="18971"/>
    <cellStyle name="40% - Accent3 3 2 7 4 2 2" xfId="47832"/>
    <cellStyle name="40% - Accent3 3 2 7 4 3" xfId="41772"/>
    <cellStyle name="40% - Accent3 3 2 7 5" xfId="16291"/>
    <cellStyle name="40% - Accent3 3 2 7 5 2" xfId="45152"/>
    <cellStyle name="40% - Accent3 3 2 7 6" xfId="30516"/>
    <cellStyle name="40% - Accent3 3 2 8" xfId="1860"/>
    <cellStyle name="40% - Accent3 3 2 8 2" xfId="4747"/>
    <cellStyle name="40% - Accent3 3 2 8 2 2" xfId="10788"/>
    <cellStyle name="40% - Accent3 3 2 8 2 2 2" xfId="27835"/>
    <cellStyle name="40% - Accent3 3 2 8 2 2 2 2" xfId="56696"/>
    <cellStyle name="40% - Accent3 3 2 8 2 2 3" xfId="39649"/>
    <cellStyle name="40% - Accent3 3 2 8 2 3" xfId="21857"/>
    <cellStyle name="40% - Accent3 3 2 8 2 3 2" xfId="50718"/>
    <cellStyle name="40% - Accent3 3 2 8 2 4" xfId="33608"/>
    <cellStyle name="40% - Accent3 3 2 8 3" xfId="7902"/>
    <cellStyle name="40% - Accent3 3 2 8 3 2" xfId="24949"/>
    <cellStyle name="40% - Accent3 3 2 8 3 2 2" xfId="53810"/>
    <cellStyle name="40% - Accent3 3 2 8 3 3" xfId="36763"/>
    <cellStyle name="40% - Accent3 3 2 8 4" xfId="12071"/>
    <cellStyle name="40% - Accent3 3 2 8 4 2" xfId="19177"/>
    <cellStyle name="40% - Accent3 3 2 8 4 2 2" xfId="48038"/>
    <cellStyle name="40% - Accent3 3 2 8 4 3" xfId="40932"/>
    <cellStyle name="40% - Accent3 3 2 8 5" xfId="16497"/>
    <cellStyle name="40% - Accent3 3 2 8 5 2" xfId="45358"/>
    <cellStyle name="40% - Accent3 3 2 8 6" xfId="30722"/>
    <cellStyle name="40% - Accent3 3 2 9" xfId="2066"/>
    <cellStyle name="40% - Accent3 3 2 9 2" xfId="4953"/>
    <cellStyle name="40% - Accent3 3 2 9 2 2" xfId="10994"/>
    <cellStyle name="40% - Accent3 3 2 9 2 2 2" xfId="28041"/>
    <cellStyle name="40% - Accent3 3 2 9 2 2 2 2" xfId="56902"/>
    <cellStyle name="40% - Accent3 3 2 9 2 2 3" xfId="39855"/>
    <cellStyle name="40% - Accent3 3 2 9 2 3" xfId="22063"/>
    <cellStyle name="40% - Accent3 3 2 9 2 3 2" xfId="50924"/>
    <cellStyle name="40% - Accent3 3 2 9 2 4" xfId="33814"/>
    <cellStyle name="40% - Accent3 3 2 9 3" xfId="8108"/>
    <cellStyle name="40% - Accent3 3 2 9 3 2" xfId="25155"/>
    <cellStyle name="40% - Accent3 3 2 9 3 2 2" xfId="54016"/>
    <cellStyle name="40% - Accent3 3 2 9 3 3" xfId="36969"/>
    <cellStyle name="40% - Accent3 3 2 9 4" xfId="13102"/>
    <cellStyle name="40% - Accent3 3 2 9 4 2" xfId="19383"/>
    <cellStyle name="40% - Accent3 3 2 9 4 2 2" xfId="48244"/>
    <cellStyle name="40% - Accent3 3 2 9 4 3" xfId="41963"/>
    <cellStyle name="40% - Accent3 3 2 9 5" xfId="16703"/>
    <cellStyle name="40% - Accent3 3 2 9 5 2" xfId="45564"/>
    <cellStyle name="40% - Accent3 3 2 9 6" xfId="30928"/>
    <cellStyle name="40% - Accent3 3 20" xfId="28971"/>
    <cellStyle name="40% - Accent3 3 3" xfId="212"/>
    <cellStyle name="40% - Accent3 3 3 2" xfId="624"/>
    <cellStyle name="40% - Accent3 3 3 2 2" xfId="3511"/>
    <cellStyle name="40% - Accent3 3 3 2 2 2" xfId="9552"/>
    <cellStyle name="40% - Accent3 3 3 2 2 2 2" xfId="26599"/>
    <cellStyle name="40% - Accent3 3 3 2 2 2 2 2" xfId="55460"/>
    <cellStyle name="40% - Accent3 3 3 2 2 2 3" xfId="38413"/>
    <cellStyle name="40% - Accent3 3 3 2 2 3" xfId="20621"/>
    <cellStyle name="40% - Accent3 3 3 2 2 3 2" xfId="49482"/>
    <cellStyle name="40% - Accent3 3 3 2 2 4" xfId="32372"/>
    <cellStyle name="40% - Accent3 3 3 2 3" xfId="6666"/>
    <cellStyle name="40% - Accent3 3 3 2 3 2" xfId="23713"/>
    <cellStyle name="40% - Accent3 3 3 2 3 2 2" xfId="52574"/>
    <cellStyle name="40% - Accent3 3 3 2 3 3" xfId="35527"/>
    <cellStyle name="40% - Accent3 3 3 2 4" xfId="11975"/>
    <cellStyle name="40% - Accent3 3 3 2 4 2" xfId="17941"/>
    <cellStyle name="40% - Accent3 3 3 2 4 2 2" xfId="46802"/>
    <cellStyle name="40% - Accent3 3 3 2 4 3" xfId="40836"/>
    <cellStyle name="40% - Accent3 3 3 2 5" xfId="15261"/>
    <cellStyle name="40% - Accent3 3 3 2 5 2" xfId="44122"/>
    <cellStyle name="40% - Accent3 3 3 2 6" xfId="29486"/>
    <cellStyle name="40% - Accent3 3 3 3" xfId="2169"/>
    <cellStyle name="40% - Accent3 3 3 3 2" xfId="5056"/>
    <cellStyle name="40% - Accent3 3 3 3 2 2" xfId="11097"/>
    <cellStyle name="40% - Accent3 3 3 3 2 2 2" xfId="28144"/>
    <cellStyle name="40% - Accent3 3 3 3 2 2 2 2" xfId="57005"/>
    <cellStyle name="40% - Accent3 3 3 3 2 2 3" xfId="39958"/>
    <cellStyle name="40% - Accent3 3 3 3 2 3" xfId="22166"/>
    <cellStyle name="40% - Accent3 3 3 3 2 3 2" xfId="51027"/>
    <cellStyle name="40% - Accent3 3 3 3 2 4" xfId="33917"/>
    <cellStyle name="40% - Accent3 3 3 3 3" xfId="8211"/>
    <cellStyle name="40% - Accent3 3 3 3 3 2" xfId="25258"/>
    <cellStyle name="40% - Accent3 3 3 3 3 2 2" xfId="54119"/>
    <cellStyle name="40% - Accent3 3 3 3 3 3" xfId="37072"/>
    <cellStyle name="40% - Accent3 3 3 3 4" xfId="13675"/>
    <cellStyle name="40% - Accent3 3 3 3 4 2" xfId="19486"/>
    <cellStyle name="40% - Accent3 3 3 3 4 2 2" xfId="48347"/>
    <cellStyle name="40% - Accent3 3 3 3 4 3" xfId="42536"/>
    <cellStyle name="40% - Accent3 3 3 3 5" xfId="16806"/>
    <cellStyle name="40% - Accent3 3 3 3 5 2" xfId="45667"/>
    <cellStyle name="40% - Accent3 3 3 3 6" xfId="31031"/>
    <cellStyle name="40% - Accent3 3 3 4" xfId="3099"/>
    <cellStyle name="40% - Accent3 3 3 4 2" xfId="9140"/>
    <cellStyle name="40% - Accent3 3 3 4 2 2" xfId="26187"/>
    <cellStyle name="40% - Accent3 3 3 4 2 2 2" xfId="55048"/>
    <cellStyle name="40% - Accent3 3 3 4 2 3" xfId="38001"/>
    <cellStyle name="40% - Accent3 3 3 4 3" xfId="20209"/>
    <cellStyle name="40% - Accent3 3 3 4 3 2" xfId="49070"/>
    <cellStyle name="40% - Accent3 3 3 4 4" xfId="31960"/>
    <cellStyle name="40% - Accent3 3 3 5" xfId="6254"/>
    <cellStyle name="40% - Accent3 3 3 5 2" xfId="23301"/>
    <cellStyle name="40% - Accent3 3 3 5 2 2" xfId="52162"/>
    <cellStyle name="40% - Accent3 3 3 5 3" xfId="35115"/>
    <cellStyle name="40% - Accent3 3 3 6" xfId="12199"/>
    <cellStyle name="40% - Accent3 3 3 6 2" xfId="17632"/>
    <cellStyle name="40% - Accent3 3 3 6 2 2" xfId="46493"/>
    <cellStyle name="40% - Accent3 3 3 6 3" xfId="41060"/>
    <cellStyle name="40% - Accent3 3 3 7" xfId="14849"/>
    <cellStyle name="40% - Accent3 3 3 7 2" xfId="43710"/>
    <cellStyle name="40% - Accent3 3 3 8" xfId="29074"/>
    <cellStyle name="40% - Accent3 3 4" xfId="418"/>
    <cellStyle name="40% - Accent3 3 4 2" xfId="3305"/>
    <cellStyle name="40% - Accent3 3 4 2 2" xfId="9346"/>
    <cellStyle name="40% - Accent3 3 4 2 2 2" xfId="26393"/>
    <cellStyle name="40% - Accent3 3 4 2 2 2 2" xfId="55254"/>
    <cellStyle name="40% - Accent3 3 4 2 2 3" xfId="38207"/>
    <cellStyle name="40% - Accent3 3 4 2 3" xfId="20415"/>
    <cellStyle name="40% - Accent3 3 4 2 3 2" xfId="49276"/>
    <cellStyle name="40% - Accent3 3 4 2 4" xfId="32166"/>
    <cellStyle name="40% - Accent3 3 4 3" xfId="6460"/>
    <cellStyle name="40% - Accent3 3 4 3 2" xfId="23507"/>
    <cellStyle name="40% - Accent3 3 4 3 2 2" xfId="52368"/>
    <cellStyle name="40% - Accent3 3 4 3 3" xfId="35321"/>
    <cellStyle name="40% - Accent3 3 4 4" xfId="12925"/>
    <cellStyle name="40% - Accent3 3 4 4 2" xfId="17735"/>
    <cellStyle name="40% - Accent3 3 4 4 2 2" xfId="46596"/>
    <cellStyle name="40% - Accent3 3 4 4 3" xfId="41786"/>
    <cellStyle name="40% - Accent3 3 4 5" xfId="15055"/>
    <cellStyle name="40% - Accent3 3 4 5 2" xfId="43916"/>
    <cellStyle name="40% - Accent3 3 4 6" xfId="29280"/>
    <cellStyle name="40% - Accent3 3 5" xfId="727"/>
    <cellStyle name="40% - Accent3 3 5 2" xfId="3614"/>
    <cellStyle name="40% - Accent3 3 5 2 2" xfId="9655"/>
    <cellStyle name="40% - Accent3 3 5 2 2 2" xfId="26702"/>
    <cellStyle name="40% - Accent3 3 5 2 2 2 2" xfId="55563"/>
    <cellStyle name="40% - Accent3 3 5 2 2 3" xfId="38516"/>
    <cellStyle name="40% - Accent3 3 5 2 3" xfId="20724"/>
    <cellStyle name="40% - Accent3 3 5 2 3 2" xfId="49585"/>
    <cellStyle name="40% - Accent3 3 5 2 4" xfId="32475"/>
    <cellStyle name="40% - Accent3 3 5 3" xfId="6769"/>
    <cellStyle name="40% - Accent3 3 5 3 2" xfId="23816"/>
    <cellStyle name="40% - Accent3 3 5 3 2 2" xfId="52677"/>
    <cellStyle name="40% - Accent3 3 5 3 3" xfId="35630"/>
    <cellStyle name="40% - Accent3 3 5 4" xfId="13237"/>
    <cellStyle name="40% - Accent3 3 5 4 2" xfId="18044"/>
    <cellStyle name="40% - Accent3 3 5 4 2 2" xfId="46905"/>
    <cellStyle name="40% - Accent3 3 5 4 3" xfId="42098"/>
    <cellStyle name="40% - Accent3 3 5 5" xfId="15364"/>
    <cellStyle name="40% - Accent3 3 5 5 2" xfId="44225"/>
    <cellStyle name="40% - Accent3 3 5 6" xfId="29589"/>
    <cellStyle name="40% - Accent3 3 6" xfId="933"/>
    <cellStyle name="40% - Accent3 3 6 2" xfId="3820"/>
    <cellStyle name="40% - Accent3 3 6 2 2" xfId="9861"/>
    <cellStyle name="40% - Accent3 3 6 2 2 2" xfId="26908"/>
    <cellStyle name="40% - Accent3 3 6 2 2 2 2" xfId="55769"/>
    <cellStyle name="40% - Accent3 3 6 2 2 3" xfId="38722"/>
    <cellStyle name="40% - Accent3 3 6 2 3" xfId="20930"/>
    <cellStyle name="40% - Accent3 3 6 2 3 2" xfId="49791"/>
    <cellStyle name="40% - Accent3 3 6 2 4" xfId="32681"/>
    <cellStyle name="40% - Accent3 3 6 3" xfId="6975"/>
    <cellStyle name="40% - Accent3 3 6 3 2" xfId="24022"/>
    <cellStyle name="40% - Accent3 3 6 3 2 2" xfId="52883"/>
    <cellStyle name="40% - Accent3 3 6 3 3" xfId="35836"/>
    <cellStyle name="40% - Accent3 3 6 4" xfId="13736"/>
    <cellStyle name="40% - Accent3 3 6 4 2" xfId="18250"/>
    <cellStyle name="40% - Accent3 3 6 4 2 2" xfId="47111"/>
    <cellStyle name="40% - Accent3 3 6 4 3" xfId="42597"/>
    <cellStyle name="40% - Accent3 3 6 5" xfId="15570"/>
    <cellStyle name="40% - Accent3 3 6 5 2" xfId="44431"/>
    <cellStyle name="40% - Accent3 3 6 6" xfId="29795"/>
    <cellStyle name="40% - Accent3 3 7" xfId="1139"/>
    <cellStyle name="40% - Accent3 3 7 2" xfId="4026"/>
    <cellStyle name="40% - Accent3 3 7 2 2" xfId="10067"/>
    <cellStyle name="40% - Accent3 3 7 2 2 2" xfId="27114"/>
    <cellStyle name="40% - Accent3 3 7 2 2 2 2" xfId="55975"/>
    <cellStyle name="40% - Accent3 3 7 2 2 3" xfId="38928"/>
    <cellStyle name="40% - Accent3 3 7 2 3" xfId="21136"/>
    <cellStyle name="40% - Accent3 3 7 2 3 2" xfId="49997"/>
    <cellStyle name="40% - Accent3 3 7 2 4" xfId="32887"/>
    <cellStyle name="40% - Accent3 3 7 3" xfId="7181"/>
    <cellStyle name="40% - Accent3 3 7 3 2" xfId="24228"/>
    <cellStyle name="40% - Accent3 3 7 3 2 2" xfId="53089"/>
    <cellStyle name="40% - Accent3 3 7 3 3" xfId="36042"/>
    <cellStyle name="40% - Accent3 3 7 4" xfId="12742"/>
    <cellStyle name="40% - Accent3 3 7 4 2" xfId="18456"/>
    <cellStyle name="40% - Accent3 3 7 4 2 2" xfId="47317"/>
    <cellStyle name="40% - Accent3 3 7 4 3" xfId="41603"/>
    <cellStyle name="40% - Accent3 3 7 5" xfId="15776"/>
    <cellStyle name="40% - Accent3 3 7 5 2" xfId="44637"/>
    <cellStyle name="40% - Accent3 3 7 6" xfId="30001"/>
    <cellStyle name="40% - Accent3 3 8" xfId="1345"/>
    <cellStyle name="40% - Accent3 3 8 2" xfId="4232"/>
    <cellStyle name="40% - Accent3 3 8 2 2" xfId="10273"/>
    <cellStyle name="40% - Accent3 3 8 2 2 2" xfId="27320"/>
    <cellStyle name="40% - Accent3 3 8 2 2 2 2" xfId="56181"/>
    <cellStyle name="40% - Accent3 3 8 2 2 3" xfId="39134"/>
    <cellStyle name="40% - Accent3 3 8 2 3" xfId="21342"/>
    <cellStyle name="40% - Accent3 3 8 2 3 2" xfId="50203"/>
    <cellStyle name="40% - Accent3 3 8 2 4" xfId="33093"/>
    <cellStyle name="40% - Accent3 3 8 3" xfId="7387"/>
    <cellStyle name="40% - Accent3 3 8 3 2" xfId="24434"/>
    <cellStyle name="40% - Accent3 3 8 3 2 2" xfId="53295"/>
    <cellStyle name="40% - Accent3 3 8 3 3" xfId="36248"/>
    <cellStyle name="40% - Accent3 3 8 4" xfId="12004"/>
    <cellStyle name="40% - Accent3 3 8 4 2" xfId="18662"/>
    <cellStyle name="40% - Accent3 3 8 4 2 2" xfId="47523"/>
    <cellStyle name="40% - Accent3 3 8 4 3" xfId="40865"/>
    <cellStyle name="40% - Accent3 3 8 5" xfId="15982"/>
    <cellStyle name="40% - Accent3 3 8 5 2" xfId="44843"/>
    <cellStyle name="40% - Accent3 3 8 6" xfId="30207"/>
    <cellStyle name="40% - Accent3 3 9" xfId="1551"/>
    <cellStyle name="40% - Accent3 3 9 2" xfId="4438"/>
    <cellStyle name="40% - Accent3 3 9 2 2" xfId="10479"/>
    <cellStyle name="40% - Accent3 3 9 2 2 2" xfId="27526"/>
    <cellStyle name="40% - Accent3 3 9 2 2 2 2" xfId="56387"/>
    <cellStyle name="40% - Accent3 3 9 2 2 3" xfId="39340"/>
    <cellStyle name="40% - Accent3 3 9 2 3" xfId="21548"/>
    <cellStyle name="40% - Accent3 3 9 2 3 2" xfId="50409"/>
    <cellStyle name="40% - Accent3 3 9 2 4" xfId="33299"/>
    <cellStyle name="40% - Accent3 3 9 3" xfId="7593"/>
    <cellStyle name="40% - Accent3 3 9 3 2" xfId="24640"/>
    <cellStyle name="40% - Accent3 3 9 3 2 2" xfId="53501"/>
    <cellStyle name="40% - Accent3 3 9 3 3" xfId="36454"/>
    <cellStyle name="40% - Accent3 3 9 4" xfId="13963"/>
    <cellStyle name="40% - Accent3 3 9 4 2" xfId="18868"/>
    <cellStyle name="40% - Accent3 3 9 4 2 2" xfId="47729"/>
    <cellStyle name="40% - Accent3 3 9 4 3" xfId="42824"/>
    <cellStyle name="40% - Accent3 3 9 5" xfId="16188"/>
    <cellStyle name="40% - Accent3 3 9 5 2" xfId="45049"/>
    <cellStyle name="40% - Accent3 3 9 6" xfId="30413"/>
    <cellStyle name="40% - Accent3 4" xfId="135"/>
    <cellStyle name="40% - Accent3 4 10" xfId="1783"/>
    <cellStyle name="40% - Accent3 4 10 2" xfId="4670"/>
    <cellStyle name="40% - Accent3 4 10 2 2" xfId="10711"/>
    <cellStyle name="40% - Accent3 4 10 2 2 2" xfId="27758"/>
    <cellStyle name="40% - Accent3 4 10 2 2 2 2" xfId="56619"/>
    <cellStyle name="40% - Accent3 4 10 2 2 3" xfId="39572"/>
    <cellStyle name="40% - Accent3 4 10 2 3" xfId="21780"/>
    <cellStyle name="40% - Accent3 4 10 2 3 2" xfId="50641"/>
    <cellStyle name="40% - Accent3 4 10 2 4" xfId="33531"/>
    <cellStyle name="40% - Accent3 4 10 3" xfId="7825"/>
    <cellStyle name="40% - Accent3 4 10 3 2" xfId="24872"/>
    <cellStyle name="40% - Accent3 4 10 3 2 2" xfId="53733"/>
    <cellStyle name="40% - Accent3 4 10 3 3" xfId="36686"/>
    <cellStyle name="40% - Accent3 4 10 4" xfId="11961"/>
    <cellStyle name="40% - Accent3 4 10 4 2" xfId="19100"/>
    <cellStyle name="40% - Accent3 4 10 4 2 2" xfId="47961"/>
    <cellStyle name="40% - Accent3 4 10 4 3" xfId="40822"/>
    <cellStyle name="40% - Accent3 4 10 5" xfId="16420"/>
    <cellStyle name="40% - Accent3 4 10 5 2" xfId="45281"/>
    <cellStyle name="40% - Accent3 4 10 6" xfId="30645"/>
    <cellStyle name="40% - Accent3 4 11" xfId="1989"/>
    <cellStyle name="40% - Accent3 4 11 2" xfId="4876"/>
    <cellStyle name="40% - Accent3 4 11 2 2" xfId="10917"/>
    <cellStyle name="40% - Accent3 4 11 2 2 2" xfId="27964"/>
    <cellStyle name="40% - Accent3 4 11 2 2 2 2" xfId="56825"/>
    <cellStyle name="40% - Accent3 4 11 2 2 3" xfId="39778"/>
    <cellStyle name="40% - Accent3 4 11 2 3" xfId="21986"/>
    <cellStyle name="40% - Accent3 4 11 2 3 2" xfId="50847"/>
    <cellStyle name="40% - Accent3 4 11 2 4" xfId="33737"/>
    <cellStyle name="40% - Accent3 4 11 3" xfId="8031"/>
    <cellStyle name="40% - Accent3 4 11 3 2" xfId="25078"/>
    <cellStyle name="40% - Accent3 4 11 3 2 2" xfId="53939"/>
    <cellStyle name="40% - Accent3 4 11 3 3" xfId="36892"/>
    <cellStyle name="40% - Accent3 4 11 4" xfId="14442"/>
    <cellStyle name="40% - Accent3 4 11 4 2" xfId="19306"/>
    <cellStyle name="40% - Accent3 4 11 4 2 2" xfId="48167"/>
    <cellStyle name="40% - Accent3 4 11 4 3" xfId="43303"/>
    <cellStyle name="40% - Accent3 4 11 5" xfId="16626"/>
    <cellStyle name="40% - Accent3 4 11 5 2" xfId="45487"/>
    <cellStyle name="40% - Accent3 4 11 6" xfId="30851"/>
    <cellStyle name="40% - Accent3 4 12" xfId="2401"/>
    <cellStyle name="40% - Accent3 4 12 2" xfId="5288"/>
    <cellStyle name="40% - Accent3 4 12 2 2" xfId="11329"/>
    <cellStyle name="40% - Accent3 4 12 2 2 2" xfId="28376"/>
    <cellStyle name="40% - Accent3 4 12 2 2 2 2" xfId="57237"/>
    <cellStyle name="40% - Accent3 4 12 2 2 3" xfId="40190"/>
    <cellStyle name="40% - Accent3 4 12 2 3" xfId="22398"/>
    <cellStyle name="40% - Accent3 4 12 2 3 2" xfId="51259"/>
    <cellStyle name="40% - Accent3 4 12 2 4" xfId="34149"/>
    <cellStyle name="40% - Accent3 4 12 3" xfId="8443"/>
    <cellStyle name="40% - Accent3 4 12 3 2" xfId="25490"/>
    <cellStyle name="40% - Accent3 4 12 3 2 2" xfId="54351"/>
    <cellStyle name="40% - Accent3 4 12 3 3" xfId="37304"/>
    <cellStyle name="40% - Accent3 4 12 4" xfId="12320"/>
    <cellStyle name="40% - Accent3 4 12 4 2" xfId="19718"/>
    <cellStyle name="40% - Accent3 4 12 4 2 2" xfId="48579"/>
    <cellStyle name="40% - Accent3 4 12 4 3" xfId="41181"/>
    <cellStyle name="40% - Accent3 4 12 5" xfId="17038"/>
    <cellStyle name="40% - Accent3 4 12 5 2" xfId="45899"/>
    <cellStyle name="40% - Accent3 4 12 6" xfId="31263"/>
    <cellStyle name="40% - Accent3 4 13" xfId="2610"/>
    <cellStyle name="40% - Accent3 4 13 2" xfId="5496"/>
    <cellStyle name="40% - Accent3 4 13 2 2" xfId="11537"/>
    <cellStyle name="40% - Accent3 4 13 2 2 2" xfId="28584"/>
    <cellStyle name="40% - Accent3 4 13 2 2 2 2" xfId="57445"/>
    <cellStyle name="40% - Accent3 4 13 2 2 3" xfId="40398"/>
    <cellStyle name="40% - Accent3 4 13 2 3" xfId="22606"/>
    <cellStyle name="40% - Accent3 4 13 2 3 2" xfId="51467"/>
    <cellStyle name="40% - Accent3 4 13 2 4" xfId="34357"/>
    <cellStyle name="40% - Accent3 4 13 3" xfId="8651"/>
    <cellStyle name="40% - Accent3 4 13 3 2" xfId="25698"/>
    <cellStyle name="40% - Accent3 4 13 3 2 2" xfId="54559"/>
    <cellStyle name="40% - Accent3 4 13 3 3" xfId="37512"/>
    <cellStyle name="40% - Accent3 4 13 4" xfId="13149"/>
    <cellStyle name="40% - Accent3 4 13 4 2" xfId="19926"/>
    <cellStyle name="40% - Accent3 4 13 4 2 2" xfId="48787"/>
    <cellStyle name="40% - Accent3 4 13 4 3" xfId="42010"/>
    <cellStyle name="40% - Accent3 4 13 5" xfId="17246"/>
    <cellStyle name="40% - Accent3 4 13 5 2" xfId="46107"/>
    <cellStyle name="40% - Accent3 4 13 6" xfId="31471"/>
    <cellStyle name="40% - Accent3 4 14" xfId="3022"/>
    <cellStyle name="40% - Accent3 4 14 2" xfId="9063"/>
    <cellStyle name="40% - Accent3 4 14 2 2" xfId="26110"/>
    <cellStyle name="40% - Accent3 4 14 2 2 2" xfId="54971"/>
    <cellStyle name="40% - Accent3 4 14 2 3" xfId="37924"/>
    <cellStyle name="40% - Accent3 4 14 3" xfId="13449"/>
    <cellStyle name="40% - Accent3 4 14 3 2" xfId="20132"/>
    <cellStyle name="40% - Accent3 4 14 3 2 2" xfId="48993"/>
    <cellStyle name="40% - Accent3 4 14 3 3" xfId="42310"/>
    <cellStyle name="40% - Accent3 4 14 4" xfId="14772"/>
    <cellStyle name="40% - Accent3 4 14 4 2" xfId="43633"/>
    <cellStyle name="40% - Accent3 4 14 5" xfId="31883"/>
    <cellStyle name="40% - Accent3 4 15" xfId="2816"/>
    <cellStyle name="40% - Accent3 4 15 2" xfId="8857"/>
    <cellStyle name="40% - Accent3 4 15 2 2" xfId="25904"/>
    <cellStyle name="40% - Accent3 4 15 2 2 2" xfId="54765"/>
    <cellStyle name="40% - Accent3 4 15 2 3" xfId="37718"/>
    <cellStyle name="40% - Accent3 4 15 3" xfId="17452"/>
    <cellStyle name="40% - Accent3 4 15 3 2" xfId="46313"/>
    <cellStyle name="40% - Accent3 4 15 4" xfId="31677"/>
    <cellStyle name="40% - Accent3 4 16" xfId="5702"/>
    <cellStyle name="40% - Accent3 4 16 2" xfId="11743"/>
    <cellStyle name="40% - Accent3 4 16 2 2" xfId="28790"/>
    <cellStyle name="40% - Accent3 4 16 2 2 2" xfId="57651"/>
    <cellStyle name="40% - Accent3 4 16 2 3" xfId="40604"/>
    <cellStyle name="40% - Accent3 4 16 3" xfId="22812"/>
    <cellStyle name="40% - Accent3 4 16 3 2" xfId="51673"/>
    <cellStyle name="40% - Accent3 4 16 4" xfId="34563"/>
    <cellStyle name="40% - Accent3 4 17" xfId="5919"/>
    <cellStyle name="40% - Accent3 4 17 2" xfId="23018"/>
    <cellStyle name="40% - Accent3 4 17 2 2" xfId="51879"/>
    <cellStyle name="40% - Accent3 4 17 3" xfId="34780"/>
    <cellStyle name="40% - Accent3 4 18" xfId="6177"/>
    <cellStyle name="40% - Accent3 4 18 2" xfId="23224"/>
    <cellStyle name="40% - Accent3 4 18 2 2" xfId="52085"/>
    <cellStyle name="40% - Accent3 4 18 3" xfId="35038"/>
    <cellStyle name="40% - Accent3 4 19" xfId="14566"/>
    <cellStyle name="40% - Accent3 4 19 2" xfId="43427"/>
    <cellStyle name="40% - Accent3 4 2" xfId="341"/>
    <cellStyle name="40% - Accent3 4 2 10" xfId="2504"/>
    <cellStyle name="40% - Accent3 4 2 10 2" xfId="5391"/>
    <cellStyle name="40% - Accent3 4 2 10 2 2" xfId="11432"/>
    <cellStyle name="40% - Accent3 4 2 10 2 2 2" xfId="28479"/>
    <cellStyle name="40% - Accent3 4 2 10 2 2 2 2" xfId="57340"/>
    <cellStyle name="40% - Accent3 4 2 10 2 2 3" xfId="40293"/>
    <cellStyle name="40% - Accent3 4 2 10 2 3" xfId="22501"/>
    <cellStyle name="40% - Accent3 4 2 10 2 3 2" xfId="51362"/>
    <cellStyle name="40% - Accent3 4 2 10 2 4" xfId="34252"/>
    <cellStyle name="40% - Accent3 4 2 10 3" xfId="8546"/>
    <cellStyle name="40% - Accent3 4 2 10 3 2" xfId="25593"/>
    <cellStyle name="40% - Accent3 4 2 10 3 2 2" xfId="54454"/>
    <cellStyle name="40% - Accent3 4 2 10 3 3" xfId="37407"/>
    <cellStyle name="40% - Accent3 4 2 10 4" xfId="12858"/>
    <cellStyle name="40% - Accent3 4 2 10 4 2" xfId="19821"/>
    <cellStyle name="40% - Accent3 4 2 10 4 2 2" xfId="48682"/>
    <cellStyle name="40% - Accent3 4 2 10 4 3" xfId="41719"/>
    <cellStyle name="40% - Accent3 4 2 10 5" xfId="17141"/>
    <cellStyle name="40% - Accent3 4 2 10 5 2" xfId="46002"/>
    <cellStyle name="40% - Accent3 4 2 10 6" xfId="31366"/>
    <cellStyle name="40% - Accent3 4 2 11" xfId="2713"/>
    <cellStyle name="40% - Accent3 4 2 11 2" xfId="5599"/>
    <cellStyle name="40% - Accent3 4 2 11 2 2" xfId="11640"/>
    <cellStyle name="40% - Accent3 4 2 11 2 2 2" xfId="28687"/>
    <cellStyle name="40% - Accent3 4 2 11 2 2 2 2" xfId="57548"/>
    <cellStyle name="40% - Accent3 4 2 11 2 2 3" xfId="40501"/>
    <cellStyle name="40% - Accent3 4 2 11 2 3" xfId="22709"/>
    <cellStyle name="40% - Accent3 4 2 11 2 3 2" xfId="51570"/>
    <cellStyle name="40% - Accent3 4 2 11 2 4" xfId="34460"/>
    <cellStyle name="40% - Accent3 4 2 11 3" xfId="8754"/>
    <cellStyle name="40% - Accent3 4 2 11 3 2" xfId="25801"/>
    <cellStyle name="40% - Accent3 4 2 11 3 2 2" xfId="54662"/>
    <cellStyle name="40% - Accent3 4 2 11 3 3" xfId="37615"/>
    <cellStyle name="40% - Accent3 4 2 11 4" xfId="13084"/>
    <cellStyle name="40% - Accent3 4 2 11 4 2" xfId="20029"/>
    <cellStyle name="40% - Accent3 4 2 11 4 2 2" xfId="48890"/>
    <cellStyle name="40% - Accent3 4 2 11 4 3" xfId="41945"/>
    <cellStyle name="40% - Accent3 4 2 11 5" xfId="17349"/>
    <cellStyle name="40% - Accent3 4 2 11 5 2" xfId="46210"/>
    <cellStyle name="40% - Accent3 4 2 11 6" xfId="31574"/>
    <cellStyle name="40% - Accent3 4 2 12" xfId="3228"/>
    <cellStyle name="40% - Accent3 4 2 12 2" xfId="9269"/>
    <cellStyle name="40% - Accent3 4 2 12 2 2" xfId="26316"/>
    <cellStyle name="40% - Accent3 4 2 12 2 2 2" xfId="55177"/>
    <cellStyle name="40% - Accent3 4 2 12 2 3" xfId="38130"/>
    <cellStyle name="40% - Accent3 4 2 12 3" xfId="13420"/>
    <cellStyle name="40% - Accent3 4 2 12 3 2" xfId="20338"/>
    <cellStyle name="40% - Accent3 4 2 12 3 2 2" xfId="49199"/>
    <cellStyle name="40% - Accent3 4 2 12 3 3" xfId="42281"/>
    <cellStyle name="40% - Accent3 4 2 12 4" xfId="14978"/>
    <cellStyle name="40% - Accent3 4 2 12 4 2" xfId="43839"/>
    <cellStyle name="40% - Accent3 4 2 12 5" xfId="32089"/>
    <cellStyle name="40% - Accent3 4 2 13" xfId="2919"/>
    <cellStyle name="40% - Accent3 4 2 13 2" xfId="8960"/>
    <cellStyle name="40% - Accent3 4 2 13 2 2" xfId="26007"/>
    <cellStyle name="40% - Accent3 4 2 13 2 2 2" xfId="54868"/>
    <cellStyle name="40% - Accent3 4 2 13 2 3" xfId="37821"/>
    <cellStyle name="40% - Accent3 4 2 13 3" xfId="17555"/>
    <cellStyle name="40% - Accent3 4 2 13 3 2" xfId="46416"/>
    <cellStyle name="40% - Accent3 4 2 13 4" xfId="31780"/>
    <cellStyle name="40% - Accent3 4 2 14" xfId="5805"/>
    <cellStyle name="40% - Accent3 4 2 14 2" xfId="11846"/>
    <cellStyle name="40% - Accent3 4 2 14 2 2" xfId="28893"/>
    <cellStyle name="40% - Accent3 4 2 14 2 2 2" xfId="57754"/>
    <cellStyle name="40% - Accent3 4 2 14 2 3" xfId="40707"/>
    <cellStyle name="40% - Accent3 4 2 14 3" xfId="22915"/>
    <cellStyle name="40% - Accent3 4 2 14 3 2" xfId="51776"/>
    <cellStyle name="40% - Accent3 4 2 14 4" xfId="34666"/>
    <cellStyle name="40% - Accent3 4 2 15" xfId="6022"/>
    <cellStyle name="40% - Accent3 4 2 15 2" xfId="23121"/>
    <cellStyle name="40% - Accent3 4 2 15 2 2" xfId="51982"/>
    <cellStyle name="40% - Accent3 4 2 15 3" xfId="34883"/>
    <cellStyle name="40% - Accent3 4 2 16" xfId="6383"/>
    <cellStyle name="40% - Accent3 4 2 16 2" xfId="23430"/>
    <cellStyle name="40% - Accent3 4 2 16 2 2" xfId="52291"/>
    <cellStyle name="40% - Accent3 4 2 16 3" xfId="35244"/>
    <cellStyle name="40% - Accent3 4 2 17" xfId="14669"/>
    <cellStyle name="40% - Accent3 4 2 17 2" xfId="43530"/>
    <cellStyle name="40% - Accent3 4 2 18" xfId="29203"/>
    <cellStyle name="40% - Accent3 4 2 2" xfId="547"/>
    <cellStyle name="40% - Accent3 4 2 2 2" xfId="2298"/>
    <cellStyle name="40% - Accent3 4 2 2 2 2" xfId="5185"/>
    <cellStyle name="40% - Accent3 4 2 2 2 2 2" xfId="11226"/>
    <cellStyle name="40% - Accent3 4 2 2 2 2 2 2" xfId="28273"/>
    <cellStyle name="40% - Accent3 4 2 2 2 2 2 2 2" xfId="57134"/>
    <cellStyle name="40% - Accent3 4 2 2 2 2 2 3" xfId="40087"/>
    <cellStyle name="40% - Accent3 4 2 2 2 2 3" xfId="22295"/>
    <cellStyle name="40% - Accent3 4 2 2 2 2 3 2" xfId="51156"/>
    <cellStyle name="40% - Accent3 4 2 2 2 2 4" xfId="34046"/>
    <cellStyle name="40% - Accent3 4 2 2 2 3" xfId="8340"/>
    <cellStyle name="40% - Accent3 4 2 2 2 3 2" xfId="25387"/>
    <cellStyle name="40% - Accent3 4 2 2 2 3 2 2" xfId="54248"/>
    <cellStyle name="40% - Accent3 4 2 2 2 3 3" xfId="37201"/>
    <cellStyle name="40% - Accent3 4 2 2 2 4" xfId="12316"/>
    <cellStyle name="40% - Accent3 4 2 2 2 4 2" xfId="19615"/>
    <cellStyle name="40% - Accent3 4 2 2 2 4 2 2" xfId="48476"/>
    <cellStyle name="40% - Accent3 4 2 2 2 4 3" xfId="41177"/>
    <cellStyle name="40% - Accent3 4 2 2 2 5" xfId="16935"/>
    <cellStyle name="40% - Accent3 4 2 2 2 5 2" xfId="45796"/>
    <cellStyle name="40% - Accent3 4 2 2 2 6" xfId="31160"/>
    <cellStyle name="40% - Accent3 4 2 2 3" xfId="3434"/>
    <cellStyle name="40% - Accent3 4 2 2 3 2" xfId="9475"/>
    <cellStyle name="40% - Accent3 4 2 2 3 2 2" xfId="26522"/>
    <cellStyle name="40% - Accent3 4 2 2 3 2 2 2" xfId="55383"/>
    <cellStyle name="40% - Accent3 4 2 2 3 2 3" xfId="38336"/>
    <cellStyle name="40% - Accent3 4 2 2 3 3" xfId="20544"/>
    <cellStyle name="40% - Accent3 4 2 2 3 3 2" xfId="49405"/>
    <cellStyle name="40% - Accent3 4 2 2 3 4" xfId="32295"/>
    <cellStyle name="40% - Accent3 4 2 2 4" xfId="6589"/>
    <cellStyle name="40% - Accent3 4 2 2 4 2" xfId="23636"/>
    <cellStyle name="40% - Accent3 4 2 2 4 2 2" xfId="52497"/>
    <cellStyle name="40% - Accent3 4 2 2 4 3" xfId="35450"/>
    <cellStyle name="40% - Accent3 4 2 2 5" xfId="12001"/>
    <cellStyle name="40% - Accent3 4 2 2 5 2" xfId="17864"/>
    <cellStyle name="40% - Accent3 4 2 2 5 2 2" xfId="46725"/>
    <cellStyle name="40% - Accent3 4 2 2 5 3" xfId="40862"/>
    <cellStyle name="40% - Accent3 4 2 2 6" xfId="15184"/>
    <cellStyle name="40% - Accent3 4 2 2 6 2" xfId="44045"/>
    <cellStyle name="40% - Accent3 4 2 2 7" xfId="29409"/>
    <cellStyle name="40% - Accent3 4 2 3" xfId="856"/>
    <cellStyle name="40% - Accent3 4 2 3 2" xfId="3743"/>
    <cellStyle name="40% - Accent3 4 2 3 2 2" xfId="9784"/>
    <cellStyle name="40% - Accent3 4 2 3 2 2 2" xfId="26831"/>
    <cellStyle name="40% - Accent3 4 2 3 2 2 2 2" xfId="55692"/>
    <cellStyle name="40% - Accent3 4 2 3 2 2 3" xfId="38645"/>
    <cellStyle name="40% - Accent3 4 2 3 2 3" xfId="20853"/>
    <cellStyle name="40% - Accent3 4 2 3 2 3 2" xfId="49714"/>
    <cellStyle name="40% - Accent3 4 2 3 2 4" xfId="32604"/>
    <cellStyle name="40% - Accent3 4 2 3 3" xfId="6898"/>
    <cellStyle name="40% - Accent3 4 2 3 3 2" xfId="23945"/>
    <cellStyle name="40% - Accent3 4 2 3 3 2 2" xfId="52806"/>
    <cellStyle name="40% - Accent3 4 2 3 3 3" xfId="35759"/>
    <cellStyle name="40% - Accent3 4 2 3 4" xfId="12413"/>
    <cellStyle name="40% - Accent3 4 2 3 4 2" xfId="18173"/>
    <cellStyle name="40% - Accent3 4 2 3 4 2 2" xfId="47034"/>
    <cellStyle name="40% - Accent3 4 2 3 4 3" xfId="41274"/>
    <cellStyle name="40% - Accent3 4 2 3 5" xfId="15493"/>
    <cellStyle name="40% - Accent3 4 2 3 5 2" xfId="44354"/>
    <cellStyle name="40% - Accent3 4 2 3 6" xfId="29718"/>
    <cellStyle name="40% - Accent3 4 2 4" xfId="1062"/>
    <cellStyle name="40% - Accent3 4 2 4 2" xfId="3949"/>
    <cellStyle name="40% - Accent3 4 2 4 2 2" xfId="9990"/>
    <cellStyle name="40% - Accent3 4 2 4 2 2 2" xfId="27037"/>
    <cellStyle name="40% - Accent3 4 2 4 2 2 2 2" xfId="55898"/>
    <cellStyle name="40% - Accent3 4 2 4 2 2 3" xfId="38851"/>
    <cellStyle name="40% - Accent3 4 2 4 2 3" xfId="21059"/>
    <cellStyle name="40% - Accent3 4 2 4 2 3 2" xfId="49920"/>
    <cellStyle name="40% - Accent3 4 2 4 2 4" xfId="32810"/>
    <cellStyle name="40% - Accent3 4 2 4 3" xfId="7104"/>
    <cellStyle name="40% - Accent3 4 2 4 3 2" xfId="24151"/>
    <cellStyle name="40% - Accent3 4 2 4 3 2 2" xfId="53012"/>
    <cellStyle name="40% - Accent3 4 2 4 3 3" xfId="35965"/>
    <cellStyle name="40% - Accent3 4 2 4 4" xfId="13639"/>
    <cellStyle name="40% - Accent3 4 2 4 4 2" xfId="18379"/>
    <cellStyle name="40% - Accent3 4 2 4 4 2 2" xfId="47240"/>
    <cellStyle name="40% - Accent3 4 2 4 4 3" xfId="42500"/>
    <cellStyle name="40% - Accent3 4 2 4 5" xfId="15699"/>
    <cellStyle name="40% - Accent3 4 2 4 5 2" xfId="44560"/>
    <cellStyle name="40% - Accent3 4 2 4 6" xfId="29924"/>
    <cellStyle name="40% - Accent3 4 2 5" xfId="1268"/>
    <cellStyle name="40% - Accent3 4 2 5 2" xfId="4155"/>
    <cellStyle name="40% - Accent3 4 2 5 2 2" xfId="10196"/>
    <cellStyle name="40% - Accent3 4 2 5 2 2 2" xfId="27243"/>
    <cellStyle name="40% - Accent3 4 2 5 2 2 2 2" xfId="56104"/>
    <cellStyle name="40% - Accent3 4 2 5 2 2 3" xfId="39057"/>
    <cellStyle name="40% - Accent3 4 2 5 2 3" xfId="21265"/>
    <cellStyle name="40% - Accent3 4 2 5 2 3 2" xfId="50126"/>
    <cellStyle name="40% - Accent3 4 2 5 2 4" xfId="33016"/>
    <cellStyle name="40% - Accent3 4 2 5 3" xfId="7310"/>
    <cellStyle name="40% - Accent3 4 2 5 3 2" xfId="24357"/>
    <cellStyle name="40% - Accent3 4 2 5 3 2 2" xfId="53218"/>
    <cellStyle name="40% - Accent3 4 2 5 3 3" xfId="36171"/>
    <cellStyle name="40% - Accent3 4 2 5 4" xfId="12697"/>
    <cellStyle name="40% - Accent3 4 2 5 4 2" xfId="18585"/>
    <cellStyle name="40% - Accent3 4 2 5 4 2 2" xfId="47446"/>
    <cellStyle name="40% - Accent3 4 2 5 4 3" xfId="41558"/>
    <cellStyle name="40% - Accent3 4 2 5 5" xfId="15905"/>
    <cellStyle name="40% - Accent3 4 2 5 5 2" xfId="44766"/>
    <cellStyle name="40% - Accent3 4 2 5 6" xfId="30130"/>
    <cellStyle name="40% - Accent3 4 2 6" xfId="1474"/>
    <cellStyle name="40% - Accent3 4 2 6 2" xfId="4361"/>
    <cellStyle name="40% - Accent3 4 2 6 2 2" xfId="10402"/>
    <cellStyle name="40% - Accent3 4 2 6 2 2 2" xfId="27449"/>
    <cellStyle name="40% - Accent3 4 2 6 2 2 2 2" xfId="56310"/>
    <cellStyle name="40% - Accent3 4 2 6 2 2 3" xfId="39263"/>
    <cellStyle name="40% - Accent3 4 2 6 2 3" xfId="21471"/>
    <cellStyle name="40% - Accent3 4 2 6 2 3 2" xfId="50332"/>
    <cellStyle name="40% - Accent3 4 2 6 2 4" xfId="33222"/>
    <cellStyle name="40% - Accent3 4 2 6 3" xfId="7516"/>
    <cellStyle name="40% - Accent3 4 2 6 3 2" xfId="24563"/>
    <cellStyle name="40% - Accent3 4 2 6 3 2 2" xfId="53424"/>
    <cellStyle name="40% - Accent3 4 2 6 3 3" xfId="36377"/>
    <cellStyle name="40% - Accent3 4 2 6 4" xfId="13026"/>
    <cellStyle name="40% - Accent3 4 2 6 4 2" xfId="18791"/>
    <cellStyle name="40% - Accent3 4 2 6 4 2 2" xfId="47652"/>
    <cellStyle name="40% - Accent3 4 2 6 4 3" xfId="41887"/>
    <cellStyle name="40% - Accent3 4 2 6 5" xfId="16111"/>
    <cellStyle name="40% - Accent3 4 2 6 5 2" xfId="44972"/>
    <cellStyle name="40% - Accent3 4 2 6 6" xfId="30336"/>
    <cellStyle name="40% - Accent3 4 2 7" xfId="1680"/>
    <cellStyle name="40% - Accent3 4 2 7 2" xfId="4567"/>
    <cellStyle name="40% - Accent3 4 2 7 2 2" xfId="10608"/>
    <cellStyle name="40% - Accent3 4 2 7 2 2 2" xfId="27655"/>
    <cellStyle name="40% - Accent3 4 2 7 2 2 2 2" xfId="56516"/>
    <cellStyle name="40% - Accent3 4 2 7 2 2 3" xfId="39469"/>
    <cellStyle name="40% - Accent3 4 2 7 2 3" xfId="21677"/>
    <cellStyle name="40% - Accent3 4 2 7 2 3 2" xfId="50538"/>
    <cellStyle name="40% - Accent3 4 2 7 2 4" xfId="33428"/>
    <cellStyle name="40% - Accent3 4 2 7 3" xfId="7722"/>
    <cellStyle name="40% - Accent3 4 2 7 3 2" xfId="24769"/>
    <cellStyle name="40% - Accent3 4 2 7 3 2 2" xfId="53630"/>
    <cellStyle name="40% - Accent3 4 2 7 3 3" xfId="36583"/>
    <cellStyle name="40% - Accent3 4 2 7 4" xfId="12230"/>
    <cellStyle name="40% - Accent3 4 2 7 4 2" xfId="18997"/>
    <cellStyle name="40% - Accent3 4 2 7 4 2 2" xfId="47858"/>
    <cellStyle name="40% - Accent3 4 2 7 4 3" xfId="41091"/>
    <cellStyle name="40% - Accent3 4 2 7 5" xfId="16317"/>
    <cellStyle name="40% - Accent3 4 2 7 5 2" xfId="45178"/>
    <cellStyle name="40% - Accent3 4 2 7 6" xfId="30542"/>
    <cellStyle name="40% - Accent3 4 2 8" xfId="1886"/>
    <cellStyle name="40% - Accent3 4 2 8 2" xfId="4773"/>
    <cellStyle name="40% - Accent3 4 2 8 2 2" xfId="10814"/>
    <cellStyle name="40% - Accent3 4 2 8 2 2 2" xfId="27861"/>
    <cellStyle name="40% - Accent3 4 2 8 2 2 2 2" xfId="56722"/>
    <cellStyle name="40% - Accent3 4 2 8 2 2 3" xfId="39675"/>
    <cellStyle name="40% - Accent3 4 2 8 2 3" xfId="21883"/>
    <cellStyle name="40% - Accent3 4 2 8 2 3 2" xfId="50744"/>
    <cellStyle name="40% - Accent3 4 2 8 2 4" xfId="33634"/>
    <cellStyle name="40% - Accent3 4 2 8 3" xfId="7928"/>
    <cellStyle name="40% - Accent3 4 2 8 3 2" xfId="24975"/>
    <cellStyle name="40% - Accent3 4 2 8 3 2 2" xfId="53836"/>
    <cellStyle name="40% - Accent3 4 2 8 3 3" xfId="36789"/>
    <cellStyle name="40% - Accent3 4 2 8 4" xfId="14276"/>
    <cellStyle name="40% - Accent3 4 2 8 4 2" xfId="19203"/>
    <cellStyle name="40% - Accent3 4 2 8 4 2 2" xfId="48064"/>
    <cellStyle name="40% - Accent3 4 2 8 4 3" xfId="43137"/>
    <cellStyle name="40% - Accent3 4 2 8 5" xfId="16523"/>
    <cellStyle name="40% - Accent3 4 2 8 5 2" xfId="45384"/>
    <cellStyle name="40% - Accent3 4 2 8 6" xfId="30748"/>
    <cellStyle name="40% - Accent3 4 2 9" xfId="2092"/>
    <cellStyle name="40% - Accent3 4 2 9 2" xfId="4979"/>
    <cellStyle name="40% - Accent3 4 2 9 2 2" xfId="11020"/>
    <cellStyle name="40% - Accent3 4 2 9 2 2 2" xfId="28067"/>
    <cellStyle name="40% - Accent3 4 2 9 2 2 2 2" xfId="56928"/>
    <cellStyle name="40% - Accent3 4 2 9 2 2 3" xfId="39881"/>
    <cellStyle name="40% - Accent3 4 2 9 2 3" xfId="22089"/>
    <cellStyle name="40% - Accent3 4 2 9 2 3 2" xfId="50950"/>
    <cellStyle name="40% - Accent3 4 2 9 2 4" xfId="33840"/>
    <cellStyle name="40% - Accent3 4 2 9 3" xfId="8134"/>
    <cellStyle name="40% - Accent3 4 2 9 3 2" xfId="25181"/>
    <cellStyle name="40% - Accent3 4 2 9 3 2 2" xfId="54042"/>
    <cellStyle name="40% - Accent3 4 2 9 3 3" xfId="36995"/>
    <cellStyle name="40% - Accent3 4 2 9 4" xfId="14420"/>
    <cellStyle name="40% - Accent3 4 2 9 4 2" xfId="19409"/>
    <cellStyle name="40% - Accent3 4 2 9 4 2 2" xfId="48270"/>
    <cellStyle name="40% - Accent3 4 2 9 4 3" xfId="43281"/>
    <cellStyle name="40% - Accent3 4 2 9 5" xfId="16729"/>
    <cellStyle name="40% - Accent3 4 2 9 5 2" xfId="45590"/>
    <cellStyle name="40% - Accent3 4 2 9 6" xfId="30954"/>
    <cellStyle name="40% - Accent3 4 20" xfId="28997"/>
    <cellStyle name="40% - Accent3 4 3" xfId="238"/>
    <cellStyle name="40% - Accent3 4 3 2" xfId="650"/>
    <cellStyle name="40% - Accent3 4 3 2 2" xfId="3537"/>
    <cellStyle name="40% - Accent3 4 3 2 2 2" xfId="9578"/>
    <cellStyle name="40% - Accent3 4 3 2 2 2 2" xfId="26625"/>
    <cellStyle name="40% - Accent3 4 3 2 2 2 2 2" xfId="55486"/>
    <cellStyle name="40% - Accent3 4 3 2 2 2 3" xfId="38439"/>
    <cellStyle name="40% - Accent3 4 3 2 2 3" xfId="20647"/>
    <cellStyle name="40% - Accent3 4 3 2 2 3 2" xfId="49508"/>
    <cellStyle name="40% - Accent3 4 3 2 2 4" xfId="32398"/>
    <cellStyle name="40% - Accent3 4 3 2 3" xfId="6692"/>
    <cellStyle name="40% - Accent3 4 3 2 3 2" xfId="23739"/>
    <cellStyle name="40% - Accent3 4 3 2 3 2 2" xfId="52600"/>
    <cellStyle name="40% - Accent3 4 3 2 3 3" xfId="35553"/>
    <cellStyle name="40% - Accent3 4 3 2 4" xfId="13232"/>
    <cellStyle name="40% - Accent3 4 3 2 4 2" xfId="17967"/>
    <cellStyle name="40% - Accent3 4 3 2 4 2 2" xfId="46828"/>
    <cellStyle name="40% - Accent3 4 3 2 4 3" xfId="42093"/>
    <cellStyle name="40% - Accent3 4 3 2 5" xfId="15287"/>
    <cellStyle name="40% - Accent3 4 3 2 5 2" xfId="44148"/>
    <cellStyle name="40% - Accent3 4 3 2 6" xfId="29512"/>
    <cellStyle name="40% - Accent3 4 3 3" xfId="2195"/>
    <cellStyle name="40% - Accent3 4 3 3 2" xfId="5082"/>
    <cellStyle name="40% - Accent3 4 3 3 2 2" xfId="11123"/>
    <cellStyle name="40% - Accent3 4 3 3 2 2 2" xfId="28170"/>
    <cellStyle name="40% - Accent3 4 3 3 2 2 2 2" xfId="57031"/>
    <cellStyle name="40% - Accent3 4 3 3 2 2 3" xfId="39984"/>
    <cellStyle name="40% - Accent3 4 3 3 2 3" xfId="22192"/>
    <cellStyle name="40% - Accent3 4 3 3 2 3 2" xfId="51053"/>
    <cellStyle name="40% - Accent3 4 3 3 2 4" xfId="33943"/>
    <cellStyle name="40% - Accent3 4 3 3 3" xfId="8237"/>
    <cellStyle name="40% - Accent3 4 3 3 3 2" xfId="25284"/>
    <cellStyle name="40% - Accent3 4 3 3 3 2 2" xfId="54145"/>
    <cellStyle name="40% - Accent3 4 3 3 3 3" xfId="37098"/>
    <cellStyle name="40% - Accent3 4 3 3 4" xfId="11964"/>
    <cellStyle name="40% - Accent3 4 3 3 4 2" xfId="19512"/>
    <cellStyle name="40% - Accent3 4 3 3 4 2 2" xfId="48373"/>
    <cellStyle name="40% - Accent3 4 3 3 4 3" xfId="40825"/>
    <cellStyle name="40% - Accent3 4 3 3 5" xfId="16832"/>
    <cellStyle name="40% - Accent3 4 3 3 5 2" xfId="45693"/>
    <cellStyle name="40% - Accent3 4 3 3 6" xfId="31057"/>
    <cellStyle name="40% - Accent3 4 3 4" xfId="3125"/>
    <cellStyle name="40% - Accent3 4 3 4 2" xfId="9166"/>
    <cellStyle name="40% - Accent3 4 3 4 2 2" xfId="26213"/>
    <cellStyle name="40% - Accent3 4 3 4 2 2 2" xfId="55074"/>
    <cellStyle name="40% - Accent3 4 3 4 2 3" xfId="38027"/>
    <cellStyle name="40% - Accent3 4 3 4 3" xfId="20235"/>
    <cellStyle name="40% - Accent3 4 3 4 3 2" xfId="49096"/>
    <cellStyle name="40% - Accent3 4 3 4 4" xfId="31986"/>
    <cellStyle name="40% - Accent3 4 3 5" xfId="6280"/>
    <cellStyle name="40% - Accent3 4 3 5 2" xfId="23327"/>
    <cellStyle name="40% - Accent3 4 3 5 2 2" xfId="52188"/>
    <cellStyle name="40% - Accent3 4 3 5 3" xfId="35141"/>
    <cellStyle name="40% - Accent3 4 3 6" xfId="13771"/>
    <cellStyle name="40% - Accent3 4 3 6 2" xfId="17658"/>
    <cellStyle name="40% - Accent3 4 3 6 2 2" xfId="46519"/>
    <cellStyle name="40% - Accent3 4 3 6 3" xfId="42632"/>
    <cellStyle name="40% - Accent3 4 3 7" xfId="14875"/>
    <cellStyle name="40% - Accent3 4 3 7 2" xfId="43736"/>
    <cellStyle name="40% - Accent3 4 3 8" xfId="29100"/>
    <cellStyle name="40% - Accent3 4 4" xfId="444"/>
    <cellStyle name="40% - Accent3 4 4 2" xfId="3331"/>
    <cellStyle name="40% - Accent3 4 4 2 2" xfId="9372"/>
    <cellStyle name="40% - Accent3 4 4 2 2 2" xfId="26419"/>
    <cellStyle name="40% - Accent3 4 4 2 2 2 2" xfId="55280"/>
    <cellStyle name="40% - Accent3 4 4 2 2 3" xfId="38233"/>
    <cellStyle name="40% - Accent3 4 4 2 3" xfId="20441"/>
    <cellStyle name="40% - Accent3 4 4 2 3 2" xfId="49302"/>
    <cellStyle name="40% - Accent3 4 4 2 4" xfId="32192"/>
    <cellStyle name="40% - Accent3 4 4 3" xfId="6486"/>
    <cellStyle name="40% - Accent3 4 4 3 2" xfId="23533"/>
    <cellStyle name="40% - Accent3 4 4 3 2 2" xfId="52394"/>
    <cellStyle name="40% - Accent3 4 4 3 3" xfId="35347"/>
    <cellStyle name="40% - Accent3 4 4 4" xfId="11960"/>
    <cellStyle name="40% - Accent3 4 4 4 2" xfId="17761"/>
    <cellStyle name="40% - Accent3 4 4 4 2 2" xfId="46622"/>
    <cellStyle name="40% - Accent3 4 4 4 3" xfId="40821"/>
    <cellStyle name="40% - Accent3 4 4 5" xfId="15081"/>
    <cellStyle name="40% - Accent3 4 4 5 2" xfId="43942"/>
    <cellStyle name="40% - Accent3 4 4 6" xfId="29306"/>
    <cellStyle name="40% - Accent3 4 5" xfId="753"/>
    <cellStyle name="40% - Accent3 4 5 2" xfId="3640"/>
    <cellStyle name="40% - Accent3 4 5 2 2" xfId="9681"/>
    <cellStyle name="40% - Accent3 4 5 2 2 2" xfId="26728"/>
    <cellStyle name="40% - Accent3 4 5 2 2 2 2" xfId="55589"/>
    <cellStyle name="40% - Accent3 4 5 2 2 3" xfId="38542"/>
    <cellStyle name="40% - Accent3 4 5 2 3" xfId="20750"/>
    <cellStyle name="40% - Accent3 4 5 2 3 2" xfId="49611"/>
    <cellStyle name="40% - Accent3 4 5 2 4" xfId="32501"/>
    <cellStyle name="40% - Accent3 4 5 3" xfId="6795"/>
    <cellStyle name="40% - Accent3 4 5 3 2" xfId="23842"/>
    <cellStyle name="40% - Accent3 4 5 3 2 2" xfId="52703"/>
    <cellStyle name="40% - Accent3 4 5 3 3" xfId="35656"/>
    <cellStyle name="40% - Accent3 4 5 4" xfId="11988"/>
    <cellStyle name="40% - Accent3 4 5 4 2" xfId="18070"/>
    <cellStyle name="40% - Accent3 4 5 4 2 2" xfId="46931"/>
    <cellStyle name="40% - Accent3 4 5 4 3" xfId="40849"/>
    <cellStyle name="40% - Accent3 4 5 5" xfId="15390"/>
    <cellStyle name="40% - Accent3 4 5 5 2" xfId="44251"/>
    <cellStyle name="40% - Accent3 4 5 6" xfId="29615"/>
    <cellStyle name="40% - Accent3 4 6" xfId="959"/>
    <cellStyle name="40% - Accent3 4 6 2" xfId="3846"/>
    <cellStyle name="40% - Accent3 4 6 2 2" xfId="9887"/>
    <cellStyle name="40% - Accent3 4 6 2 2 2" xfId="26934"/>
    <cellStyle name="40% - Accent3 4 6 2 2 2 2" xfId="55795"/>
    <cellStyle name="40% - Accent3 4 6 2 2 3" xfId="38748"/>
    <cellStyle name="40% - Accent3 4 6 2 3" xfId="20956"/>
    <cellStyle name="40% - Accent3 4 6 2 3 2" xfId="49817"/>
    <cellStyle name="40% - Accent3 4 6 2 4" xfId="32707"/>
    <cellStyle name="40% - Accent3 4 6 3" xfId="7001"/>
    <cellStyle name="40% - Accent3 4 6 3 2" xfId="24048"/>
    <cellStyle name="40% - Accent3 4 6 3 2 2" xfId="52909"/>
    <cellStyle name="40% - Accent3 4 6 3 3" xfId="35862"/>
    <cellStyle name="40% - Accent3 4 6 4" xfId="14195"/>
    <cellStyle name="40% - Accent3 4 6 4 2" xfId="18276"/>
    <cellStyle name="40% - Accent3 4 6 4 2 2" xfId="47137"/>
    <cellStyle name="40% - Accent3 4 6 4 3" xfId="43056"/>
    <cellStyle name="40% - Accent3 4 6 5" xfId="15596"/>
    <cellStyle name="40% - Accent3 4 6 5 2" xfId="44457"/>
    <cellStyle name="40% - Accent3 4 6 6" xfId="29821"/>
    <cellStyle name="40% - Accent3 4 7" xfId="1165"/>
    <cellStyle name="40% - Accent3 4 7 2" xfId="4052"/>
    <cellStyle name="40% - Accent3 4 7 2 2" xfId="10093"/>
    <cellStyle name="40% - Accent3 4 7 2 2 2" xfId="27140"/>
    <cellStyle name="40% - Accent3 4 7 2 2 2 2" xfId="56001"/>
    <cellStyle name="40% - Accent3 4 7 2 2 3" xfId="38954"/>
    <cellStyle name="40% - Accent3 4 7 2 3" xfId="21162"/>
    <cellStyle name="40% - Accent3 4 7 2 3 2" xfId="50023"/>
    <cellStyle name="40% - Accent3 4 7 2 4" xfId="32913"/>
    <cellStyle name="40% - Accent3 4 7 3" xfId="7207"/>
    <cellStyle name="40% - Accent3 4 7 3 2" xfId="24254"/>
    <cellStyle name="40% - Accent3 4 7 3 2 2" xfId="53115"/>
    <cellStyle name="40% - Accent3 4 7 3 3" xfId="36068"/>
    <cellStyle name="40% - Accent3 4 7 4" xfId="12061"/>
    <cellStyle name="40% - Accent3 4 7 4 2" xfId="18482"/>
    <cellStyle name="40% - Accent3 4 7 4 2 2" xfId="47343"/>
    <cellStyle name="40% - Accent3 4 7 4 3" xfId="40922"/>
    <cellStyle name="40% - Accent3 4 7 5" xfId="15802"/>
    <cellStyle name="40% - Accent3 4 7 5 2" xfId="44663"/>
    <cellStyle name="40% - Accent3 4 7 6" xfId="30027"/>
    <cellStyle name="40% - Accent3 4 8" xfId="1371"/>
    <cellStyle name="40% - Accent3 4 8 2" xfId="4258"/>
    <cellStyle name="40% - Accent3 4 8 2 2" xfId="10299"/>
    <cellStyle name="40% - Accent3 4 8 2 2 2" xfId="27346"/>
    <cellStyle name="40% - Accent3 4 8 2 2 2 2" xfId="56207"/>
    <cellStyle name="40% - Accent3 4 8 2 2 3" xfId="39160"/>
    <cellStyle name="40% - Accent3 4 8 2 3" xfId="21368"/>
    <cellStyle name="40% - Accent3 4 8 2 3 2" xfId="50229"/>
    <cellStyle name="40% - Accent3 4 8 2 4" xfId="33119"/>
    <cellStyle name="40% - Accent3 4 8 3" xfId="7413"/>
    <cellStyle name="40% - Accent3 4 8 3 2" xfId="24460"/>
    <cellStyle name="40% - Accent3 4 8 3 2 2" xfId="53321"/>
    <cellStyle name="40% - Accent3 4 8 3 3" xfId="36274"/>
    <cellStyle name="40% - Accent3 4 8 4" xfId="13040"/>
    <cellStyle name="40% - Accent3 4 8 4 2" xfId="18688"/>
    <cellStyle name="40% - Accent3 4 8 4 2 2" xfId="47549"/>
    <cellStyle name="40% - Accent3 4 8 4 3" xfId="41901"/>
    <cellStyle name="40% - Accent3 4 8 5" xfId="16008"/>
    <cellStyle name="40% - Accent3 4 8 5 2" xfId="44869"/>
    <cellStyle name="40% - Accent3 4 8 6" xfId="30233"/>
    <cellStyle name="40% - Accent3 4 9" xfId="1577"/>
    <cellStyle name="40% - Accent3 4 9 2" xfId="4464"/>
    <cellStyle name="40% - Accent3 4 9 2 2" xfId="10505"/>
    <cellStyle name="40% - Accent3 4 9 2 2 2" xfId="27552"/>
    <cellStyle name="40% - Accent3 4 9 2 2 2 2" xfId="56413"/>
    <cellStyle name="40% - Accent3 4 9 2 2 3" xfId="39366"/>
    <cellStyle name="40% - Accent3 4 9 2 3" xfId="21574"/>
    <cellStyle name="40% - Accent3 4 9 2 3 2" xfId="50435"/>
    <cellStyle name="40% - Accent3 4 9 2 4" xfId="33325"/>
    <cellStyle name="40% - Accent3 4 9 3" xfId="7619"/>
    <cellStyle name="40% - Accent3 4 9 3 2" xfId="24666"/>
    <cellStyle name="40% - Accent3 4 9 3 2 2" xfId="53527"/>
    <cellStyle name="40% - Accent3 4 9 3 3" xfId="36480"/>
    <cellStyle name="40% - Accent3 4 9 4" xfId="13533"/>
    <cellStyle name="40% - Accent3 4 9 4 2" xfId="18894"/>
    <cellStyle name="40% - Accent3 4 9 4 2 2" xfId="47755"/>
    <cellStyle name="40% - Accent3 4 9 4 3" xfId="42394"/>
    <cellStyle name="40% - Accent3 4 9 5" xfId="16214"/>
    <cellStyle name="40% - Accent3 4 9 5 2" xfId="45075"/>
    <cellStyle name="40% - Accent3 4 9 6" xfId="30439"/>
    <cellStyle name="40% - Accent3 5" xfId="288"/>
    <cellStyle name="40% - Accent3 5 10" xfId="2451"/>
    <cellStyle name="40% - Accent3 5 10 2" xfId="5338"/>
    <cellStyle name="40% - Accent3 5 10 2 2" xfId="11379"/>
    <cellStyle name="40% - Accent3 5 10 2 2 2" xfId="28426"/>
    <cellStyle name="40% - Accent3 5 10 2 2 2 2" xfId="57287"/>
    <cellStyle name="40% - Accent3 5 10 2 2 3" xfId="40240"/>
    <cellStyle name="40% - Accent3 5 10 2 3" xfId="22448"/>
    <cellStyle name="40% - Accent3 5 10 2 3 2" xfId="51309"/>
    <cellStyle name="40% - Accent3 5 10 2 4" xfId="34199"/>
    <cellStyle name="40% - Accent3 5 10 3" xfId="8493"/>
    <cellStyle name="40% - Accent3 5 10 3 2" xfId="25540"/>
    <cellStyle name="40% - Accent3 5 10 3 2 2" xfId="54401"/>
    <cellStyle name="40% - Accent3 5 10 3 3" xfId="37354"/>
    <cellStyle name="40% - Accent3 5 10 4" xfId="12212"/>
    <cellStyle name="40% - Accent3 5 10 4 2" xfId="19768"/>
    <cellStyle name="40% - Accent3 5 10 4 2 2" xfId="48629"/>
    <cellStyle name="40% - Accent3 5 10 4 3" xfId="41073"/>
    <cellStyle name="40% - Accent3 5 10 5" xfId="17088"/>
    <cellStyle name="40% - Accent3 5 10 5 2" xfId="45949"/>
    <cellStyle name="40% - Accent3 5 10 6" xfId="31313"/>
    <cellStyle name="40% - Accent3 5 11" xfId="2660"/>
    <cellStyle name="40% - Accent3 5 11 2" xfId="5546"/>
    <cellStyle name="40% - Accent3 5 11 2 2" xfId="11587"/>
    <cellStyle name="40% - Accent3 5 11 2 2 2" xfId="28634"/>
    <cellStyle name="40% - Accent3 5 11 2 2 2 2" xfId="57495"/>
    <cellStyle name="40% - Accent3 5 11 2 2 3" xfId="40448"/>
    <cellStyle name="40% - Accent3 5 11 2 3" xfId="22656"/>
    <cellStyle name="40% - Accent3 5 11 2 3 2" xfId="51517"/>
    <cellStyle name="40% - Accent3 5 11 2 4" xfId="34407"/>
    <cellStyle name="40% - Accent3 5 11 3" xfId="8701"/>
    <cellStyle name="40% - Accent3 5 11 3 2" xfId="25748"/>
    <cellStyle name="40% - Accent3 5 11 3 2 2" xfId="54609"/>
    <cellStyle name="40% - Accent3 5 11 3 3" xfId="37562"/>
    <cellStyle name="40% - Accent3 5 11 4" xfId="14082"/>
    <cellStyle name="40% - Accent3 5 11 4 2" xfId="19976"/>
    <cellStyle name="40% - Accent3 5 11 4 2 2" xfId="48837"/>
    <cellStyle name="40% - Accent3 5 11 4 3" xfId="42943"/>
    <cellStyle name="40% - Accent3 5 11 5" xfId="17296"/>
    <cellStyle name="40% - Accent3 5 11 5 2" xfId="46157"/>
    <cellStyle name="40% - Accent3 5 11 6" xfId="31521"/>
    <cellStyle name="40% - Accent3 5 12" xfId="3175"/>
    <cellStyle name="40% - Accent3 5 12 2" xfId="9216"/>
    <cellStyle name="40% - Accent3 5 12 2 2" xfId="26263"/>
    <cellStyle name="40% - Accent3 5 12 2 2 2" xfId="55124"/>
    <cellStyle name="40% - Accent3 5 12 2 3" xfId="38077"/>
    <cellStyle name="40% - Accent3 5 12 3" xfId="13599"/>
    <cellStyle name="40% - Accent3 5 12 3 2" xfId="20285"/>
    <cellStyle name="40% - Accent3 5 12 3 2 2" xfId="49146"/>
    <cellStyle name="40% - Accent3 5 12 3 3" xfId="42460"/>
    <cellStyle name="40% - Accent3 5 12 4" xfId="14925"/>
    <cellStyle name="40% - Accent3 5 12 4 2" xfId="43786"/>
    <cellStyle name="40% - Accent3 5 12 5" xfId="32036"/>
    <cellStyle name="40% - Accent3 5 13" xfId="2866"/>
    <cellStyle name="40% - Accent3 5 13 2" xfId="8907"/>
    <cellStyle name="40% - Accent3 5 13 2 2" xfId="25954"/>
    <cellStyle name="40% - Accent3 5 13 2 2 2" xfId="54815"/>
    <cellStyle name="40% - Accent3 5 13 2 3" xfId="37768"/>
    <cellStyle name="40% - Accent3 5 13 3" xfId="17502"/>
    <cellStyle name="40% - Accent3 5 13 3 2" xfId="46363"/>
    <cellStyle name="40% - Accent3 5 13 4" xfId="31727"/>
    <cellStyle name="40% - Accent3 5 14" xfId="5752"/>
    <cellStyle name="40% - Accent3 5 14 2" xfId="11793"/>
    <cellStyle name="40% - Accent3 5 14 2 2" xfId="28840"/>
    <cellStyle name="40% - Accent3 5 14 2 2 2" xfId="57701"/>
    <cellStyle name="40% - Accent3 5 14 2 3" xfId="40654"/>
    <cellStyle name="40% - Accent3 5 14 3" xfId="22862"/>
    <cellStyle name="40% - Accent3 5 14 3 2" xfId="51723"/>
    <cellStyle name="40% - Accent3 5 14 4" xfId="34613"/>
    <cellStyle name="40% - Accent3 5 15" xfId="5969"/>
    <cellStyle name="40% - Accent3 5 15 2" xfId="23068"/>
    <cellStyle name="40% - Accent3 5 15 2 2" xfId="51929"/>
    <cellStyle name="40% - Accent3 5 15 3" xfId="34830"/>
    <cellStyle name="40% - Accent3 5 16" xfId="6330"/>
    <cellStyle name="40% - Accent3 5 16 2" xfId="23377"/>
    <cellStyle name="40% - Accent3 5 16 2 2" xfId="52238"/>
    <cellStyle name="40% - Accent3 5 16 3" xfId="35191"/>
    <cellStyle name="40% - Accent3 5 17" xfId="14616"/>
    <cellStyle name="40% - Accent3 5 17 2" xfId="43477"/>
    <cellStyle name="40% - Accent3 5 18" xfId="29150"/>
    <cellStyle name="40% - Accent3 5 2" xfId="494"/>
    <cellStyle name="40% - Accent3 5 2 2" xfId="2245"/>
    <cellStyle name="40% - Accent3 5 2 2 2" xfId="5132"/>
    <cellStyle name="40% - Accent3 5 2 2 2 2" xfId="11173"/>
    <cellStyle name="40% - Accent3 5 2 2 2 2 2" xfId="28220"/>
    <cellStyle name="40% - Accent3 5 2 2 2 2 2 2" xfId="57081"/>
    <cellStyle name="40% - Accent3 5 2 2 2 2 3" xfId="40034"/>
    <cellStyle name="40% - Accent3 5 2 2 2 3" xfId="22242"/>
    <cellStyle name="40% - Accent3 5 2 2 2 3 2" xfId="51103"/>
    <cellStyle name="40% - Accent3 5 2 2 2 4" xfId="33993"/>
    <cellStyle name="40% - Accent3 5 2 2 3" xfId="8287"/>
    <cellStyle name="40% - Accent3 5 2 2 3 2" xfId="25334"/>
    <cellStyle name="40% - Accent3 5 2 2 3 2 2" xfId="54195"/>
    <cellStyle name="40% - Accent3 5 2 2 3 3" xfId="37148"/>
    <cellStyle name="40% - Accent3 5 2 2 4" xfId="14193"/>
    <cellStyle name="40% - Accent3 5 2 2 4 2" xfId="19562"/>
    <cellStyle name="40% - Accent3 5 2 2 4 2 2" xfId="48423"/>
    <cellStyle name="40% - Accent3 5 2 2 4 3" xfId="43054"/>
    <cellStyle name="40% - Accent3 5 2 2 5" xfId="16882"/>
    <cellStyle name="40% - Accent3 5 2 2 5 2" xfId="45743"/>
    <cellStyle name="40% - Accent3 5 2 2 6" xfId="31107"/>
    <cellStyle name="40% - Accent3 5 2 3" xfId="3381"/>
    <cellStyle name="40% - Accent3 5 2 3 2" xfId="9422"/>
    <cellStyle name="40% - Accent3 5 2 3 2 2" xfId="26469"/>
    <cellStyle name="40% - Accent3 5 2 3 2 2 2" xfId="55330"/>
    <cellStyle name="40% - Accent3 5 2 3 2 3" xfId="38283"/>
    <cellStyle name="40% - Accent3 5 2 3 3" xfId="20491"/>
    <cellStyle name="40% - Accent3 5 2 3 3 2" xfId="49352"/>
    <cellStyle name="40% - Accent3 5 2 3 4" xfId="32242"/>
    <cellStyle name="40% - Accent3 5 2 4" xfId="6536"/>
    <cellStyle name="40% - Accent3 5 2 4 2" xfId="23583"/>
    <cellStyle name="40% - Accent3 5 2 4 2 2" xfId="52444"/>
    <cellStyle name="40% - Accent3 5 2 4 3" xfId="35397"/>
    <cellStyle name="40% - Accent3 5 2 5" xfId="12025"/>
    <cellStyle name="40% - Accent3 5 2 5 2" xfId="17811"/>
    <cellStyle name="40% - Accent3 5 2 5 2 2" xfId="46672"/>
    <cellStyle name="40% - Accent3 5 2 5 3" xfId="40886"/>
    <cellStyle name="40% - Accent3 5 2 6" xfId="15131"/>
    <cellStyle name="40% - Accent3 5 2 6 2" xfId="43992"/>
    <cellStyle name="40% - Accent3 5 2 7" xfId="29356"/>
    <cellStyle name="40% - Accent3 5 3" xfId="803"/>
    <cellStyle name="40% - Accent3 5 3 2" xfId="3690"/>
    <cellStyle name="40% - Accent3 5 3 2 2" xfId="9731"/>
    <cellStyle name="40% - Accent3 5 3 2 2 2" xfId="26778"/>
    <cellStyle name="40% - Accent3 5 3 2 2 2 2" xfId="55639"/>
    <cellStyle name="40% - Accent3 5 3 2 2 3" xfId="38592"/>
    <cellStyle name="40% - Accent3 5 3 2 3" xfId="20800"/>
    <cellStyle name="40% - Accent3 5 3 2 3 2" xfId="49661"/>
    <cellStyle name="40% - Accent3 5 3 2 4" xfId="32551"/>
    <cellStyle name="40% - Accent3 5 3 3" xfId="6845"/>
    <cellStyle name="40% - Accent3 5 3 3 2" xfId="23892"/>
    <cellStyle name="40% - Accent3 5 3 3 2 2" xfId="52753"/>
    <cellStyle name="40% - Accent3 5 3 3 3" xfId="35706"/>
    <cellStyle name="40% - Accent3 5 3 4" xfId="13391"/>
    <cellStyle name="40% - Accent3 5 3 4 2" xfId="18120"/>
    <cellStyle name="40% - Accent3 5 3 4 2 2" xfId="46981"/>
    <cellStyle name="40% - Accent3 5 3 4 3" xfId="42252"/>
    <cellStyle name="40% - Accent3 5 3 5" xfId="15440"/>
    <cellStyle name="40% - Accent3 5 3 5 2" xfId="44301"/>
    <cellStyle name="40% - Accent3 5 3 6" xfId="29665"/>
    <cellStyle name="40% - Accent3 5 4" xfId="1009"/>
    <cellStyle name="40% - Accent3 5 4 2" xfId="3896"/>
    <cellStyle name="40% - Accent3 5 4 2 2" xfId="9937"/>
    <cellStyle name="40% - Accent3 5 4 2 2 2" xfId="26984"/>
    <cellStyle name="40% - Accent3 5 4 2 2 2 2" xfId="55845"/>
    <cellStyle name="40% - Accent3 5 4 2 2 3" xfId="38798"/>
    <cellStyle name="40% - Accent3 5 4 2 3" xfId="21006"/>
    <cellStyle name="40% - Accent3 5 4 2 3 2" xfId="49867"/>
    <cellStyle name="40% - Accent3 5 4 2 4" xfId="32757"/>
    <cellStyle name="40% - Accent3 5 4 3" xfId="7051"/>
    <cellStyle name="40% - Accent3 5 4 3 2" xfId="24098"/>
    <cellStyle name="40% - Accent3 5 4 3 2 2" xfId="52959"/>
    <cellStyle name="40% - Accent3 5 4 3 3" xfId="35912"/>
    <cellStyle name="40% - Accent3 5 4 4" xfId="13288"/>
    <cellStyle name="40% - Accent3 5 4 4 2" xfId="18326"/>
    <cellStyle name="40% - Accent3 5 4 4 2 2" xfId="47187"/>
    <cellStyle name="40% - Accent3 5 4 4 3" xfId="42149"/>
    <cellStyle name="40% - Accent3 5 4 5" xfId="15646"/>
    <cellStyle name="40% - Accent3 5 4 5 2" xfId="44507"/>
    <cellStyle name="40% - Accent3 5 4 6" xfId="29871"/>
    <cellStyle name="40% - Accent3 5 5" xfId="1215"/>
    <cellStyle name="40% - Accent3 5 5 2" xfId="4102"/>
    <cellStyle name="40% - Accent3 5 5 2 2" xfId="10143"/>
    <cellStyle name="40% - Accent3 5 5 2 2 2" xfId="27190"/>
    <cellStyle name="40% - Accent3 5 5 2 2 2 2" xfId="56051"/>
    <cellStyle name="40% - Accent3 5 5 2 2 3" xfId="39004"/>
    <cellStyle name="40% - Accent3 5 5 2 3" xfId="21212"/>
    <cellStyle name="40% - Accent3 5 5 2 3 2" xfId="50073"/>
    <cellStyle name="40% - Accent3 5 5 2 4" xfId="32963"/>
    <cellStyle name="40% - Accent3 5 5 3" xfId="7257"/>
    <cellStyle name="40% - Accent3 5 5 3 2" xfId="24304"/>
    <cellStyle name="40% - Accent3 5 5 3 2 2" xfId="53165"/>
    <cellStyle name="40% - Accent3 5 5 3 3" xfId="36118"/>
    <cellStyle name="40% - Accent3 5 5 4" xfId="14187"/>
    <cellStyle name="40% - Accent3 5 5 4 2" xfId="18532"/>
    <cellStyle name="40% - Accent3 5 5 4 2 2" xfId="47393"/>
    <cellStyle name="40% - Accent3 5 5 4 3" xfId="43048"/>
    <cellStyle name="40% - Accent3 5 5 5" xfId="15852"/>
    <cellStyle name="40% - Accent3 5 5 5 2" xfId="44713"/>
    <cellStyle name="40% - Accent3 5 5 6" xfId="30077"/>
    <cellStyle name="40% - Accent3 5 6" xfId="1421"/>
    <cellStyle name="40% - Accent3 5 6 2" xfId="4308"/>
    <cellStyle name="40% - Accent3 5 6 2 2" xfId="10349"/>
    <cellStyle name="40% - Accent3 5 6 2 2 2" xfId="27396"/>
    <cellStyle name="40% - Accent3 5 6 2 2 2 2" xfId="56257"/>
    <cellStyle name="40% - Accent3 5 6 2 2 3" xfId="39210"/>
    <cellStyle name="40% - Accent3 5 6 2 3" xfId="21418"/>
    <cellStyle name="40% - Accent3 5 6 2 3 2" xfId="50279"/>
    <cellStyle name="40% - Accent3 5 6 2 4" xfId="33169"/>
    <cellStyle name="40% - Accent3 5 6 3" xfId="7463"/>
    <cellStyle name="40% - Accent3 5 6 3 2" xfId="24510"/>
    <cellStyle name="40% - Accent3 5 6 3 2 2" xfId="53371"/>
    <cellStyle name="40% - Accent3 5 6 3 3" xfId="36324"/>
    <cellStyle name="40% - Accent3 5 6 4" xfId="13343"/>
    <cellStyle name="40% - Accent3 5 6 4 2" xfId="18738"/>
    <cellStyle name="40% - Accent3 5 6 4 2 2" xfId="47599"/>
    <cellStyle name="40% - Accent3 5 6 4 3" xfId="42204"/>
    <cellStyle name="40% - Accent3 5 6 5" xfId="16058"/>
    <cellStyle name="40% - Accent3 5 6 5 2" xfId="44919"/>
    <cellStyle name="40% - Accent3 5 6 6" xfId="30283"/>
    <cellStyle name="40% - Accent3 5 7" xfId="1627"/>
    <cellStyle name="40% - Accent3 5 7 2" xfId="4514"/>
    <cellStyle name="40% - Accent3 5 7 2 2" xfId="10555"/>
    <cellStyle name="40% - Accent3 5 7 2 2 2" xfId="27602"/>
    <cellStyle name="40% - Accent3 5 7 2 2 2 2" xfId="56463"/>
    <cellStyle name="40% - Accent3 5 7 2 2 3" xfId="39416"/>
    <cellStyle name="40% - Accent3 5 7 2 3" xfId="21624"/>
    <cellStyle name="40% - Accent3 5 7 2 3 2" xfId="50485"/>
    <cellStyle name="40% - Accent3 5 7 2 4" xfId="33375"/>
    <cellStyle name="40% - Accent3 5 7 3" xfId="7669"/>
    <cellStyle name="40% - Accent3 5 7 3 2" xfId="24716"/>
    <cellStyle name="40% - Accent3 5 7 3 2 2" xfId="53577"/>
    <cellStyle name="40% - Accent3 5 7 3 3" xfId="36530"/>
    <cellStyle name="40% - Accent3 5 7 4" xfId="14066"/>
    <cellStyle name="40% - Accent3 5 7 4 2" xfId="18944"/>
    <cellStyle name="40% - Accent3 5 7 4 2 2" xfId="47805"/>
    <cellStyle name="40% - Accent3 5 7 4 3" xfId="42927"/>
    <cellStyle name="40% - Accent3 5 7 5" xfId="16264"/>
    <cellStyle name="40% - Accent3 5 7 5 2" xfId="45125"/>
    <cellStyle name="40% - Accent3 5 7 6" xfId="30489"/>
    <cellStyle name="40% - Accent3 5 8" xfId="1833"/>
    <cellStyle name="40% - Accent3 5 8 2" xfId="4720"/>
    <cellStyle name="40% - Accent3 5 8 2 2" xfId="10761"/>
    <cellStyle name="40% - Accent3 5 8 2 2 2" xfId="27808"/>
    <cellStyle name="40% - Accent3 5 8 2 2 2 2" xfId="56669"/>
    <cellStyle name="40% - Accent3 5 8 2 2 3" xfId="39622"/>
    <cellStyle name="40% - Accent3 5 8 2 3" xfId="21830"/>
    <cellStyle name="40% - Accent3 5 8 2 3 2" xfId="50691"/>
    <cellStyle name="40% - Accent3 5 8 2 4" xfId="33581"/>
    <cellStyle name="40% - Accent3 5 8 3" xfId="7875"/>
    <cellStyle name="40% - Accent3 5 8 3 2" xfId="24922"/>
    <cellStyle name="40% - Accent3 5 8 3 2 2" xfId="53783"/>
    <cellStyle name="40% - Accent3 5 8 3 3" xfId="36736"/>
    <cellStyle name="40% - Accent3 5 8 4" xfId="12840"/>
    <cellStyle name="40% - Accent3 5 8 4 2" xfId="19150"/>
    <cellStyle name="40% - Accent3 5 8 4 2 2" xfId="48011"/>
    <cellStyle name="40% - Accent3 5 8 4 3" xfId="41701"/>
    <cellStyle name="40% - Accent3 5 8 5" xfId="16470"/>
    <cellStyle name="40% - Accent3 5 8 5 2" xfId="45331"/>
    <cellStyle name="40% - Accent3 5 8 6" xfId="30695"/>
    <cellStyle name="40% - Accent3 5 9" xfId="2039"/>
    <cellStyle name="40% - Accent3 5 9 2" xfId="4926"/>
    <cellStyle name="40% - Accent3 5 9 2 2" xfId="10967"/>
    <cellStyle name="40% - Accent3 5 9 2 2 2" xfId="28014"/>
    <cellStyle name="40% - Accent3 5 9 2 2 2 2" xfId="56875"/>
    <cellStyle name="40% - Accent3 5 9 2 2 3" xfId="39828"/>
    <cellStyle name="40% - Accent3 5 9 2 3" xfId="22036"/>
    <cellStyle name="40% - Accent3 5 9 2 3 2" xfId="50897"/>
    <cellStyle name="40% - Accent3 5 9 2 4" xfId="33787"/>
    <cellStyle name="40% - Accent3 5 9 3" xfId="8081"/>
    <cellStyle name="40% - Accent3 5 9 3 2" xfId="25128"/>
    <cellStyle name="40% - Accent3 5 9 3 2 2" xfId="53989"/>
    <cellStyle name="40% - Accent3 5 9 3 3" xfId="36942"/>
    <cellStyle name="40% - Accent3 5 9 4" xfId="12780"/>
    <cellStyle name="40% - Accent3 5 9 4 2" xfId="19356"/>
    <cellStyle name="40% - Accent3 5 9 4 2 2" xfId="48217"/>
    <cellStyle name="40% - Accent3 5 9 4 3" xfId="41641"/>
    <cellStyle name="40% - Accent3 5 9 5" xfId="16676"/>
    <cellStyle name="40% - Accent3 5 9 5 2" xfId="45537"/>
    <cellStyle name="40% - Accent3 5 9 6" xfId="30901"/>
    <cellStyle name="40% - Accent3 6" xfId="185"/>
    <cellStyle name="40% - Accent3 6 2" xfId="597"/>
    <cellStyle name="40% - Accent3 6 2 2" xfId="3484"/>
    <cellStyle name="40% - Accent3 6 2 2 2" xfId="9525"/>
    <cellStyle name="40% - Accent3 6 2 2 2 2" xfId="26572"/>
    <cellStyle name="40% - Accent3 6 2 2 2 2 2" xfId="55433"/>
    <cellStyle name="40% - Accent3 6 2 2 2 3" xfId="38386"/>
    <cellStyle name="40% - Accent3 6 2 2 3" xfId="20594"/>
    <cellStyle name="40% - Accent3 6 2 2 3 2" xfId="49455"/>
    <cellStyle name="40% - Accent3 6 2 2 4" xfId="32345"/>
    <cellStyle name="40% - Accent3 6 2 3" xfId="6639"/>
    <cellStyle name="40% - Accent3 6 2 3 2" xfId="23686"/>
    <cellStyle name="40% - Accent3 6 2 3 2 2" xfId="52547"/>
    <cellStyle name="40% - Accent3 6 2 3 3" xfId="35500"/>
    <cellStyle name="40% - Accent3 6 2 4" xfId="13989"/>
    <cellStyle name="40% - Accent3 6 2 4 2" xfId="17914"/>
    <cellStyle name="40% - Accent3 6 2 4 2 2" xfId="46775"/>
    <cellStyle name="40% - Accent3 6 2 4 3" xfId="42850"/>
    <cellStyle name="40% - Accent3 6 2 5" xfId="15234"/>
    <cellStyle name="40% - Accent3 6 2 5 2" xfId="44095"/>
    <cellStyle name="40% - Accent3 6 2 6" xfId="29459"/>
    <cellStyle name="40% - Accent3 6 3" xfId="2142"/>
    <cellStyle name="40% - Accent3 6 3 2" xfId="5029"/>
    <cellStyle name="40% - Accent3 6 3 2 2" xfId="11070"/>
    <cellStyle name="40% - Accent3 6 3 2 2 2" xfId="28117"/>
    <cellStyle name="40% - Accent3 6 3 2 2 2 2" xfId="56978"/>
    <cellStyle name="40% - Accent3 6 3 2 2 3" xfId="39931"/>
    <cellStyle name="40% - Accent3 6 3 2 3" xfId="22139"/>
    <cellStyle name="40% - Accent3 6 3 2 3 2" xfId="51000"/>
    <cellStyle name="40% - Accent3 6 3 2 4" xfId="33890"/>
    <cellStyle name="40% - Accent3 6 3 3" xfId="8184"/>
    <cellStyle name="40% - Accent3 6 3 3 2" xfId="25231"/>
    <cellStyle name="40% - Accent3 6 3 3 2 2" xfId="54092"/>
    <cellStyle name="40% - Accent3 6 3 3 3" xfId="37045"/>
    <cellStyle name="40% - Accent3 6 3 4" xfId="12454"/>
    <cellStyle name="40% - Accent3 6 3 4 2" xfId="19459"/>
    <cellStyle name="40% - Accent3 6 3 4 2 2" xfId="48320"/>
    <cellStyle name="40% - Accent3 6 3 4 3" xfId="41315"/>
    <cellStyle name="40% - Accent3 6 3 5" xfId="16779"/>
    <cellStyle name="40% - Accent3 6 3 5 2" xfId="45640"/>
    <cellStyle name="40% - Accent3 6 3 6" xfId="31004"/>
    <cellStyle name="40% - Accent3 6 4" xfId="3072"/>
    <cellStyle name="40% - Accent3 6 4 2" xfId="9113"/>
    <cellStyle name="40% - Accent3 6 4 2 2" xfId="26160"/>
    <cellStyle name="40% - Accent3 6 4 2 2 2" xfId="55021"/>
    <cellStyle name="40% - Accent3 6 4 2 3" xfId="37974"/>
    <cellStyle name="40% - Accent3 6 4 3" xfId="20182"/>
    <cellStyle name="40% - Accent3 6 4 3 2" xfId="49043"/>
    <cellStyle name="40% - Accent3 6 4 4" xfId="31933"/>
    <cellStyle name="40% - Accent3 6 5" xfId="6227"/>
    <cellStyle name="40% - Accent3 6 5 2" xfId="23274"/>
    <cellStyle name="40% - Accent3 6 5 2 2" xfId="52135"/>
    <cellStyle name="40% - Accent3 6 5 3" xfId="35088"/>
    <cellStyle name="40% - Accent3 6 6" xfId="12536"/>
    <cellStyle name="40% - Accent3 6 6 2" xfId="17605"/>
    <cellStyle name="40% - Accent3 6 6 2 2" xfId="46466"/>
    <cellStyle name="40% - Accent3 6 6 3" xfId="41397"/>
    <cellStyle name="40% - Accent3 6 7" xfId="14822"/>
    <cellStyle name="40% - Accent3 6 7 2" xfId="43683"/>
    <cellStyle name="40% - Accent3 6 8" xfId="29047"/>
    <cellStyle name="40% - Accent3 7" xfId="391"/>
    <cellStyle name="40% - Accent3 7 2" xfId="3278"/>
    <cellStyle name="40% - Accent3 7 2 2" xfId="9319"/>
    <cellStyle name="40% - Accent3 7 2 2 2" xfId="26366"/>
    <cellStyle name="40% - Accent3 7 2 2 2 2" xfId="55227"/>
    <cellStyle name="40% - Accent3 7 2 2 3" xfId="38180"/>
    <cellStyle name="40% - Accent3 7 2 3" xfId="20388"/>
    <cellStyle name="40% - Accent3 7 2 3 2" xfId="49249"/>
    <cellStyle name="40% - Accent3 7 2 4" xfId="32139"/>
    <cellStyle name="40% - Accent3 7 3" xfId="6433"/>
    <cellStyle name="40% - Accent3 7 3 2" xfId="23480"/>
    <cellStyle name="40% - Accent3 7 3 2 2" xfId="52341"/>
    <cellStyle name="40% - Accent3 7 3 3" xfId="35294"/>
    <cellStyle name="40% - Accent3 7 4" xfId="12289"/>
    <cellStyle name="40% - Accent3 7 4 2" xfId="17708"/>
    <cellStyle name="40% - Accent3 7 4 2 2" xfId="46569"/>
    <cellStyle name="40% - Accent3 7 4 3" xfId="41150"/>
    <cellStyle name="40% - Accent3 7 5" xfId="15028"/>
    <cellStyle name="40% - Accent3 7 5 2" xfId="43889"/>
    <cellStyle name="40% - Accent3 7 6" xfId="29253"/>
    <cellStyle name="40% - Accent3 8" xfId="700"/>
    <cellStyle name="40% - Accent3 8 2" xfId="3587"/>
    <cellStyle name="40% - Accent3 8 2 2" xfId="9628"/>
    <cellStyle name="40% - Accent3 8 2 2 2" xfId="26675"/>
    <cellStyle name="40% - Accent3 8 2 2 2 2" xfId="55536"/>
    <cellStyle name="40% - Accent3 8 2 2 3" xfId="38489"/>
    <cellStyle name="40% - Accent3 8 2 3" xfId="20697"/>
    <cellStyle name="40% - Accent3 8 2 3 2" xfId="49558"/>
    <cellStyle name="40% - Accent3 8 2 4" xfId="32448"/>
    <cellStyle name="40% - Accent3 8 3" xfId="6742"/>
    <cellStyle name="40% - Accent3 8 3 2" xfId="23789"/>
    <cellStyle name="40% - Accent3 8 3 2 2" xfId="52650"/>
    <cellStyle name="40% - Accent3 8 3 3" xfId="35603"/>
    <cellStyle name="40% - Accent3 8 4" xfId="11942"/>
    <cellStyle name="40% - Accent3 8 4 2" xfId="18017"/>
    <cellStyle name="40% - Accent3 8 4 2 2" xfId="46878"/>
    <cellStyle name="40% - Accent3 8 4 3" xfId="40803"/>
    <cellStyle name="40% - Accent3 8 5" xfId="15337"/>
    <cellStyle name="40% - Accent3 8 5 2" xfId="44198"/>
    <cellStyle name="40% - Accent3 8 6" xfId="29562"/>
    <cellStyle name="40% - Accent3 9" xfId="906"/>
    <cellStyle name="40% - Accent3 9 2" xfId="3793"/>
    <cellStyle name="40% - Accent3 9 2 2" xfId="9834"/>
    <cellStyle name="40% - Accent3 9 2 2 2" xfId="26881"/>
    <cellStyle name="40% - Accent3 9 2 2 2 2" xfId="55742"/>
    <cellStyle name="40% - Accent3 9 2 2 3" xfId="38695"/>
    <cellStyle name="40% - Accent3 9 2 3" xfId="20903"/>
    <cellStyle name="40% - Accent3 9 2 3 2" xfId="49764"/>
    <cellStyle name="40% - Accent3 9 2 4" xfId="32654"/>
    <cellStyle name="40% - Accent3 9 3" xfId="6948"/>
    <cellStyle name="40% - Accent3 9 3 2" xfId="23995"/>
    <cellStyle name="40% - Accent3 9 3 2 2" xfId="52856"/>
    <cellStyle name="40% - Accent3 9 3 3" xfId="35809"/>
    <cellStyle name="40% - Accent3 9 4" xfId="12865"/>
    <cellStyle name="40% - Accent3 9 4 2" xfId="18223"/>
    <cellStyle name="40% - Accent3 9 4 2 2" xfId="47084"/>
    <cellStyle name="40% - Accent3 9 4 3" xfId="41726"/>
    <cellStyle name="40% - Accent3 9 5" xfId="15543"/>
    <cellStyle name="40% - Accent3 9 5 2" xfId="44404"/>
    <cellStyle name="40% - Accent3 9 6" xfId="29768"/>
    <cellStyle name="40% - Accent4" xfId="79" builtinId="43" customBuiltin="1"/>
    <cellStyle name="40% - Accent4 10" xfId="1114"/>
    <cellStyle name="40% - Accent4 10 2" xfId="4001"/>
    <cellStyle name="40% - Accent4 10 2 2" xfId="10042"/>
    <cellStyle name="40% - Accent4 10 2 2 2" xfId="27089"/>
    <cellStyle name="40% - Accent4 10 2 2 2 2" xfId="55950"/>
    <cellStyle name="40% - Accent4 10 2 2 3" xfId="38903"/>
    <cellStyle name="40% - Accent4 10 2 3" xfId="21111"/>
    <cellStyle name="40% - Accent4 10 2 3 2" xfId="49972"/>
    <cellStyle name="40% - Accent4 10 2 4" xfId="32862"/>
    <cellStyle name="40% - Accent4 10 3" xfId="7156"/>
    <cellStyle name="40% - Accent4 10 3 2" xfId="24203"/>
    <cellStyle name="40% - Accent4 10 3 2 2" xfId="53064"/>
    <cellStyle name="40% - Accent4 10 3 3" xfId="36017"/>
    <cellStyle name="40% - Accent4 10 4" xfId="14416"/>
    <cellStyle name="40% - Accent4 10 4 2" xfId="18431"/>
    <cellStyle name="40% - Accent4 10 4 2 2" xfId="47292"/>
    <cellStyle name="40% - Accent4 10 4 3" xfId="43277"/>
    <cellStyle name="40% - Accent4 10 5" xfId="15751"/>
    <cellStyle name="40% - Accent4 10 5 2" xfId="44612"/>
    <cellStyle name="40% - Accent4 10 6" xfId="29976"/>
    <cellStyle name="40% - Accent4 11" xfId="1320"/>
    <cellStyle name="40% - Accent4 11 2" xfId="4207"/>
    <cellStyle name="40% - Accent4 11 2 2" xfId="10248"/>
    <cellStyle name="40% - Accent4 11 2 2 2" xfId="27295"/>
    <cellStyle name="40% - Accent4 11 2 2 2 2" xfId="56156"/>
    <cellStyle name="40% - Accent4 11 2 2 3" xfId="39109"/>
    <cellStyle name="40% - Accent4 11 2 3" xfId="21317"/>
    <cellStyle name="40% - Accent4 11 2 3 2" xfId="50178"/>
    <cellStyle name="40% - Accent4 11 2 4" xfId="33068"/>
    <cellStyle name="40% - Accent4 11 3" xfId="7362"/>
    <cellStyle name="40% - Accent4 11 3 2" xfId="24409"/>
    <cellStyle name="40% - Accent4 11 3 2 2" xfId="53270"/>
    <cellStyle name="40% - Accent4 11 3 3" xfId="36223"/>
    <cellStyle name="40% - Accent4 11 4" xfId="12517"/>
    <cellStyle name="40% - Accent4 11 4 2" xfId="18637"/>
    <cellStyle name="40% - Accent4 11 4 2 2" xfId="47498"/>
    <cellStyle name="40% - Accent4 11 4 3" xfId="41378"/>
    <cellStyle name="40% - Accent4 11 5" xfId="15957"/>
    <cellStyle name="40% - Accent4 11 5 2" xfId="44818"/>
    <cellStyle name="40% - Accent4 11 6" xfId="30182"/>
    <cellStyle name="40% - Accent4 12" xfId="1526"/>
    <cellStyle name="40% - Accent4 12 2" xfId="4413"/>
    <cellStyle name="40% - Accent4 12 2 2" xfId="10454"/>
    <cellStyle name="40% - Accent4 12 2 2 2" xfId="27501"/>
    <cellStyle name="40% - Accent4 12 2 2 2 2" xfId="56362"/>
    <cellStyle name="40% - Accent4 12 2 2 3" xfId="39315"/>
    <cellStyle name="40% - Accent4 12 2 3" xfId="21523"/>
    <cellStyle name="40% - Accent4 12 2 3 2" xfId="50384"/>
    <cellStyle name="40% - Accent4 12 2 4" xfId="33274"/>
    <cellStyle name="40% - Accent4 12 3" xfId="7568"/>
    <cellStyle name="40% - Accent4 12 3 2" xfId="24615"/>
    <cellStyle name="40% - Accent4 12 3 2 2" xfId="53476"/>
    <cellStyle name="40% - Accent4 12 3 3" xfId="36429"/>
    <cellStyle name="40% - Accent4 12 4" xfId="13377"/>
    <cellStyle name="40% - Accent4 12 4 2" xfId="18843"/>
    <cellStyle name="40% - Accent4 12 4 2 2" xfId="47704"/>
    <cellStyle name="40% - Accent4 12 4 3" xfId="42238"/>
    <cellStyle name="40% - Accent4 12 5" xfId="16163"/>
    <cellStyle name="40% - Accent4 12 5 2" xfId="45024"/>
    <cellStyle name="40% - Accent4 12 6" xfId="30388"/>
    <cellStyle name="40% - Accent4 13" xfId="1732"/>
    <cellStyle name="40% - Accent4 13 2" xfId="4619"/>
    <cellStyle name="40% - Accent4 13 2 2" xfId="10660"/>
    <cellStyle name="40% - Accent4 13 2 2 2" xfId="27707"/>
    <cellStyle name="40% - Accent4 13 2 2 2 2" xfId="56568"/>
    <cellStyle name="40% - Accent4 13 2 2 3" xfId="39521"/>
    <cellStyle name="40% - Accent4 13 2 3" xfId="21729"/>
    <cellStyle name="40% - Accent4 13 2 3 2" xfId="50590"/>
    <cellStyle name="40% - Accent4 13 2 4" xfId="33480"/>
    <cellStyle name="40% - Accent4 13 3" xfId="7774"/>
    <cellStyle name="40% - Accent4 13 3 2" xfId="24821"/>
    <cellStyle name="40% - Accent4 13 3 2 2" xfId="53682"/>
    <cellStyle name="40% - Accent4 13 3 3" xfId="36635"/>
    <cellStyle name="40% - Accent4 13 4" xfId="13050"/>
    <cellStyle name="40% - Accent4 13 4 2" xfId="19049"/>
    <cellStyle name="40% - Accent4 13 4 2 2" xfId="47910"/>
    <cellStyle name="40% - Accent4 13 4 3" xfId="41911"/>
    <cellStyle name="40% - Accent4 13 5" xfId="16369"/>
    <cellStyle name="40% - Accent4 13 5 2" xfId="45230"/>
    <cellStyle name="40% - Accent4 13 6" xfId="30594"/>
    <cellStyle name="40% - Accent4 14" xfId="1938"/>
    <cellStyle name="40% - Accent4 14 2" xfId="4825"/>
    <cellStyle name="40% - Accent4 14 2 2" xfId="10866"/>
    <cellStyle name="40% - Accent4 14 2 2 2" xfId="27913"/>
    <cellStyle name="40% - Accent4 14 2 2 2 2" xfId="56774"/>
    <cellStyle name="40% - Accent4 14 2 2 3" xfId="39727"/>
    <cellStyle name="40% - Accent4 14 2 3" xfId="21935"/>
    <cellStyle name="40% - Accent4 14 2 3 2" xfId="50796"/>
    <cellStyle name="40% - Accent4 14 2 4" xfId="33686"/>
    <cellStyle name="40% - Accent4 14 3" xfId="7980"/>
    <cellStyle name="40% - Accent4 14 3 2" xfId="25027"/>
    <cellStyle name="40% - Accent4 14 3 2 2" xfId="53888"/>
    <cellStyle name="40% - Accent4 14 3 3" xfId="36841"/>
    <cellStyle name="40% - Accent4 14 4" xfId="12912"/>
    <cellStyle name="40% - Accent4 14 4 2" xfId="19255"/>
    <cellStyle name="40% - Accent4 14 4 2 2" xfId="48116"/>
    <cellStyle name="40% - Accent4 14 4 3" xfId="41773"/>
    <cellStyle name="40% - Accent4 14 5" xfId="16575"/>
    <cellStyle name="40% - Accent4 14 5 2" xfId="45436"/>
    <cellStyle name="40% - Accent4 14 6" xfId="30800"/>
    <cellStyle name="40% - Accent4 15" xfId="2350"/>
    <cellStyle name="40% - Accent4 15 2" xfId="5237"/>
    <cellStyle name="40% - Accent4 15 2 2" xfId="11278"/>
    <cellStyle name="40% - Accent4 15 2 2 2" xfId="28325"/>
    <cellStyle name="40% - Accent4 15 2 2 2 2" xfId="57186"/>
    <cellStyle name="40% - Accent4 15 2 2 3" xfId="40139"/>
    <cellStyle name="40% - Accent4 15 2 3" xfId="22347"/>
    <cellStyle name="40% - Accent4 15 2 3 2" xfId="51208"/>
    <cellStyle name="40% - Accent4 15 2 4" xfId="34098"/>
    <cellStyle name="40% - Accent4 15 3" xfId="8392"/>
    <cellStyle name="40% - Accent4 15 3 2" xfId="25439"/>
    <cellStyle name="40% - Accent4 15 3 2 2" xfId="54300"/>
    <cellStyle name="40% - Accent4 15 3 3" xfId="37253"/>
    <cellStyle name="40% - Accent4 15 4" xfId="13203"/>
    <cellStyle name="40% - Accent4 15 4 2" xfId="19667"/>
    <cellStyle name="40% - Accent4 15 4 2 2" xfId="48528"/>
    <cellStyle name="40% - Accent4 15 4 3" xfId="42064"/>
    <cellStyle name="40% - Accent4 15 5" xfId="16987"/>
    <cellStyle name="40% - Accent4 15 5 2" xfId="45848"/>
    <cellStyle name="40% - Accent4 15 6" xfId="31212"/>
    <cellStyle name="40% - Accent4 16" xfId="2559"/>
    <cellStyle name="40% - Accent4 16 2" xfId="5445"/>
    <cellStyle name="40% - Accent4 16 2 2" xfId="11486"/>
    <cellStyle name="40% - Accent4 16 2 2 2" xfId="28533"/>
    <cellStyle name="40% - Accent4 16 2 2 2 2" xfId="57394"/>
    <cellStyle name="40% - Accent4 16 2 2 3" xfId="40347"/>
    <cellStyle name="40% - Accent4 16 2 3" xfId="22555"/>
    <cellStyle name="40% - Accent4 16 2 3 2" xfId="51416"/>
    <cellStyle name="40% - Accent4 16 2 4" xfId="34306"/>
    <cellStyle name="40% - Accent4 16 3" xfId="8600"/>
    <cellStyle name="40% - Accent4 16 3 2" xfId="25647"/>
    <cellStyle name="40% - Accent4 16 3 2 2" xfId="54508"/>
    <cellStyle name="40% - Accent4 16 3 3" xfId="37461"/>
    <cellStyle name="40% - Accent4 16 4" xfId="11905"/>
    <cellStyle name="40% - Accent4 16 4 2" xfId="19875"/>
    <cellStyle name="40% - Accent4 16 4 2 2" xfId="48736"/>
    <cellStyle name="40% - Accent4 16 4 3" xfId="40766"/>
    <cellStyle name="40% - Accent4 16 5" xfId="17195"/>
    <cellStyle name="40% - Accent4 16 5 2" xfId="46056"/>
    <cellStyle name="40% - Accent4 16 6" xfId="31420"/>
    <cellStyle name="40% - Accent4 17" xfId="2971"/>
    <cellStyle name="40% - Accent4 17 2" xfId="9012"/>
    <cellStyle name="40% - Accent4 17 2 2" xfId="26059"/>
    <cellStyle name="40% - Accent4 17 2 2 2" xfId="54920"/>
    <cellStyle name="40% - Accent4 17 2 3" xfId="37873"/>
    <cellStyle name="40% - Accent4 17 3" xfId="13175"/>
    <cellStyle name="40% - Accent4 17 3 2" xfId="20081"/>
    <cellStyle name="40% - Accent4 17 3 2 2" xfId="48942"/>
    <cellStyle name="40% - Accent4 17 3 3" xfId="42036"/>
    <cellStyle name="40% - Accent4 17 4" xfId="14721"/>
    <cellStyle name="40% - Accent4 17 4 2" xfId="43582"/>
    <cellStyle name="40% - Accent4 17 5" xfId="31832"/>
    <cellStyle name="40% - Accent4 18" xfId="2765"/>
    <cellStyle name="40% - Accent4 18 2" xfId="8806"/>
    <cellStyle name="40% - Accent4 18 2 2" xfId="25853"/>
    <cellStyle name="40% - Accent4 18 2 2 2" xfId="54714"/>
    <cellStyle name="40% - Accent4 18 2 3" xfId="37667"/>
    <cellStyle name="40% - Accent4 18 3" xfId="17401"/>
    <cellStyle name="40% - Accent4 18 3 2" xfId="46262"/>
    <cellStyle name="40% - Accent4 18 4" xfId="31626"/>
    <cellStyle name="40% - Accent4 19" xfId="5651"/>
    <cellStyle name="40% - Accent4 19 2" xfId="11692"/>
    <cellStyle name="40% - Accent4 19 2 2" xfId="28739"/>
    <cellStyle name="40% - Accent4 19 2 2 2" xfId="57600"/>
    <cellStyle name="40% - Accent4 19 2 3" xfId="40553"/>
    <cellStyle name="40% - Accent4 19 3" xfId="22761"/>
    <cellStyle name="40% - Accent4 19 3 2" xfId="51622"/>
    <cellStyle name="40% - Accent4 19 4" xfId="34512"/>
    <cellStyle name="40% - Accent4 2" xfId="98"/>
    <cellStyle name="40% - Accent4 2 10" xfId="1334"/>
    <cellStyle name="40% - Accent4 2 10 2" xfId="4221"/>
    <cellStyle name="40% - Accent4 2 10 2 2" xfId="10262"/>
    <cellStyle name="40% - Accent4 2 10 2 2 2" xfId="27309"/>
    <cellStyle name="40% - Accent4 2 10 2 2 2 2" xfId="56170"/>
    <cellStyle name="40% - Accent4 2 10 2 2 3" xfId="39123"/>
    <cellStyle name="40% - Accent4 2 10 2 3" xfId="21331"/>
    <cellStyle name="40% - Accent4 2 10 2 3 2" xfId="50192"/>
    <cellStyle name="40% - Accent4 2 10 2 4" xfId="33082"/>
    <cellStyle name="40% - Accent4 2 10 3" xfId="7376"/>
    <cellStyle name="40% - Accent4 2 10 3 2" xfId="24423"/>
    <cellStyle name="40% - Accent4 2 10 3 2 2" xfId="53284"/>
    <cellStyle name="40% - Accent4 2 10 3 3" xfId="36237"/>
    <cellStyle name="40% - Accent4 2 10 4" xfId="14162"/>
    <cellStyle name="40% - Accent4 2 10 4 2" xfId="18651"/>
    <cellStyle name="40% - Accent4 2 10 4 2 2" xfId="47512"/>
    <cellStyle name="40% - Accent4 2 10 4 3" xfId="43023"/>
    <cellStyle name="40% - Accent4 2 10 5" xfId="15971"/>
    <cellStyle name="40% - Accent4 2 10 5 2" xfId="44832"/>
    <cellStyle name="40% - Accent4 2 10 6" xfId="30196"/>
    <cellStyle name="40% - Accent4 2 11" xfId="1540"/>
    <cellStyle name="40% - Accent4 2 11 2" xfId="4427"/>
    <cellStyle name="40% - Accent4 2 11 2 2" xfId="10468"/>
    <cellStyle name="40% - Accent4 2 11 2 2 2" xfId="27515"/>
    <cellStyle name="40% - Accent4 2 11 2 2 2 2" xfId="56376"/>
    <cellStyle name="40% - Accent4 2 11 2 2 3" xfId="39329"/>
    <cellStyle name="40% - Accent4 2 11 2 3" xfId="21537"/>
    <cellStyle name="40% - Accent4 2 11 2 3 2" xfId="50398"/>
    <cellStyle name="40% - Accent4 2 11 2 4" xfId="33288"/>
    <cellStyle name="40% - Accent4 2 11 3" xfId="7582"/>
    <cellStyle name="40% - Accent4 2 11 3 2" xfId="24629"/>
    <cellStyle name="40% - Accent4 2 11 3 2 2" xfId="53490"/>
    <cellStyle name="40% - Accent4 2 11 3 3" xfId="36443"/>
    <cellStyle name="40% - Accent4 2 11 4" xfId="6067"/>
    <cellStyle name="40% - Accent4 2 11 4 2" xfId="18857"/>
    <cellStyle name="40% - Accent4 2 11 4 2 2" xfId="47718"/>
    <cellStyle name="40% - Accent4 2 11 4 3" xfId="34928"/>
    <cellStyle name="40% - Accent4 2 11 5" xfId="16177"/>
    <cellStyle name="40% - Accent4 2 11 5 2" xfId="45038"/>
    <cellStyle name="40% - Accent4 2 11 6" xfId="30402"/>
    <cellStyle name="40% - Accent4 2 12" xfId="1746"/>
    <cellStyle name="40% - Accent4 2 12 2" xfId="4633"/>
    <cellStyle name="40% - Accent4 2 12 2 2" xfId="10674"/>
    <cellStyle name="40% - Accent4 2 12 2 2 2" xfId="27721"/>
    <cellStyle name="40% - Accent4 2 12 2 2 2 2" xfId="56582"/>
    <cellStyle name="40% - Accent4 2 12 2 2 3" xfId="39535"/>
    <cellStyle name="40% - Accent4 2 12 2 3" xfId="21743"/>
    <cellStyle name="40% - Accent4 2 12 2 3 2" xfId="50604"/>
    <cellStyle name="40% - Accent4 2 12 2 4" xfId="33494"/>
    <cellStyle name="40% - Accent4 2 12 3" xfId="7788"/>
    <cellStyle name="40% - Accent4 2 12 3 2" xfId="24835"/>
    <cellStyle name="40% - Accent4 2 12 3 2 2" xfId="53696"/>
    <cellStyle name="40% - Accent4 2 12 3 3" xfId="36649"/>
    <cellStyle name="40% - Accent4 2 12 4" xfId="13914"/>
    <cellStyle name="40% - Accent4 2 12 4 2" xfId="19063"/>
    <cellStyle name="40% - Accent4 2 12 4 2 2" xfId="47924"/>
    <cellStyle name="40% - Accent4 2 12 4 3" xfId="42775"/>
    <cellStyle name="40% - Accent4 2 12 5" xfId="16383"/>
    <cellStyle name="40% - Accent4 2 12 5 2" xfId="45244"/>
    <cellStyle name="40% - Accent4 2 12 6" xfId="30608"/>
    <cellStyle name="40% - Accent4 2 13" xfId="1952"/>
    <cellStyle name="40% - Accent4 2 13 2" xfId="4839"/>
    <cellStyle name="40% - Accent4 2 13 2 2" xfId="10880"/>
    <cellStyle name="40% - Accent4 2 13 2 2 2" xfId="27927"/>
    <cellStyle name="40% - Accent4 2 13 2 2 2 2" xfId="56788"/>
    <cellStyle name="40% - Accent4 2 13 2 2 3" xfId="39741"/>
    <cellStyle name="40% - Accent4 2 13 2 3" xfId="21949"/>
    <cellStyle name="40% - Accent4 2 13 2 3 2" xfId="50810"/>
    <cellStyle name="40% - Accent4 2 13 2 4" xfId="33700"/>
    <cellStyle name="40% - Accent4 2 13 3" xfId="7994"/>
    <cellStyle name="40% - Accent4 2 13 3 2" xfId="25041"/>
    <cellStyle name="40% - Accent4 2 13 3 2 2" xfId="53902"/>
    <cellStyle name="40% - Accent4 2 13 3 3" xfId="36855"/>
    <cellStyle name="40% - Accent4 2 13 4" xfId="12213"/>
    <cellStyle name="40% - Accent4 2 13 4 2" xfId="19269"/>
    <cellStyle name="40% - Accent4 2 13 4 2 2" xfId="48130"/>
    <cellStyle name="40% - Accent4 2 13 4 3" xfId="41074"/>
    <cellStyle name="40% - Accent4 2 13 5" xfId="16589"/>
    <cellStyle name="40% - Accent4 2 13 5 2" xfId="45450"/>
    <cellStyle name="40% - Accent4 2 13 6" xfId="30814"/>
    <cellStyle name="40% - Accent4 2 14" xfId="2364"/>
    <cellStyle name="40% - Accent4 2 14 2" xfId="5251"/>
    <cellStyle name="40% - Accent4 2 14 2 2" xfId="11292"/>
    <cellStyle name="40% - Accent4 2 14 2 2 2" xfId="28339"/>
    <cellStyle name="40% - Accent4 2 14 2 2 2 2" xfId="57200"/>
    <cellStyle name="40% - Accent4 2 14 2 2 3" xfId="40153"/>
    <cellStyle name="40% - Accent4 2 14 2 3" xfId="22361"/>
    <cellStyle name="40% - Accent4 2 14 2 3 2" xfId="51222"/>
    <cellStyle name="40% - Accent4 2 14 2 4" xfId="34112"/>
    <cellStyle name="40% - Accent4 2 14 3" xfId="8406"/>
    <cellStyle name="40% - Accent4 2 14 3 2" xfId="25453"/>
    <cellStyle name="40% - Accent4 2 14 3 2 2" xfId="54314"/>
    <cellStyle name="40% - Accent4 2 14 3 3" xfId="37267"/>
    <cellStyle name="40% - Accent4 2 14 4" xfId="14490"/>
    <cellStyle name="40% - Accent4 2 14 4 2" xfId="19681"/>
    <cellStyle name="40% - Accent4 2 14 4 2 2" xfId="48542"/>
    <cellStyle name="40% - Accent4 2 14 4 3" xfId="43351"/>
    <cellStyle name="40% - Accent4 2 14 5" xfId="17001"/>
    <cellStyle name="40% - Accent4 2 14 5 2" xfId="45862"/>
    <cellStyle name="40% - Accent4 2 14 6" xfId="31226"/>
    <cellStyle name="40% - Accent4 2 15" xfId="2573"/>
    <cellStyle name="40% - Accent4 2 15 2" xfId="5459"/>
    <cellStyle name="40% - Accent4 2 15 2 2" xfId="11500"/>
    <cellStyle name="40% - Accent4 2 15 2 2 2" xfId="28547"/>
    <cellStyle name="40% - Accent4 2 15 2 2 2 2" xfId="57408"/>
    <cellStyle name="40% - Accent4 2 15 2 2 3" xfId="40361"/>
    <cellStyle name="40% - Accent4 2 15 2 3" xfId="22569"/>
    <cellStyle name="40% - Accent4 2 15 2 3 2" xfId="51430"/>
    <cellStyle name="40% - Accent4 2 15 2 4" xfId="34320"/>
    <cellStyle name="40% - Accent4 2 15 3" xfId="8614"/>
    <cellStyle name="40% - Accent4 2 15 3 2" xfId="25661"/>
    <cellStyle name="40% - Accent4 2 15 3 2 2" xfId="54522"/>
    <cellStyle name="40% - Accent4 2 15 3 3" xfId="37475"/>
    <cellStyle name="40% - Accent4 2 15 4" xfId="14330"/>
    <cellStyle name="40% - Accent4 2 15 4 2" xfId="19889"/>
    <cellStyle name="40% - Accent4 2 15 4 2 2" xfId="48750"/>
    <cellStyle name="40% - Accent4 2 15 4 3" xfId="43191"/>
    <cellStyle name="40% - Accent4 2 15 5" xfId="17209"/>
    <cellStyle name="40% - Accent4 2 15 5 2" xfId="46070"/>
    <cellStyle name="40% - Accent4 2 15 6" xfId="31434"/>
    <cellStyle name="40% - Accent4 2 16" xfId="2985"/>
    <cellStyle name="40% - Accent4 2 16 2" xfId="9026"/>
    <cellStyle name="40% - Accent4 2 16 2 2" xfId="26073"/>
    <cellStyle name="40% - Accent4 2 16 2 2 2" xfId="54934"/>
    <cellStyle name="40% - Accent4 2 16 2 3" xfId="37887"/>
    <cellStyle name="40% - Accent4 2 16 3" xfId="12038"/>
    <cellStyle name="40% - Accent4 2 16 3 2" xfId="20095"/>
    <cellStyle name="40% - Accent4 2 16 3 2 2" xfId="48956"/>
    <cellStyle name="40% - Accent4 2 16 3 3" xfId="40899"/>
    <cellStyle name="40% - Accent4 2 16 4" xfId="14735"/>
    <cellStyle name="40% - Accent4 2 16 4 2" xfId="43596"/>
    <cellStyle name="40% - Accent4 2 16 5" xfId="31846"/>
    <cellStyle name="40% - Accent4 2 17" xfId="2779"/>
    <cellStyle name="40% - Accent4 2 17 2" xfId="8820"/>
    <cellStyle name="40% - Accent4 2 17 2 2" xfId="25867"/>
    <cellStyle name="40% - Accent4 2 17 2 2 2" xfId="54728"/>
    <cellStyle name="40% - Accent4 2 17 2 3" xfId="37681"/>
    <cellStyle name="40% - Accent4 2 17 3" xfId="17415"/>
    <cellStyle name="40% - Accent4 2 17 3 2" xfId="46276"/>
    <cellStyle name="40% - Accent4 2 17 4" xfId="31640"/>
    <cellStyle name="40% - Accent4 2 18" xfId="5665"/>
    <cellStyle name="40% - Accent4 2 18 2" xfId="11706"/>
    <cellStyle name="40% - Accent4 2 18 2 2" xfId="28753"/>
    <cellStyle name="40% - Accent4 2 18 2 2 2" xfId="57614"/>
    <cellStyle name="40% - Accent4 2 18 2 3" xfId="40567"/>
    <cellStyle name="40% - Accent4 2 18 3" xfId="22775"/>
    <cellStyle name="40% - Accent4 2 18 3 2" xfId="51636"/>
    <cellStyle name="40% - Accent4 2 18 4" xfId="34526"/>
    <cellStyle name="40% - Accent4 2 19" xfId="5882"/>
    <cellStyle name="40% - Accent4 2 19 2" xfId="22981"/>
    <cellStyle name="40% - Accent4 2 19 2 2" xfId="51842"/>
    <cellStyle name="40% - Accent4 2 19 3" xfId="34743"/>
    <cellStyle name="40% - Accent4 2 2" xfId="124"/>
    <cellStyle name="40% - Accent4 2 2 10" xfId="1772"/>
    <cellStyle name="40% - Accent4 2 2 10 2" xfId="4659"/>
    <cellStyle name="40% - Accent4 2 2 10 2 2" xfId="10700"/>
    <cellStyle name="40% - Accent4 2 2 10 2 2 2" xfId="27747"/>
    <cellStyle name="40% - Accent4 2 2 10 2 2 2 2" xfId="56608"/>
    <cellStyle name="40% - Accent4 2 2 10 2 2 3" xfId="39561"/>
    <cellStyle name="40% - Accent4 2 2 10 2 3" xfId="21769"/>
    <cellStyle name="40% - Accent4 2 2 10 2 3 2" xfId="50630"/>
    <cellStyle name="40% - Accent4 2 2 10 2 4" xfId="33520"/>
    <cellStyle name="40% - Accent4 2 2 10 3" xfId="7814"/>
    <cellStyle name="40% - Accent4 2 2 10 3 2" xfId="24861"/>
    <cellStyle name="40% - Accent4 2 2 10 3 2 2" xfId="53722"/>
    <cellStyle name="40% - Accent4 2 2 10 3 3" xfId="36675"/>
    <cellStyle name="40% - Accent4 2 2 10 4" xfId="14119"/>
    <cellStyle name="40% - Accent4 2 2 10 4 2" xfId="19089"/>
    <cellStyle name="40% - Accent4 2 2 10 4 2 2" xfId="47950"/>
    <cellStyle name="40% - Accent4 2 2 10 4 3" xfId="42980"/>
    <cellStyle name="40% - Accent4 2 2 10 5" xfId="16409"/>
    <cellStyle name="40% - Accent4 2 2 10 5 2" xfId="45270"/>
    <cellStyle name="40% - Accent4 2 2 10 6" xfId="30634"/>
    <cellStyle name="40% - Accent4 2 2 11" xfId="1978"/>
    <cellStyle name="40% - Accent4 2 2 11 2" xfId="4865"/>
    <cellStyle name="40% - Accent4 2 2 11 2 2" xfId="10906"/>
    <cellStyle name="40% - Accent4 2 2 11 2 2 2" xfId="27953"/>
    <cellStyle name="40% - Accent4 2 2 11 2 2 2 2" xfId="56814"/>
    <cellStyle name="40% - Accent4 2 2 11 2 2 3" xfId="39767"/>
    <cellStyle name="40% - Accent4 2 2 11 2 3" xfId="21975"/>
    <cellStyle name="40% - Accent4 2 2 11 2 3 2" xfId="50836"/>
    <cellStyle name="40% - Accent4 2 2 11 2 4" xfId="33726"/>
    <cellStyle name="40% - Accent4 2 2 11 3" xfId="8020"/>
    <cellStyle name="40% - Accent4 2 2 11 3 2" xfId="25067"/>
    <cellStyle name="40% - Accent4 2 2 11 3 2 2" xfId="53928"/>
    <cellStyle name="40% - Accent4 2 2 11 3 3" xfId="36881"/>
    <cellStyle name="40% - Accent4 2 2 11 4" xfId="14225"/>
    <cellStyle name="40% - Accent4 2 2 11 4 2" xfId="19295"/>
    <cellStyle name="40% - Accent4 2 2 11 4 2 2" xfId="48156"/>
    <cellStyle name="40% - Accent4 2 2 11 4 3" xfId="43086"/>
    <cellStyle name="40% - Accent4 2 2 11 5" xfId="16615"/>
    <cellStyle name="40% - Accent4 2 2 11 5 2" xfId="45476"/>
    <cellStyle name="40% - Accent4 2 2 11 6" xfId="30840"/>
    <cellStyle name="40% - Accent4 2 2 12" xfId="2390"/>
    <cellStyle name="40% - Accent4 2 2 12 2" xfId="5277"/>
    <cellStyle name="40% - Accent4 2 2 12 2 2" xfId="11318"/>
    <cellStyle name="40% - Accent4 2 2 12 2 2 2" xfId="28365"/>
    <cellStyle name="40% - Accent4 2 2 12 2 2 2 2" xfId="57226"/>
    <cellStyle name="40% - Accent4 2 2 12 2 2 3" xfId="40179"/>
    <cellStyle name="40% - Accent4 2 2 12 2 3" xfId="22387"/>
    <cellStyle name="40% - Accent4 2 2 12 2 3 2" xfId="51248"/>
    <cellStyle name="40% - Accent4 2 2 12 2 4" xfId="34138"/>
    <cellStyle name="40% - Accent4 2 2 12 3" xfId="8432"/>
    <cellStyle name="40% - Accent4 2 2 12 3 2" xfId="25479"/>
    <cellStyle name="40% - Accent4 2 2 12 3 2 2" xfId="54340"/>
    <cellStyle name="40% - Accent4 2 2 12 3 3" xfId="37293"/>
    <cellStyle name="40% - Accent4 2 2 12 4" xfId="12148"/>
    <cellStyle name="40% - Accent4 2 2 12 4 2" xfId="19707"/>
    <cellStyle name="40% - Accent4 2 2 12 4 2 2" xfId="48568"/>
    <cellStyle name="40% - Accent4 2 2 12 4 3" xfId="41009"/>
    <cellStyle name="40% - Accent4 2 2 12 5" xfId="17027"/>
    <cellStyle name="40% - Accent4 2 2 12 5 2" xfId="45888"/>
    <cellStyle name="40% - Accent4 2 2 12 6" xfId="31252"/>
    <cellStyle name="40% - Accent4 2 2 13" xfId="2599"/>
    <cellStyle name="40% - Accent4 2 2 13 2" xfId="5485"/>
    <cellStyle name="40% - Accent4 2 2 13 2 2" xfId="11526"/>
    <cellStyle name="40% - Accent4 2 2 13 2 2 2" xfId="28573"/>
    <cellStyle name="40% - Accent4 2 2 13 2 2 2 2" xfId="57434"/>
    <cellStyle name="40% - Accent4 2 2 13 2 2 3" xfId="40387"/>
    <cellStyle name="40% - Accent4 2 2 13 2 3" xfId="22595"/>
    <cellStyle name="40% - Accent4 2 2 13 2 3 2" xfId="51456"/>
    <cellStyle name="40% - Accent4 2 2 13 2 4" xfId="34346"/>
    <cellStyle name="40% - Accent4 2 2 13 3" xfId="8640"/>
    <cellStyle name="40% - Accent4 2 2 13 3 2" xfId="25687"/>
    <cellStyle name="40% - Accent4 2 2 13 3 2 2" xfId="54548"/>
    <cellStyle name="40% - Accent4 2 2 13 3 3" xfId="37501"/>
    <cellStyle name="40% - Accent4 2 2 13 4" xfId="13839"/>
    <cellStyle name="40% - Accent4 2 2 13 4 2" xfId="19915"/>
    <cellStyle name="40% - Accent4 2 2 13 4 2 2" xfId="48776"/>
    <cellStyle name="40% - Accent4 2 2 13 4 3" xfId="42700"/>
    <cellStyle name="40% - Accent4 2 2 13 5" xfId="17235"/>
    <cellStyle name="40% - Accent4 2 2 13 5 2" xfId="46096"/>
    <cellStyle name="40% - Accent4 2 2 13 6" xfId="31460"/>
    <cellStyle name="40% - Accent4 2 2 14" xfId="3011"/>
    <cellStyle name="40% - Accent4 2 2 14 2" xfId="9052"/>
    <cellStyle name="40% - Accent4 2 2 14 2 2" xfId="26099"/>
    <cellStyle name="40% - Accent4 2 2 14 2 2 2" xfId="54960"/>
    <cellStyle name="40% - Accent4 2 2 14 2 3" xfId="37913"/>
    <cellStyle name="40% - Accent4 2 2 14 3" xfId="14136"/>
    <cellStyle name="40% - Accent4 2 2 14 3 2" xfId="20121"/>
    <cellStyle name="40% - Accent4 2 2 14 3 2 2" xfId="48982"/>
    <cellStyle name="40% - Accent4 2 2 14 3 3" xfId="42997"/>
    <cellStyle name="40% - Accent4 2 2 14 4" xfId="14761"/>
    <cellStyle name="40% - Accent4 2 2 14 4 2" xfId="43622"/>
    <cellStyle name="40% - Accent4 2 2 14 5" xfId="31872"/>
    <cellStyle name="40% - Accent4 2 2 15" xfId="2805"/>
    <cellStyle name="40% - Accent4 2 2 15 2" xfId="8846"/>
    <cellStyle name="40% - Accent4 2 2 15 2 2" xfId="25893"/>
    <cellStyle name="40% - Accent4 2 2 15 2 2 2" xfId="54754"/>
    <cellStyle name="40% - Accent4 2 2 15 2 3" xfId="37707"/>
    <cellStyle name="40% - Accent4 2 2 15 3" xfId="17441"/>
    <cellStyle name="40% - Accent4 2 2 15 3 2" xfId="46302"/>
    <cellStyle name="40% - Accent4 2 2 15 4" xfId="31666"/>
    <cellStyle name="40% - Accent4 2 2 16" xfId="5691"/>
    <cellStyle name="40% - Accent4 2 2 16 2" xfId="11732"/>
    <cellStyle name="40% - Accent4 2 2 16 2 2" xfId="28779"/>
    <cellStyle name="40% - Accent4 2 2 16 2 2 2" xfId="57640"/>
    <cellStyle name="40% - Accent4 2 2 16 2 3" xfId="40593"/>
    <cellStyle name="40% - Accent4 2 2 16 3" xfId="22801"/>
    <cellStyle name="40% - Accent4 2 2 16 3 2" xfId="51662"/>
    <cellStyle name="40% - Accent4 2 2 16 4" xfId="34552"/>
    <cellStyle name="40% - Accent4 2 2 17" xfId="5908"/>
    <cellStyle name="40% - Accent4 2 2 17 2" xfId="23007"/>
    <cellStyle name="40% - Accent4 2 2 17 2 2" xfId="51868"/>
    <cellStyle name="40% - Accent4 2 2 17 3" xfId="34769"/>
    <cellStyle name="40% - Accent4 2 2 18" xfId="6166"/>
    <cellStyle name="40% - Accent4 2 2 18 2" xfId="23213"/>
    <cellStyle name="40% - Accent4 2 2 18 2 2" xfId="52074"/>
    <cellStyle name="40% - Accent4 2 2 18 3" xfId="35027"/>
    <cellStyle name="40% - Accent4 2 2 19" xfId="14555"/>
    <cellStyle name="40% - Accent4 2 2 19 2" xfId="43416"/>
    <cellStyle name="40% - Accent4 2 2 2" xfId="330"/>
    <cellStyle name="40% - Accent4 2 2 2 10" xfId="2493"/>
    <cellStyle name="40% - Accent4 2 2 2 10 2" xfId="5380"/>
    <cellStyle name="40% - Accent4 2 2 2 10 2 2" xfId="11421"/>
    <cellStyle name="40% - Accent4 2 2 2 10 2 2 2" xfId="28468"/>
    <cellStyle name="40% - Accent4 2 2 2 10 2 2 2 2" xfId="57329"/>
    <cellStyle name="40% - Accent4 2 2 2 10 2 2 3" xfId="40282"/>
    <cellStyle name="40% - Accent4 2 2 2 10 2 3" xfId="22490"/>
    <cellStyle name="40% - Accent4 2 2 2 10 2 3 2" xfId="51351"/>
    <cellStyle name="40% - Accent4 2 2 2 10 2 4" xfId="34241"/>
    <cellStyle name="40% - Accent4 2 2 2 10 3" xfId="8535"/>
    <cellStyle name="40% - Accent4 2 2 2 10 3 2" xfId="25582"/>
    <cellStyle name="40% - Accent4 2 2 2 10 3 2 2" xfId="54443"/>
    <cellStyle name="40% - Accent4 2 2 2 10 3 3" xfId="37396"/>
    <cellStyle name="40% - Accent4 2 2 2 10 4" xfId="13872"/>
    <cellStyle name="40% - Accent4 2 2 2 10 4 2" xfId="19810"/>
    <cellStyle name="40% - Accent4 2 2 2 10 4 2 2" xfId="48671"/>
    <cellStyle name="40% - Accent4 2 2 2 10 4 3" xfId="42733"/>
    <cellStyle name="40% - Accent4 2 2 2 10 5" xfId="17130"/>
    <cellStyle name="40% - Accent4 2 2 2 10 5 2" xfId="45991"/>
    <cellStyle name="40% - Accent4 2 2 2 10 6" xfId="31355"/>
    <cellStyle name="40% - Accent4 2 2 2 11" xfId="2702"/>
    <cellStyle name="40% - Accent4 2 2 2 11 2" xfId="5588"/>
    <cellStyle name="40% - Accent4 2 2 2 11 2 2" xfId="11629"/>
    <cellStyle name="40% - Accent4 2 2 2 11 2 2 2" xfId="28676"/>
    <cellStyle name="40% - Accent4 2 2 2 11 2 2 2 2" xfId="57537"/>
    <cellStyle name="40% - Accent4 2 2 2 11 2 2 3" xfId="40490"/>
    <cellStyle name="40% - Accent4 2 2 2 11 2 3" xfId="22698"/>
    <cellStyle name="40% - Accent4 2 2 2 11 2 3 2" xfId="51559"/>
    <cellStyle name="40% - Accent4 2 2 2 11 2 4" xfId="34449"/>
    <cellStyle name="40% - Accent4 2 2 2 11 3" xfId="8743"/>
    <cellStyle name="40% - Accent4 2 2 2 11 3 2" xfId="25790"/>
    <cellStyle name="40% - Accent4 2 2 2 11 3 2 2" xfId="54651"/>
    <cellStyle name="40% - Accent4 2 2 2 11 3 3" xfId="37604"/>
    <cellStyle name="40% - Accent4 2 2 2 11 4" xfId="13918"/>
    <cellStyle name="40% - Accent4 2 2 2 11 4 2" xfId="20018"/>
    <cellStyle name="40% - Accent4 2 2 2 11 4 2 2" xfId="48879"/>
    <cellStyle name="40% - Accent4 2 2 2 11 4 3" xfId="42779"/>
    <cellStyle name="40% - Accent4 2 2 2 11 5" xfId="17338"/>
    <cellStyle name="40% - Accent4 2 2 2 11 5 2" xfId="46199"/>
    <cellStyle name="40% - Accent4 2 2 2 11 6" xfId="31563"/>
    <cellStyle name="40% - Accent4 2 2 2 12" xfId="3217"/>
    <cellStyle name="40% - Accent4 2 2 2 12 2" xfId="9258"/>
    <cellStyle name="40% - Accent4 2 2 2 12 2 2" xfId="26305"/>
    <cellStyle name="40% - Accent4 2 2 2 12 2 2 2" xfId="55166"/>
    <cellStyle name="40% - Accent4 2 2 2 12 2 3" xfId="38119"/>
    <cellStyle name="40% - Accent4 2 2 2 12 3" xfId="13367"/>
    <cellStyle name="40% - Accent4 2 2 2 12 3 2" xfId="20327"/>
    <cellStyle name="40% - Accent4 2 2 2 12 3 2 2" xfId="49188"/>
    <cellStyle name="40% - Accent4 2 2 2 12 3 3" xfId="42228"/>
    <cellStyle name="40% - Accent4 2 2 2 12 4" xfId="14967"/>
    <cellStyle name="40% - Accent4 2 2 2 12 4 2" xfId="43828"/>
    <cellStyle name="40% - Accent4 2 2 2 12 5" xfId="32078"/>
    <cellStyle name="40% - Accent4 2 2 2 13" xfId="2908"/>
    <cellStyle name="40% - Accent4 2 2 2 13 2" xfId="8949"/>
    <cellStyle name="40% - Accent4 2 2 2 13 2 2" xfId="25996"/>
    <cellStyle name="40% - Accent4 2 2 2 13 2 2 2" xfId="54857"/>
    <cellStyle name="40% - Accent4 2 2 2 13 2 3" xfId="37810"/>
    <cellStyle name="40% - Accent4 2 2 2 13 3" xfId="17544"/>
    <cellStyle name="40% - Accent4 2 2 2 13 3 2" xfId="46405"/>
    <cellStyle name="40% - Accent4 2 2 2 13 4" xfId="31769"/>
    <cellStyle name="40% - Accent4 2 2 2 14" xfId="5794"/>
    <cellStyle name="40% - Accent4 2 2 2 14 2" xfId="11835"/>
    <cellStyle name="40% - Accent4 2 2 2 14 2 2" xfId="28882"/>
    <cellStyle name="40% - Accent4 2 2 2 14 2 2 2" xfId="57743"/>
    <cellStyle name="40% - Accent4 2 2 2 14 2 3" xfId="40696"/>
    <cellStyle name="40% - Accent4 2 2 2 14 3" xfId="22904"/>
    <cellStyle name="40% - Accent4 2 2 2 14 3 2" xfId="51765"/>
    <cellStyle name="40% - Accent4 2 2 2 14 4" xfId="34655"/>
    <cellStyle name="40% - Accent4 2 2 2 15" xfId="6011"/>
    <cellStyle name="40% - Accent4 2 2 2 15 2" xfId="23110"/>
    <cellStyle name="40% - Accent4 2 2 2 15 2 2" xfId="51971"/>
    <cellStyle name="40% - Accent4 2 2 2 15 3" xfId="34872"/>
    <cellStyle name="40% - Accent4 2 2 2 16" xfId="6372"/>
    <cellStyle name="40% - Accent4 2 2 2 16 2" xfId="23419"/>
    <cellStyle name="40% - Accent4 2 2 2 16 2 2" xfId="52280"/>
    <cellStyle name="40% - Accent4 2 2 2 16 3" xfId="35233"/>
    <cellStyle name="40% - Accent4 2 2 2 17" xfId="14658"/>
    <cellStyle name="40% - Accent4 2 2 2 17 2" xfId="43519"/>
    <cellStyle name="40% - Accent4 2 2 2 18" xfId="29192"/>
    <cellStyle name="40% - Accent4 2 2 2 2" xfId="536"/>
    <cellStyle name="40% - Accent4 2 2 2 2 2" xfId="2287"/>
    <cellStyle name="40% - Accent4 2 2 2 2 2 2" xfId="5174"/>
    <cellStyle name="40% - Accent4 2 2 2 2 2 2 2" xfId="11215"/>
    <cellStyle name="40% - Accent4 2 2 2 2 2 2 2 2" xfId="28262"/>
    <cellStyle name="40% - Accent4 2 2 2 2 2 2 2 2 2" xfId="57123"/>
    <cellStyle name="40% - Accent4 2 2 2 2 2 2 2 3" xfId="40076"/>
    <cellStyle name="40% - Accent4 2 2 2 2 2 2 3" xfId="22284"/>
    <cellStyle name="40% - Accent4 2 2 2 2 2 2 3 2" xfId="51145"/>
    <cellStyle name="40% - Accent4 2 2 2 2 2 2 4" xfId="34035"/>
    <cellStyle name="40% - Accent4 2 2 2 2 2 3" xfId="8329"/>
    <cellStyle name="40% - Accent4 2 2 2 2 2 3 2" xfId="25376"/>
    <cellStyle name="40% - Accent4 2 2 2 2 2 3 2 2" xfId="54237"/>
    <cellStyle name="40% - Accent4 2 2 2 2 2 3 3" xfId="37190"/>
    <cellStyle name="40% - Accent4 2 2 2 2 2 4" xfId="12171"/>
    <cellStyle name="40% - Accent4 2 2 2 2 2 4 2" xfId="19604"/>
    <cellStyle name="40% - Accent4 2 2 2 2 2 4 2 2" xfId="48465"/>
    <cellStyle name="40% - Accent4 2 2 2 2 2 4 3" xfId="41032"/>
    <cellStyle name="40% - Accent4 2 2 2 2 2 5" xfId="16924"/>
    <cellStyle name="40% - Accent4 2 2 2 2 2 5 2" xfId="45785"/>
    <cellStyle name="40% - Accent4 2 2 2 2 2 6" xfId="31149"/>
    <cellStyle name="40% - Accent4 2 2 2 2 3" xfId="3423"/>
    <cellStyle name="40% - Accent4 2 2 2 2 3 2" xfId="9464"/>
    <cellStyle name="40% - Accent4 2 2 2 2 3 2 2" xfId="26511"/>
    <cellStyle name="40% - Accent4 2 2 2 2 3 2 2 2" xfId="55372"/>
    <cellStyle name="40% - Accent4 2 2 2 2 3 2 3" xfId="38325"/>
    <cellStyle name="40% - Accent4 2 2 2 2 3 3" xfId="20533"/>
    <cellStyle name="40% - Accent4 2 2 2 2 3 3 2" xfId="49394"/>
    <cellStyle name="40% - Accent4 2 2 2 2 3 4" xfId="32284"/>
    <cellStyle name="40% - Accent4 2 2 2 2 4" xfId="6578"/>
    <cellStyle name="40% - Accent4 2 2 2 2 4 2" xfId="23625"/>
    <cellStyle name="40% - Accent4 2 2 2 2 4 2 2" xfId="52486"/>
    <cellStyle name="40% - Accent4 2 2 2 2 4 3" xfId="35439"/>
    <cellStyle name="40% - Accent4 2 2 2 2 5" xfId="13684"/>
    <cellStyle name="40% - Accent4 2 2 2 2 5 2" xfId="17853"/>
    <cellStyle name="40% - Accent4 2 2 2 2 5 2 2" xfId="46714"/>
    <cellStyle name="40% - Accent4 2 2 2 2 5 3" xfId="42545"/>
    <cellStyle name="40% - Accent4 2 2 2 2 6" xfId="15173"/>
    <cellStyle name="40% - Accent4 2 2 2 2 6 2" xfId="44034"/>
    <cellStyle name="40% - Accent4 2 2 2 2 7" xfId="29398"/>
    <cellStyle name="40% - Accent4 2 2 2 3" xfId="845"/>
    <cellStyle name="40% - Accent4 2 2 2 3 2" xfId="3732"/>
    <cellStyle name="40% - Accent4 2 2 2 3 2 2" xfId="9773"/>
    <cellStyle name="40% - Accent4 2 2 2 3 2 2 2" xfId="26820"/>
    <cellStyle name="40% - Accent4 2 2 2 3 2 2 2 2" xfId="55681"/>
    <cellStyle name="40% - Accent4 2 2 2 3 2 2 3" xfId="38634"/>
    <cellStyle name="40% - Accent4 2 2 2 3 2 3" xfId="20842"/>
    <cellStyle name="40% - Accent4 2 2 2 3 2 3 2" xfId="49703"/>
    <cellStyle name="40% - Accent4 2 2 2 3 2 4" xfId="32593"/>
    <cellStyle name="40% - Accent4 2 2 2 3 3" xfId="6887"/>
    <cellStyle name="40% - Accent4 2 2 2 3 3 2" xfId="23934"/>
    <cellStyle name="40% - Accent4 2 2 2 3 3 2 2" xfId="52795"/>
    <cellStyle name="40% - Accent4 2 2 2 3 3 3" xfId="35748"/>
    <cellStyle name="40% - Accent4 2 2 2 3 4" xfId="13717"/>
    <cellStyle name="40% - Accent4 2 2 2 3 4 2" xfId="18162"/>
    <cellStyle name="40% - Accent4 2 2 2 3 4 2 2" xfId="47023"/>
    <cellStyle name="40% - Accent4 2 2 2 3 4 3" xfId="42578"/>
    <cellStyle name="40% - Accent4 2 2 2 3 5" xfId="15482"/>
    <cellStyle name="40% - Accent4 2 2 2 3 5 2" xfId="44343"/>
    <cellStyle name="40% - Accent4 2 2 2 3 6" xfId="29707"/>
    <cellStyle name="40% - Accent4 2 2 2 4" xfId="1051"/>
    <cellStyle name="40% - Accent4 2 2 2 4 2" xfId="3938"/>
    <cellStyle name="40% - Accent4 2 2 2 4 2 2" xfId="9979"/>
    <cellStyle name="40% - Accent4 2 2 2 4 2 2 2" xfId="27026"/>
    <cellStyle name="40% - Accent4 2 2 2 4 2 2 2 2" xfId="55887"/>
    <cellStyle name="40% - Accent4 2 2 2 4 2 2 3" xfId="38840"/>
    <cellStyle name="40% - Accent4 2 2 2 4 2 3" xfId="21048"/>
    <cellStyle name="40% - Accent4 2 2 2 4 2 3 2" xfId="49909"/>
    <cellStyle name="40% - Accent4 2 2 2 4 2 4" xfId="32799"/>
    <cellStyle name="40% - Accent4 2 2 2 4 3" xfId="7093"/>
    <cellStyle name="40% - Accent4 2 2 2 4 3 2" xfId="24140"/>
    <cellStyle name="40% - Accent4 2 2 2 4 3 2 2" xfId="53001"/>
    <cellStyle name="40% - Accent4 2 2 2 4 3 3" xfId="35954"/>
    <cellStyle name="40% - Accent4 2 2 2 4 4" xfId="14264"/>
    <cellStyle name="40% - Accent4 2 2 2 4 4 2" xfId="18368"/>
    <cellStyle name="40% - Accent4 2 2 2 4 4 2 2" xfId="47229"/>
    <cellStyle name="40% - Accent4 2 2 2 4 4 3" xfId="43125"/>
    <cellStyle name="40% - Accent4 2 2 2 4 5" xfId="15688"/>
    <cellStyle name="40% - Accent4 2 2 2 4 5 2" xfId="44549"/>
    <cellStyle name="40% - Accent4 2 2 2 4 6" xfId="29913"/>
    <cellStyle name="40% - Accent4 2 2 2 5" xfId="1257"/>
    <cellStyle name="40% - Accent4 2 2 2 5 2" xfId="4144"/>
    <cellStyle name="40% - Accent4 2 2 2 5 2 2" xfId="10185"/>
    <cellStyle name="40% - Accent4 2 2 2 5 2 2 2" xfId="27232"/>
    <cellStyle name="40% - Accent4 2 2 2 5 2 2 2 2" xfId="56093"/>
    <cellStyle name="40% - Accent4 2 2 2 5 2 2 3" xfId="39046"/>
    <cellStyle name="40% - Accent4 2 2 2 5 2 3" xfId="21254"/>
    <cellStyle name="40% - Accent4 2 2 2 5 2 3 2" xfId="50115"/>
    <cellStyle name="40% - Accent4 2 2 2 5 2 4" xfId="33005"/>
    <cellStyle name="40% - Accent4 2 2 2 5 3" xfId="7299"/>
    <cellStyle name="40% - Accent4 2 2 2 5 3 2" xfId="24346"/>
    <cellStyle name="40% - Accent4 2 2 2 5 3 2 2" xfId="53207"/>
    <cellStyle name="40% - Accent4 2 2 2 5 3 3" xfId="36160"/>
    <cellStyle name="40% - Accent4 2 2 2 5 4" xfId="13691"/>
    <cellStyle name="40% - Accent4 2 2 2 5 4 2" xfId="18574"/>
    <cellStyle name="40% - Accent4 2 2 2 5 4 2 2" xfId="47435"/>
    <cellStyle name="40% - Accent4 2 2 2 5 4 3" xfId="42552"/>
    <cellStyle name="40% - Accent4 2 2 2 5 5" xfId="15894"/>
    <cellStyle name="40% - Accent4 2 2 2 5 5 2" xfId="44755"/>
    <cellStyle name="40% - Accent4 2 2 2 5 6" xfId="30119"/>
    <cellStyle name="40% - Accent4 2 2 2 6" xfId="1463"/>
    <cellStyle name="40% - Accent4 2 2 2 6 2" xfId="4350"/>
    <cellStyle name="40% - Accent4 2 2 2 6 2 2" xfId="10391"/>
    <cellStyle name="40% - Accent4 2 2 2 6 2 2 2" xfId="27438"/>
    <cellStyle name="40% - Accent4 2 2 2 6 2 2 2 2" xfId="56299"/>
    <cellStyle name="40% - Accent4 2 2 2 6 2 2 3" xfId="39252"/>
    <cellStyle name="40% - Accent4 2 2 2 6 2 3" xfId="21460"/>
    <cellStyle name="40% - Accent4 2 2 2 6 2 3 2" xfId="50321"/>
    <cellStyle name="40% - Accent4 2 2 2 6 2 4" xfId="33211"/>
    <cellStyle name="40% - Accent4 2 2 2 6 3" xfId="7505"/>
    <cellStyle name="40% - Accent4 2 2 2 6 3 2" xfId="24552"/>
    <cellStyle name="40% - Accent4 2 2 2 6 3 2 2" xfId="53413"/>
    <cellStyle name="40% - Accent4 2 2 2 6 3 3" xfId="36366"/>
    <cellStyle name="40% - Accent4 2 2 2 6 4" xfId="12620"/>
    <cellStyle name="40% - Accent4 2 2 2 6 4 2" xfId="18780"/>
    <cellStyle name="40% - Accent4 2 2 2 6 4 2 2" xfId="47641"/>
    <cellStyle name="40% - Accent4 2 2 2 6 4 3" xfId="41481"/>
    <cellStyle name="40% - Accent4 2 2 2 6 5" xfId="16100"/>
    <cellStyle name="40% - Accent4 2 2 2 6 5 2" xfId="44961"/>
    <cellStyle name="40% - Accent4 2 2 2 6 6" xfId="30325"/>
    <cellStyle name="40% - Accent4 2 2 2 7" xfId="1669"/>
    <cellStyle name="40% - Accent4 2 2 2 7 2" xfId="4556"/>
    <cellStyle name="40% - Accent4 2 2 2 7 2 2" xfId="10597"/>
    <cellStyle name="40% - Accent4 2 2 2 7 2 2 2" xfId="27644"/>
    <cellStyle name="40% - Accent4 2 2 2 7 2 2 2 2" xfId="56505"/>
    <cellStyle name="40% - Accent4 2 2 2 7 2 2 3" xfId="39458"/>
    <cellStyle name="40% - Accent4 2 2 2 7 2 3" xfId="21666"/>
    <cellStyle name="40% - Accent4 2 2 2 7 2 3 2" xfId="50527"/>
    <cellStyle name="40% - Accent4 2 2 2 7 2 4" xfId="33417"/>
    <cellStyle name="40% - Accent4 2 2 2 7 3" xfId="7711"/>
    <cellStyle name="40% - Accent4 2 2 2 7 3 2" xfId="24758"/>
    <cellStyle name="40% - Accent4 2 2 2 7 3 2 2" xfId="53619"/>
    <cellStyle name="40% - Accent4 2 2 2 7 3 3" xfId="36572"/>
    <cellStyle name="40% - Accent4 2 2 2 7 4" xfId="13870"/>
    <cellStyle name="40% - Accent4 2 2 2 7 4 2" xfId="18986"/>
    <cellStyle name="40% - Accent4 2 2 2 7 4 2 2" xfId="47847"/>
    <cellStyle name="40% - Accent4 2 2 2 7 4 3" xfId="42731"/>
    <cellStyle name="40% - Accent4 2 2 2 7 5" xfId="16306"/>
    <cellStyle name="40% - Accent4 2 2 2 7 5 2" xfId="45167"/>
    <cellStyle name="40% - Accent4 2 2 2 7 6" xfId="30531"/>
    <cellStyle name="40% - Accent4 2 2 2 8" xfId="1875"/>
    <cellStyle name="40% - Accent4 2 2 2 8 2" xfId="4762"/>
    <cellStyle name="40% - Accent4 2 2 2 8 2 2" xfId="10803"/>
    <cellStyle name="40% - Accent4 2 2 2 8 2 2 2" xfId="27850"/>
    <cellStyle name="40% - Accent4 2 2 2 8 2 2 2 2" xfId="56711"/>
    <cellStyle name="40% - Accent4 2 2 2 8 2 2 3" xfId="39664"/>
    <cellStyle name="40% - Accent4 2 2 2 8 2 3" xfId="21872"/>
    <cellStyle name="40% - Accent4 2 2 2 8 2 3 2" xfId="50733"/>
    <cellStyle name="40% - Accent4 2 2 2 8 2 4" xfId="33623"/>
    <cellStyle name="40% - Accent4 2 2 2 8 3" xfId="7917"/>
    <cellStyle name="40% - Accent4 2 2 2 8 3 2" xfId="24964"/>
    <cellStyle name="40% - Accent4 2 2 2 8 3 2 2" xfId="53825"/>
    <cellStyle name="40% - Accent4 2 2 2 8 3 3" xfId="36778"/>
    <cellStyle name="40% - Accent4 2 2 2 8 4" xfId="12298"/>
    <cellStyle name="40% - Accent4 2 2 2 8 4 2" xfId="19192"/>
    <cellStyle name="40% - Accent4 2 2 2 8 4 2 2" xfId="48053"/>
    <cellStyle name="40% - Accent4 2 2 2 8 4 3" xfId="41159"/>
    <cellStyle name="40% - Accent4 2 2 2 8 5" xfId="16512"/>
    <cellStyle name="40% - Accent4 2 2 2 8 5 2" xfId="45373"/>
    <cellStyle name="40% - Accent4 2 2 2 8 6" xfId="30737"/>
    <cellStyle name="40% - Accent4 2 2 2 9" xfId="2081"/>
    <cellStyle name="40% - Accent4 2 2 2 9 2" xfId="4968"/>
    <cellStyle name="40% - Accent4 2 2 2 9 2 2" xfId="11009"/>
    <cellStyle name="40% - Accent4 2 2 2 9 2 2 2" xfId="28056"/>
    <cellStyle name="40% - Accent4 2 2 2 9 2 2 2 2" xfId="56917"/>
    <cellStyle name="40% - Accent4 2 2 2 9 2 2 3" xfId="39870"/>
    <cellStyle name="40% - Accent4 2 2 2 9 2 3" xfId="22078"/>
    <cellStyle name="40% - Accent4 2 2 2 9 2 3 2" xfId="50939"/>
    <cellStyle name="40% - Accent4 2 2 2 9 2 4" xfId="33829"/>
    <cellStyle name="40% - Accent4 2 2 2 9 3" xfId="8123"/>
    <cellStyle name="40% - Accent4 2 2 2 9 3 2" xfId="25170"/>
    <cellStyle name="40% - Accent4 2 2 2 9 3 2 2" xfId="54031"/>
    <cellStyle name="40% - Accent4 2 2 2 9 3 3" xfId="36984"/>
    <cellStyle name="40% - Accent4 2 2 2 9 4" xfId="14223"/>
    <cellStyle name="40% - Accent4 2 2 2 9 4 2" xfId="19398"/>
    <cellStyle name="40% - Accent4 2 2 2 9 4 2 2" xfId="48259"/>
    <cellStyle name="40% - Accent4 2 2 2 9 4 3" xfId="43084"/>
    <cellStyle name="40% - Accent4 2 2 2 9 5" xfId="16718"/>
    <cellStyle name="40% - Accent4 2 2 2 9 5 2" xfId="45579"/>
    <cellStyle name="40% - Accent4 2 2 2 9 6" xfId="30943"/>
    <cellStyle name="40% - Accent4 2 2 20" xfId="28986"/>
    <cellStyle name="40% - Accent4 2 2 3" xfId="227"/>
    <cellStyle name="40% - Accent4 2 2 3 2" xfId="639"/>
    <cellStyle name="40% - Accent4 2 2 3 2 2" xfId="3526"/>
    <cellStyle name="40% - Accent4 2 2 3 2 2 2" xfId="9567"/>
    <cellStyle name="40% - Accent4 2 2 3 2 2 2 2" xfId="26614"/>
    <cellStyle name="40% - Accent4 2 2 3 2 2 2 2 2" xfId="55475"/>
    <cellStyle name="40% - Accent4 2 2 3 2 2 2 3" xfId="38428"/>
    <cellStyle name="40% - Accent4 2 2 3 2 2 3" xfId="20636"/>
    <cellStyle name="40% - Accent4 2 2 3 2 2 3 2" xfId="49497"/>
    <cellStyle name="40% - Accent4 2 2 3 2 2 4" xfId="32387"/>
    <cellStyle name="40% - Accent4 2 2 3 2 3" xfId="6681"/>
    <cellStyle name="40% - Accent4 2 2 3 2 3 2" xfId="23728"/>
    <cellStyle name="40% - Accent4 2 2 3 2 3 2 2" xfId="52589"/>
    <cellStyle name="40% - Accent4 2 2 3 2 3 3" xfId="35542"/>
    <cellStyle name="40% - Accent4 2 2 3 2 4" xfId="12582"/>
    <cellStyle name="40% - Accent4 2 2 3 2 4 2" xfId="17956"/>
    <cellStyle name="40% - Accent4 2 2 3 2 4 2 2" xfId="46817"/>
    <cellStyle name="40% - Accent4 2 2 3 2 4 3" xfId="41443"/>
    <cellStyle name="40% - Accent4 2 2 3 2 5" xfId="15276"/>
    <cellStyle name="40% - Accent4 2 2 3 2 5 2" xfId="44137"/>
    <cellStyle name="40% - Accent4 2 2 3 2 6" xfId="29501"/>
    <cellStyle name="40% - Accent4 2 2 3 3" xfId="2184"/>
    <cellStyle name="40% - Accent4 2 2 3 3 2" xfId="5071"/>
    <cellStyle name="40% - Accent4 2 2 3 3 2 2" xfId="11112"/>
    <cellStyle name="40% - Accent4 2 2 3 3 2 2 2" xfId="28159"/>
    <cellStyle name="40% - Accent4 2 2 3 3 2 2 2 2" xfId="57020"/>
    <cellStyle name="40% - Accent4 2 2 3 3 2 2 3" xfId="39973"/>
    <cellStyle name="40% - Accent4 2 2 3 3 2 3" xfId="22181"/>
    <cellStyle name="40% - Accent4 2 2 3 3 2 3 2" xfId="51042"/>
    <cellStyle name="40% - Accent4 2 2 3 3 2 4" xfId="33932"/>
    <cellStyle name="40% - Accent4 2 2 3 3 3" xfId="8226"/>
    <cellStyle name="40% - Accent4 2 2 3 3 3 2" xfId="25273"/>
    <cellStyle name="40% - Accent4 2 2 3 3 3 2 2" xfId="54134"/>
    <cellStyle name="40% - Accent4 2 2 3 3 3 3" xfId="37087"/>
    <cellStyle name="40% - Accent4 2 2 3 3 4" xfId="14179"/>
    <cellStyle name="40% - Accent4 2 2 3 3 4 2" xfId="19501"/>
    <cellStyle name="40% - Accent4 2 2 3 3 4 2 2" xfId="48362"/>
    <cellStyle name="40% - Accent4 2 2 3 3 4 3" xfId="43040"/>
    <cellStyle name="40% - Accent4 2 2 3 3 5" xfId="16821"/>
    <cellStyle name="40% - Accent4 2 2 3 3 5 2" xfId="45682"/>
    <cellStyle name="40% - Accent4 2 2 3 3 6" xfId="31046"/>
    <cellStyle name="40% - Accent4 2 2 3 4" xfId="3114"/>
    <cellStyle name="40% - Accent4 2 2 3 4 2" xfId="9155"/>
    <cellStyle name="40% - Accent4 2 2 3 4 2 2" xfId="26202"/>
    <cellStyle name="40% - Accent4 2 2 3 4 2 2 2" xfId="55063"/>
    <cellStyle name="40% - Accent4 2 2 3 4 2 3" xfId="38016"/>
    <cellStyle name="40% - Accent4 2 2 3 4 3" xfId="20224"/>
    <cellStyle name="40% - Accent4 2 2 3 4 3 2" xfId="49085"/>
    <cellStyle name="40% - Accent4 2 2 3 4 4" xfId="31975"/>
    <cellStyle name="40% - Accent4 2 2 3 5" xfId="6269"/>
    <cellStyle name="40% - Accent4 2 2 3 5 2" xfId="23316"/>
    <cellStyle name="40% - Accent4 2 2 3 5 2 2" xfId="52177"/>
    <cellStyle name="40% - Accent4 2 2 3 5 3" xfId="35130"/>
    <cellStyle name="40% - Accent4 2 2 3 6" xfId="13062"/>
    <cellStyle name="40% - Accent4 2 2 3 6 2" xfId="17647"/>
    <cellStyle name="40% - Accent4 2 2 3 6 2 2" xfId="46508"/>
    <cellStyle name="40% - Accent4 2 2 3 6 3" xfId="41923"/>
    <cellStyle name="40% - Accent4 2 2 3 7" xfId="14864"/>
    <cellStyle name="40% - Accent4 2 2 3 7 2" xfId="43725"/>
    <cellStyle name="40% - Accent4 2 2 3 8" xfId="29089"/>
    <cellStyle name="40% - Accent4 2 2 4" xfId="433"/>
    <cellStyle name="40% - Accent4 2 2 4 2" xfId="3320"/>
    <cellStyle name="40% - Accent4 2 2 4 2 2" xfId="9361"/>
    <cellStyle name="40% - Accent4 2 2 4 2 2 2" xfId="26408"/>
    <cellStyle name="40% - Accent4 2 2 4 2 2 2 2" xfId="55269"/>
    <cellStyle name="40% - Accent4 2 2 4 2 2 3" xfId="38222"/>
    <cellStyle name="40% - Accent4 2 2 4 2 3" xfId="20430"/>
    <cellStyle name="40% - Accent4 2 2 4 2 3 2" xfId="49291"/>
    <cellStyle name="40% - Accent4 2 2 4 2 4" xfId="32181"/>
    <cellStyle name="40% - Accent4 2 2 4 3" xfId="6475"/>
    <cellStyle name="40% - Accent4 2 2 4 3 2" xfId="23522"/>
    <cellStyle name="40% - Accent4 2 2 4 3 2 2" xfId="52383"/>
    <cellStyle name="40% - Accent4 2 2 4 3 3" xfId="35336"/>
    <cellStyle name="40% - Accent4 2 2 4 4" xfId="12963"/>
    <cellStyle name="40% - Accent4 2 2 4 4 2" xfId="17750"/>
    <cellStyle name="40% - Accent4 2 2 4 4 2 2" xfId="46611"/>
    <cellStyle name="40% - Accent4 2 2 4 4 3" xfId="41824"/>
    <cellStyle name="40% - Accent4 2 2 4 5" xfId="15070"/>
    <cellStyle name="40% - Accent4 2 2 4 5 2" xfId="43931"/>
    <cellStyle name="40% - Accent4 2 2 4 6" xfId="29295"/>
    <cellStyle name="40% - Accent4 2 2 5" xfId="742"/>
    <cellStyle name="40% - Accent4 2 2 5 2" xfId="3629"/>
    <cellStyle name="40% - Accent4 2 2 5 2 2" xfId="9670"/>
    <cellStyle name="40% - Accent4 2 2 5 2 2 2" xfId="26717"/>
    <cellStyle name="40% - Accent4 2 2 5 2 2 2 2" xfId="55578"/>
    <cellStyle name="40% - Accent4 2 2 5 2 2 3" xfId="38531"/>
    <cellStyle name="40% - Accent4 2 2 5 2 3" xfId="20739"/>
    <cellStyle name="40% - Accent4 2 2 5 2 3 2" xfId="49600"/>
    <cellStyle name="40% - Accent4 2 2 5 2 4" xfId="32490"/>
    <cellStyle name="40% - Accent4 2 2 5 3" xfId="6784"/>
    <cellStyle name="40% - Accent4 2 2 5 3 2" xfId="23831"/>
    <cellStyle name="40% - Accent4 2 2 5 3 2 2" xfId="52692"/>
    <cellStyle name="40% - Accent4 2 2 5 3 3" xfId="35645"/>
    <cellStyle name="40% - Accent4 2 2 5 4" xfId="12977"/>
    <cellStyle name="40% - Accent4 2 2 5 4 2" xfId="18059"/>
    <cellStyle name="40% - Accent4 2 2 5 4 2 2" xfId="46920"/>
    <cellStyle name="40% - Accent4 2 2 5 4 3" xfId="41838"/>
    <cellStyle name="40% - Accent4 2 2 5 5" xfId="15379"/>
    <cellStyle name="40% - Accent4 2 2 5 5 2" xfId="44240"/>
    <cellStyle name="40% - Accent4 2 2 5 6" xfId="29604"/>
    <cellStyle name="40% - Accent4 2 2 6" xfId="948"/>
    <cellStyle name="40% - Accent4 2 2 6 2" xfId="3835"/>
    <cellStyle name="40% - Accent4 2 2 6 2 2" xfId="9876"/>
    <cellStyle name="40% - Accent4 2 2 6 2 2 2" xfId="26923"/>
    <cellStyle name="40% - Accent4 2 2 6 2 2 2 2" xfId="55784"/>
    <cellStyle name="40% - Accent4 2 2 6 2 2 3" xfId="38737"/>
    <cellStyle name="40% - Accent4 2 2 6 2 3" xfId="20945"/>
    <cellStyle name="40% - Accent4 2 2 6 2 3 2" xfId="49806"/>
    <cellStyle name="40% - Accent4 2 2 6 2 4" xfId="32696"/>
    <cellStyle name="40% - Accent4 2 2 6 3" xfId="6990"/>
    <cellStyle name="40% - Accent4 2 2 6 3 2" xfId="24037"/>
    <cellStyle name="40% - Accent4 2 2 6 3 2 2" xfId="52898"/>
    <cellStyle name="40% - Accent4 2 2 6 3 3" xfId="35851"/>
    <cellStyle name="40% - Accent4 2 2 6 4" xfId="13634"/>
    <cellStyle name="40% - Accent4 2 2 6 4 2" xfId="18265"/>
    <cellStyle name="40% - Accent4 2 2 6 4 2 2" xfId="47126"/>
    <cellStyle name="40% - Accent4 2 2 6 4 3" xfId="42495"/>
    <cellStyle name="40% - Accent4 2 2 6 5" xfId="15585"/>
    <cellStyle name="40% - Accent4 2 2 6 5 2" xfId="44446"/>
    <cellStyle name="40% - Accent4 2 2 6 6" xfId="29810"/>
    <cellStyle name="40% - Accent4 2 2 7" xfId="1154"/>
    <cellStyle name="40% - Accent4 2 2 7 2" xfId="4041"/>
    <cellStyle name="40% - Accent4 2 2 7 2 2" xfId="10082"/>
    <cellStyle name="40% - Accent4 2 2 7 2 2 2" xfId="27129"/>
    <cellStyle name="40% - Accent4 2 2 7 2 2 2 2" xfId="55990"/>
    <cellStyle name="40% - Accent4 2 2 7 2 2 3" xfId="38943"/>
    <cellStyle name="40% - Accent4 2 2 7 2 3" xfId="21151"/>
    <cellStyle name="40% - Accent4 2 2 7 2 3 2" xfId="50012"/>
    <cellStyle name="40% - Accent4 2 2 7 2 4" xfId="32902"/>
    <cellStyle name="40% - Accent4 2 2 7 3" xfId="7196"/>
    <cellStyle name="40% - Accent4 2 2 7 3 2" xfId="24243"/>
    <cellStyle name="40% - Accent4 2 2 7 3 2 2" xfId="53104"/>
    <cellStyle name="40% - Accent4 2 2 7 3 3" xfId="36057"/>
    <cellStyle name="40% - Accent4 2 2 7 4" xfId="12032"/>
    <cellStyle name="40% - Accent4 2 2 7 4 2" xfId="18471"/>
    <cellStyle name="40% - Accent4 2 2 7 4 2 2" xfId="47332"/>
    <cellStyle name="40% - Accent4 2 2 7 4 3" xfId="40893"/>
    <cellStyle name="40% - Accent4 2 2 7 5" xfId="15791"/>
    <cellStyle name="40% - Accent4 2 2 7 5 2" xfId="44652"/>
    <cellStyle name="40% - Accent4 2 2 7 6" xfId="30016"/>
    <cellStyle name="40% - Accent4 2 2 8" xfId="1360"/>
    <cellStyle name="40% - Accent4 2 2 8 2" xfId="4247"/>
    <cellStyle name="40% - Accent4 2 2 8 2 2" xfId="10288"/>
    <cellStyle name="40% - Accent4 2 2 8 2 2 2" xfId="27335"/>
    <cellStyle name="40% - Accent4 2 2 8 2 2 2 2" xfId="56196"/>
    <cellStyle name="40% - Accent4 2 2 8 2 2 3" xfId="39149"/>
    <cellStyle name="40% - Accent4 2 2 8 2 3" xfId="21357"/>
    <cellStyle name="40% - Accent4 2 2 8 2 3 2" xfId="50218"/>
    <cellStyle name="40% - Accent4 2 2 8 2 4" xfId="33108"/>
    <cellStyle name="40% - Accent4 2 2 8 3" xfId="7402"/>
    <cellStyle name="40% - Accent4 2 2 8 3 2" xfId="24449"/>
    <cellStyle name="40% - Accent4 2 2 8 3 2 2" xfId="53310"/>
    <cellStyle name="40% - Accent4 2 2 8 3 3" xfId="36263"/>
    <cellStyle name="40% - Accent4 2 2 8 4" xfId="13251"/>
    <cellStyle name="40% - Accent4 2 2 8 4 2" xfId="18677"/>
    <cellStyle name="40% - Accent4 2 2 8 4 2 2" xfId="47538"/>
    <cellStyle name="40% - Accent4 2 2 8 4 3" xfId="42112"/>
    <cellStyle name="40% - Accent4 2 2 8 5" xfId="15997"/>
    <cellStyle name="40% - Accent4 2 2 8 5 2" xfId="44858"/>
    <cellStyle name="40% - Accent4 2 2 8 6" xfId="30222"/>
    <cellStyle name="40% - Accent4 2 2 9" xfId="1566"/>
    <cellStyle name="40% - Accent4 2 2 9 2" xfId="4453"/>
    <cellStyle name="40% - Accent4 2 2 9 2 2" xfId="10494"/>
    <cellStyle name="40% - Accent4 2 2 9 2 2 2" xfId="27541"/>
    <cellStyle name="40% - Accent4 2 2 9 2 2 2 2" xfId="56402"/>
    <cellStyle name="40% - Accent4 2 2 9 2 2 3" xfId="39355"/>
    <cellStyle name="40% - Accent4 2 2 9 2 3" xfId="21563"/>
    <cellStyle name="40% - Accent4 2 2 9 2 3 2" xfId="50424"/>
    <cellStyle name="40% - Accent4 2 2 9 2 4" xfId="33314"/>
    <cellStyle name="40% - Accent4 2 2 9 3" xfId="7608"/>
    <cellStyle name="40% - Accent4 2 2 9 3 2" xfId="24655"/>
    <cellStyle name="40% - Accent4 2 2 9 3 2 2" xfId="53516"/>
    <cellStyle name="40% - Accent4 2 2 9 3 3" xfId="36469"/>
    <cellStyle name="40% - Accent4 2 2 9 4" xfId="14061"/>
    <cellStyle name="40% - Accent4 2 2 9 4 2" xfId="18883"/>
    <cellStyle name="40% - Accent4 2 2 9 4 2 2" xfId="47744"/>
    <cellStyle name="40% - Accent4 2 2 9 4 3" xfId="42922"/>
    <cellStyle name="40% - Accent4 2 2 9 5" xfId="16203"/>
    <cellStyle name="40% - Accent4 2 2 9 5 2" xfId="45064"/>
    <cellStyle name="40% - Accent4 2 2 9 6" xfId="30428"/>
    <cellStyle name="40% - Accent4 2 20" xfId="6140"/>
    <cellStyle name="40% - Accent4 2 20 2" xfId="23187"/>
    <cellStyle name="40% - Accent4 2 20 2 2" xfId="52048"/>
    <cellStyle name="40% - Accent4 2 20 3" xfId="35001"/>
    <cellStyle name="40% - Accent4 2 21" xfId="14529"/>
    <cellStyle name="40% - Accent4 2 21 2" xfId="43390"/>
    <cellStyle name="40% - Accent4 2 22" xfId="28960"/>
    <cellStyle name="40% - Accent4 2 3" xfId="150"/>
    <cellStyle name="40% - Accent4 2 3 10" xfId="1798"/>
    <cellStyle name="40% - Accent4 2 3 10 2" xfId="4685"/>
    <cellStyle name="40% - Accent4 2 3 10 2 2" xfId="10726"/>
    <cellStyle name="40% - Accent4 2 3 10 2 2 2" xfId="27773"/>
    <cellStyle name="40% - Accent4 2 3 10 2 2 2 2" xfId="56634"/>
    <cellStyle name="40% - Accent4 2 3 10 2 2 3" xfId="39587"/>
    <cellStyle name="40% - Accent4 2 3 10 2 3" xfId="21795"/>
    <cellStyle name="40% - Accent4 2 3 10 2 3 2" xfId="50656"/>
    <cellStyle name="40% - Accent4 2 3 10 2 4" xfId="33546"/>
    <cellStyle name="40% - Accent4 2 3 10 3" xfId="7840"/>
    <cellStyle name="40% - Accent4 2 3 10 3 2" xfId="24887"/>
    <cellStyle name="40% - Accent4 2 3 10 3 2 2" xfId="53748"/>
    <cellStyle name="40% - Accent4 2 3 10 3 3" xfId="36701"/>
    <cellStyle name="40% - Accent4 2 3 10 4" xfId="13941"/>
    <cellStyle name="40% - Accent4 2 3 10 4 2" xfId="19115"/>
    <cellStyle name="40% - Accent4 2 3 10 4 2 2" xfId="47976"/>
    <cellStyle name="40% - Accent4 2 3 10 4 3" xfId="42802"/>
    <cellStyle name="40% - Accent4 2 3 10 5" xfId="16435"/>
    <cellStyle name="40% - Accent4 2 3 10 5 2" xfId="45296"/>
    <cellStyle name="40% - Accent4 2 3 10 6" xfId="30660"/>
    <cellStyle name="40% - Accent4 2 3 11" xfId="2004"/>
    <cellStyle name="40% - Accent4 2 3 11 2" xfId="4891"/>
    <cellStyle name="40% - Accent4 2 3 11 2 2" xfId="10932"/>
    <cellStyle name="40% - Accent4 2 3 11 2 2 2" xfId="27979"/>
    <cellStyle name="40% - Accent4 2 3 11 2 2 2 2" xfId="56840"/>
    <cellStyle name="40% - Accent4 2 3 11 2 2 3" xfId="39793"/>
    <cellStyle name="40% - Accent4 2 3 11 2 3" xfId="22001"/>
    <cellStyle name="40% - Accent4 2 3 11 2 3 2" xfId="50862"/>
    <cellStyle name="40% - Accent4 2 3 11 2 4" xfId="33752"/>
    <cellStyle name="40% - Accent4 2 3 11 3" xfId="8046"/>
    <cellStyle name="40% - Accent4 2 3 11 3 2" xfId="25093"/>
    <cellStyle name="40% - Accent4 2 3 11 3 2 2" xfId="53954"/>
    <cellStyle name="40% - Accent4 2 3 11 3 3" xfId="36907"/>
    <cellStyle name="40% - Accent4 2 3 11 4" xfId="13425"/>
    <cellStyle name="40% - Accent4 2 3 11 4 2" xfId="19321"/>
    <cellStyle name="40% - Accent4 2 3 11 4 2 2" xfId="48182"/>
    <cellStyle name="40% - Accent4 2 3 11 4 3" xfId="42286"/>
    <cellStyle name="40% - Accent4 2 3 11 5" xfId="16641"/>
    <cellStyle name="40% - Accent4 2 3 11 5 2" xfId="45502"/>
    <cellStyle name="40% - Accent4 2 3 11 6" xfId="30866"/>
    <cellStyle name="40% - Accent4 2 3 12" xfId="2416"/>
    <cellStyle name="40% - Accent4 2 3 12 2" xfId="5303"/>
    <cellStyle name="40% - Accent4 2 3 12 2 2" xfId="11344"/>
    <cellStyle name="40% - Accent4 2 3 12 2 2 2" xfId="28391"/>
    <cellStyle name="40% - Accent4 2 3 12 2 2 2 2" xfId="57252"/>
    <cellStyle name="40% - Accent4 2 3 12 2 2 3" xfId="40205"/>
    <cellStyle name="40% - Accent4 2 3 12 2 3" xfId="22413"/>
    <cellStyle name="40% - Accent4 2 3 12 2 3 2" xfId="51274"/>
    <cellStyle name="40% - Accent4 2 3 12 2 4" xfId="34164"/>
    <cellStyle name="40% - Accent4 2 3 12 3" xfId="8458"/>
    <cellStyle name="40% - Accent4 2 3 12 3 2" xfId="25505"/>
    <cellStyle name="40% - Accent4 2 3 12 3 2 2" xfId="54366"/>
    <cellStyle name="40% - Accent4 2 3 12 3 3" xfId="37319"/>
    <cellStyle name="40% - Accent4 2 3 12 4" xfId="12920"/>
    <cellStyle name="40% - Accent4 2 3 12 4 2" xfId="19733"/>
    <cellStyle name="40% - Accent4 2 3 12 4 2 2" xfId="48594"/>
    <cellStyle name="40% - Accent4 2 3 12 4 3" xfId="41781"/>
    <cellStyle name="40% - Accent4 2 3 12 5" xfId="17053"/>
    <cellStyle name="40% - Accent4 2 3 12 5 2" xfId="45914"/>
    <cellStyle name="40% - Accent4 2 3 12 6" xfId="31278"/>
    <cellStyle name="40% - Accent4 2 3 13" xfId="2625"/>
    <cellStyle name="40% - Accent4 2 3 13 2" xfId="5511"/>
    <cellStyle name="40% - Accent4 2 3 13 2 2" xfId="11552"/>
    <cellStyle name="40% - Accent4 2 3 13 2 2 2" xfId="28599"/>
    <cellStyle name="40% - Accent4 2 3 13 2 2 2 2" xfId="57460"/>
    <cellStyle name="40% - Accent4 2 3 13 2 2 3" xfId="40413"/>
    <cellStyle name="40% - Accent4 2 3 13 2 3" xfId="22621"/>
    <cellStyle name="40% - Accent4 2 3 13 2 3 2" xfId="51482"/>
    <cellStyle name="40% - Accent4 2 3 13 2 4" xfId="34372"/>
    <cellStyle name="40% - Accent4 2 3 13 3" xfId="8666"/>
    <cellStyle name="40% - Accent4 2 3 13 3 2" xfId="25713"/>
    <cellStyle name="40% - Accent4 2 3 13 3 2 2" xfId="54574"/>
    <cellStyle name="40% - Accent4 2 3 13 3 3" xfId="37527"/>
    <cellStyle name="40% - Accent4 2 3 13 4" xfId="13693"/>
    <cellStyle name="40% - Accent4 2 3 13 4 2" xfId="19941"/>
    <cellStyle name="40% - Accent4 2 3 13 4 2 2" xfId="48802"/>
    <cellStyle name="40% - Accent4 2 3 13 4 3" xfId="42554"/>
    <cellStyle name="40% - Accent4 2 3 13 5" xfId="17261"/>
    <cellStyle name="40% - Accent4 2 3 13 5 2" xfId="46122"/>
    <cellStyle name="40% - Accent4 2 3 13 6" xfId="31486"/>
    <cellStyle name="40% - Accent4 2 3 14" xfId="3037"/>
    <cellStyle name="40% - Accent4 2 3 14 2" xfId="9078"/>
    <cellStyle name="40% - Accent4 2 3 14 2 2" xfId="26125"/>
    <cellStyle name="40% - Accent4 2 3 14 2 2 2" xfId="54986"/>
    <cellStyle name="40% - Accent4 2 3 14 2 3" xfId="37939"/>
    <cellStyle name="40% - Accent4 2 3 14 3" xfId="13739"/>
    <cellStyle name="40% - Accent4 2 3 14 3 2" xfId="20147"/>
    <cellStyle name="40% - Accent4 2 3 14 3 2 2" xfId="49008"/>
    <cellStyle name="40% - Accent4 2 3 14 3 3" xfId="42600"/>
    <cellStyle name="40% - Accent4 2 3 14 4" xfId="14787"/>
    <cellStyle name="40% - Accent4 2 3 14 4 2" xfId="43648"/>
    <cellStyle name="40% - Accent4 2 3 14 5" xfId="31898"/>
    <cellStyle name="40% - Accent4 2 3 15" xfId="2831"/>
    <cellStyle name="40% - Accent4 2 3 15 2" xfId="8872"/>
    <cellStyle name="40% - Accent4 2 3 15 2 2" xfId="25919"/>
    <cellStyle name="40% - Accent4 2 3 15 2 2 2" xfId="54780"/>
    <cellStyle name="40% - Accent4 2 3 15 2 3" xfId="37733"/>
    <cellStyle name="40% - Accent4 2 3 15 3" xfId="17467"/>
    <cellStyle name="40% - Accent4 2 3 15 3 2" xfId="46328"/>
    <cellStyle name="40% - Accent4 2 3 15 4" xfId="31692"/>
    <cellStyle name="40% - Accent4 2 3 16" xfId="5717"/>
    <cellStyle name="40% - Accent4 2 3 16 2" xfId="11758"/>
    <cellStyle name="40% - Accent4 2 3 16 2 2" xfId="28805"/>
    <cellStyle name="40% - Accent4 2 3 16 2 2 2" xfId="57666"/>
    <cellStyle name="40% - Accent4 2 3 16 2 3" xfId="40619"/>
    <cellStyle name="40% - Accent4 2 3 16 3" xfId="22827"/>
    <cellStyle name="40% - Accent4 2 3 16 3 2" xfId="51688"/>
    <cellStyle name="40% - Accent4 2 3 16 4" xfId="34578"/>
    <cellStyle name="40% - Accent4 2 3 17" xfId="5934"/>
    <cellStyle name="40% - Accent4 2 3 17 2" xfId="23033"/>
    <cellStyle name="40% - Accent4 2 3 17 2 2" xfId="51894"/>
    <cellStyle name="40% - Accent4 2 3 17 3" xfId="34795"/>
    <cellStyle name="40% - Accent4 2 3 18" xfId="6192"/>
    <cellStyle name="40% - Accent4 2 3 18 2" xfId="23239"/>
    <cellStyle name="40% - Accent4 2 3 18 2 2" xfId="52100"/>
    <cellStyle name="40% - Accent4 2 3 18 3" xfId="35053"/>
    <cellStyle name="40% - Accent4 2 3 19" xfId="14581"/>
    <cellStyle name="40% - Accent4 2 3 19 2" xfId="43442"/>
    <cellStyle name="40% - Accent4 2 3 2" xfId="356"/>
    <cellStyle name="40% - Accent4 2 3 2 10" xfId="2519"/>
    <cellStyle name="40% - Accent4 2 3 2 10 2" xfId="5406"/>
    <cellStyle name="40% - Accent4 2 3 2 10 2 2" xfId="11447"/>
    <cellStyle name="40% - Accent4 2 3 2 10 2 2 2" xfId="28494"/>
    <cellStyle name="40% - Accent4 2 3 2 10 2 2 2 2" xfId="57355"/>
    <cellStyle name="40% - Accent4 2 3 2 10 2 2 3" xfId="40308"/>
    <cellStyle name="40% - Accent4 2 3 2 10 2 3" xfId="22516"/>
    <cellStyle name="40% - Accent4 2 3 2 10 2 3 2" xfId="51377"/>
    <cellStyle name="40% - Accent4 2 3 2 10 2 4" xfId="34267"/>
    <cellStyle name="40% - Accent4 2 3 2 10 3" xfId="8561"/>
    <cellStyle name="40% - Accent4 2 3 2 10 3 2" xfId="25608"/>
    <cellStyle name="40% - Accent4 2 3 2 10 3 2 2" xfId="54469"/>
    <cellStyle name="40% - Accent4 2 3 2 10 3 3" xfId="37422"/>
    <cellStyle name="40% - Accent4 2 3 2 10 4" xfId="12217"/>
    <cellStyle name="40% - Accent4 2 3 2 10 4 2" xfId="19836"/>
    <cellStyle name="40% - Accent4 2 3 2 10 4 2 2" xfId="48697"/>
    <cellStyle name="40% - Accent4 2 3 2 10 4 3" xfId="41078"/>
    <cellStyle name="40% - Accent4 2 3 2 10 5" xfId="17156"/>
    <cellStyle name="40% - Accent4 2 3 2 10 5 2" xfId="46017"/>
    <cellStyle name="40% - Accent4 2 3 2 10 6" xfId="31381"/>
    <cellStyle name="40% - Accent4 2 3 2 11" xfId="2728"/>
    <cellStyle name="40% - Accent4 2 3 2 11 2" xfId="5614"/>
    <cellStyle name="40% - Accent4 2 3 2 11 2 2" xfId="11655"/>
    <cellStyle name="40% - Accent4 2 3 2 11 2 2 2" xfId="28702"/>
    <cellStyle name="40% - Accent4 2 3 2 11 2 2 2 2" xfId="57563"/>
    <cellStyle name="40% - Accent4 2 3 2 11 2 2 3" xfId="40516"/>
    <cellStyle name="40% - Accent4 2 3 2 11 2 3" xfId="22724"/>
    <cellStyle name="40% - Accent4 2 3 2 11 2 3 2" xfId="51585"/>
    <cellStyle name="40% - Accent4 2 3 2 11 2 4" xfId="34475"/>
    <cellStyle name="40% - Accent4 2 3 2 11 3" xfId="8769"/>
    <cellStyle name="40% - Accent4 2 3 2 11 3 2" xfId="25816"/>
    <cellStyle name="40% - Accent4 2 3 2 11 3 2 2" xfId="54677"/>
    <cellStyle name="40% - Accent4 2 3 2 11 3 3" xfId="37630"/>
    <cellStyle name="40% - Accent4 2 3 2 11 4" xfId="13471"/>
    <cellStyle name="40% - Accent4 2 3 2 11 4 2" xfId="20044"/>
    <cellStyle name="40% - Accent4 2 3 2 11 4 2 2" xfId="48905"/>
    <cellStyle name="40% - Accent4 2 3 2 11 4 3" xfId="42332"/>
    <cellStyle name="40% - Accent4 2 3 2 11 5" xfId="17364"/>
    <cellStyle name="40% - Accent4 2 3 2 11 5 2" xfId="46225"/>
    <cellStyle name="40% - Accent4 2 3 2 11 6" xfId="31589"/>
    <cellStyle name="40% - Accent4 2 3 2 12" xfId="3243"/>
    <cellStyle name="40% - Accent4 2 3 2 12 2" xfId="9284"/>
    <cellStyle name="40% - Accent4 2 3 2 12 2 2" xfId="26331"/>
    <cellStyle name="40% - Accent4 2 3 2 12 2 2 2" xfId="55192"/>
    <cellStyle name="40% - Accent4 2 3 2 12 2 3" xfId="38145"/>
    <cellStyle name="40% - Accent4 2 3 2 12 3" xfId="12758"/>
    <cellStyle name="40% - Accent4 2 3 2 12 3 2" xfId="20353"/>
    <cellStyle name="40% - Accent4 2 3 2 12 3 2 2" xfId="49214"/>
    <cellStyle name="40% - Accent4 2 3 2 12 3 3" xfId="41619"/>
    <cellStyle name="40% - Accent4 2 3 2 12 4" xfId="14993"/>
    <cellStyle name="40% - Accent4 2 3 2 12 4 2" xfId="43854"/>
    <cellStyle name="40% - Accent4 2 3 2 12 5" xfId="32104"/>
    <cellStyle name="40% - Accent4 2 3 2 13" xfId="2934"/>
    <cellStyle name="40% - Accent4 2 3 2 13 2" xfId="8975"/>
    <cellStyle name="40% - Accent4 2 3 2 13 2 2" xfId="26022"/>
    <cellStyle name="40% - Accent4 2 3 2 13 2 2 2" xfId="54883"/>
    <cellStyle name="40% - Accent4 2 3 2 13 2 3" xfId="37836"/>
    <cellStyle name="40% - Accent4 2 3 2 13 3" xfId="17570"/>
    <cellStyle name="40% - Accent4 2 3 2 13 3 2" xfId="46431"/>
    <cellStyle name="40% - Accent4 2 3 2 13 4" xfId="31795"/>
    <cellStyle name="40% - Accent4 2 3 2 14" xfId="5820"/>
    <cellStyle name="40% - Accent4 2 3 2 14 2" xfId="11861"/>
    <cellStyle name="40% - Accent4 2 3 2 14 2 2" xfId="28908"/>
    <cellStyle name="40% - Accent4 2 3 2 14 2 2 2" xfId="57769"/>
    <cellStyle name="40% - Accent4 2 3 2 14 2 3" xfId="40722"/>
    <cellStyle name="40% - Accent4 2 3 2 14 3" xfId="22930"/>
    <cellStyle name="40% - Accent4 2 3 2 14 3 2" xfId="51791"/>
    <cellStyle name="40% - Accent4 2 3 2 14 4" xfId="34681"/>
    <cellStyle name="40% - Accent4 2 3 2 15" xfId="6037"/>
    <cellStyle name="40% - Accent4 2 3 2 15 2" xfId="23136"/>
    <cellStyle name="40% - Accent4 2 3 2 15 2 2" xfId="51997"/>
    <cellStyle name="40% - Accent4 2 3 2 15 3" xfId="34898"/>
    <cellStyle name="40% - Accent4 2 3 2 16" xfId="6398"/>
    <cellStyle name="40% - Accent4 2 3 2 16 2" xfId="23445"/>
    <cellStyle name="40% - Accent4 2 3 2 16 2 2" xfId="52306"/>
    <cellStyle name="40% - Accent4 2 3 2 16 3" xfId="35259"/>
    <cellStyle name="40% - Accent4 2 3 2 17" xfId="14684"/>
    <cellStyle name="40% - Accent4 2 3 2 17 2" xfId="43545"/>
    <cellStyle name="40% - Accent4 2 3 2 18" xfId="29218"/>
    <cellStyle name="40% - Accent4 2 3 2 2" xfId="562"/>
    <cellStyle name="40% - Accent4 2 3 2 2 2" xfId="2313"/>
    <cellStyle name="40% - Accent4 2 3 2 2 2 2" xfId="5200"/>
    <cellStyle name="40% - Accent4 2 3 2 2 2 2 2" xfId="11241"/>
    <cellStyle name="40% - Accent4 2 3 2 2 2 2 2 2" xfId="28288"/>
    <cellStyle name="40% - Accent4 2 3 2 2 2 2 2 2 2" xfId="57149"/>
    <cellStyle name="40% - Accent4 2 3 2 2 2 2 2 3" xfId="40102"/>
    <cellStyle name="40% - Accent4 2 3 2 2 2 2 3" xfId="22310"/>
    <cellStyle name="40% - Accent4 2 3 2 2 2 2 3 2" xfId="51171"/>
    <cellStyle name="40% - Accent4 2 3 2 2 2 2 4" xfId="34061"/>
    <cellStyle name="40% - Accent4 2 3 2 2 2 3" xfId="8355"/>
    <cellStyle name="40% - Accent4 2 3 2 2 2 3 2" xfId="25402"/>
    <cellStyle name="40% - Accent4 2 3 2 2 2 3 2 2" xfId="54263"/>
    <cellStyle name="40% - Accent4 2 3 2 2 2 3 3" xfId="37216"/>
    <cellStyle name="40% - Accent4 2 3 2 2 2 4" xfId="13121"/>
    <cellStyle name="40% - Accent4 2 3 2 2 2 4 2" xfId="19630"/>
    <cellStyle name="40% - Accent4 2 3 2 2 2 4 2 2" xfId="48491"/>
    <cellStyle name="40% - Accent4 2 3 2 2 2 4 3" xfId="41982"/>
    <cellStyle name="40% - Accent4 2 3 2 2 2 5" xfId="16950"/>
    <cellStyle name="40% - Accent4 2 3 2 2 2 5 2" xfId="45811"/>
    <cellStyle name="40% - Accent4 2 3 2 2 2 6" xfId="31175"/>
    <cellStyle name="40% - Accent4 2 3 2 2 3" xfId="3449"/>
    <cellStyle name="40% - Accent4 2 3 2 2 3 2" xfId="9490"/>
    <cellStyle name="40% - Accent4 2 3 2 2 3 2 2" xfId="26537"/>
    <cellStyle name="40% - Accent4 2 3 2 2 3 2 2 2" xfId="55398"/>
    <cellStyle name="40% - Accent4 2 3 2 2 3 2 3" xfId="38351"/>
    <cellStyle name="40% - Accent4 2 3 2 2 3 3" xfId="20559"/>
    <cellStyle name="40% - Accent4 2 3 2 2 3 3 2" xfId="49420"/>
    <cellStyle name="40% - Accent4 2 3 2 2 3 4" xfId="32310"/>
    <cellStyle name="40% - Accent4 2 3 2 2 4" xfId="6604"/>
    <cellStyle name="40% - Accent4 2 3 2 2 4 2" xfId="23651"/>
    <cellStyle name="40% - Accent4 2 3 2 2 4 2 2" xfId="52512"/>
    <cellStyle name="40% - Accent4 2 3 2 2 4 3" xfId="35465"/>
    <cellStyle name="40% - Accent4 2 3 2 2 5" xfId="14182"/>
    <cellStyle name="40% - Accent4 2 3 2 2 5 2" xfId="17879"/>
    <cellStyle name="40% - Accent4 2 3 2 2 5 2 2" xfId="46740"/>
    <cellStyle name="40% - Accent4 2 3 2 2 5 3" xfId="43043"/>
    <cellStyle name="40% - Accent4 2 3 2 2 6" xfId="15199"/>
    <cellStyle name="40% - Accent4 2 3 2 2 6 2" xfId="44060"/>
    <cellStyle name="40% - Accent4 2 3 2 2 7" xfId="29424"/>
    <cellStyle name="40% - Accent4 2 3 2 3" xfId="871"/>
    <cellStyle name="40% - Accent4 2 3 2 3 2" xfId="3758"/>
    <cellStyle name="40% - Accent4 2 3 2 3 2 2" xfId="9799"/>
    <cellStyle name="40% - Accent4 2 3 2 3 2 2 2" xfId="26846"/>
    <cellStyle name="40% - Accent4 2 3 2 3 2 2 2 2" xfId="55707"/>
    <cellStyle name="40% - Accent4 2 3 2 3 2 2 3" xfId="38660"/>
    <cellStyle name="40% - Accent4 2 3 2 3 2 3" xfId="20868"/>
    <cellStyle name="40% - Accent4 2 3 2 3 2 3 2" xfId="49729"/>
    <cellStyle name="40% - Accent4 2 3 2 3 2 4" xfId="32619"/>
    <cellStyle name="40% - Accent4 2 3 2 3 3" xfId="6913"/>
    <cellStyle name="40% - Accent4 2 3 2 3 3 2" xfId="23960"/>
    <cellStyle name="40% - Accent4 2 3 2 3 3 2 2" xfId="52821"/>
    <cellStyle name="40% - Accent4 2 3 2 3 3 3" xfId="35774"/>
    <cellStyle name="40% - Accent4 2 3 2 3 4" xfId="14005"/>
    <cellStyle name="40% - Accent4 2 3 2 3 4 2" xfId="18188"/>
    <cellStyle name="40% - Accent4 2 3 2 3 4 2 2" xfId="47049"/>
    <cellStyle name="40% - Accent4 2 3 2 3 4 3" xfId="42866"/>
    <cellStyle name="40% - Accent4 2 3 2 3 5" xfId="15508"/>
    <cellStyle name="40% - Accent4 2 3 2 3 5 2" xfId="44369"/>
    <cellStyle name="40% - Accent4 2 3 2 3 6" xfId="29733"/>
    <cellStyle name="40% - Accent4 2 3 2 4" xfId="1077"/>
    <cellStyle name="40% - Accent4 2 3 2 4 2" xfId="3964"/>
    <cellStyle name="40% - Accent4 2 3 2 4 2 2" xfId="10005"/>
    <cellStyle name="40% - Accent4 2 3 2 4 2 2 2" xfId="27052"/>
    <cellStyle name="40% - Accent4 2 3 2 4 2 2 2 2" xfId="55913"/>
    <cellStyle name="40% - Accent4 2 3 2 4 2 2 3" xfId="38866"/>
    <cellStyle name="40% - Accent4 2 3 2 4 2 3" xfId="21074"/>
    <cellStyle name="40% - Accent4 2 3 2 4 2 3 2" xfId="49935"/>
    <cellStyle name="40% - Accent4 2 3 2 4 2 4" xfId="32825"/>
    <cellStyle name="40% - Accent4 2 3 2 4 3" xfId="7119"/>
    <cellStyle name="40% - Accent4 2 3 2 4 3 2" xfId="24166"/>
    <cellStyle name="40% - Accent4 2 3 2 4 3 2 2" xfId="53027"/>
    <cellStyle name="40% - Accent4 2 3 2 4 3 3" xfId="35980"/>
    <cellStyle name="40% - Accent4 2 3 2 4 4" xfId="12396"/>
    <cellStyle name="40% - Accent4 2 3 2 4 4 2" xfId="18394"/>
    <cellStyle name="40% - Accent4 2 3 2 4 4 2 2" xfId="47255"/>
    <cellStyle name="40% - Accent4 2 3 2 4 4 3" xfId="41257"/>
    <cellStyle name="40% - Accent4 2 3 2 4 5" xfId="15714"/>
    <cellStyle name="40% - Accent4 2 3 2 4 5 2" xfId="44575"/>
    <cellStyle name="40% - Accent4 2 3 2 4 6" xfId="29939"/>
    <cellStyle name="40% - Accent4 2 3 2 5" xfId="1283"/>
    <cellStyle name="40% - Accent4 2 3 2 5 2" xfId="4170"/>
    <cellStyle name="40% - Accent4 2 3 2 5 2 2" xfId="10211"/>
    <cellStyle name="40% - Accent4 2 3 2 5 2 2 2" xfId="27258"/>
    <cellStyle name="40% - Accent4 2 3 2 5 2 2 2 2" xfId="56119"/>
    <cellStyle name="40% - Accent4 2 3 2 5 2 2 3" xfId="39072"/>
    <cellStyle name="40% - Accent4 2 3 2 5 2 3" xfId="21280"/>
    <cellStyle name="40% - Accent4 2 3 2 5 2 3 2" xfId="50141"/>
    <cellStyle name="40% - Accent4 2 3 2 5 2 4" xfId="33031"/>
    <cellStyle name="40% - Accent4 2 3 2 5 3" xfId="7325"/>
    <cellStyle name="40% - Accent4 2 3 2 5 3 2" xfId="24372"/>
    <cellStyle name="40% - Accent4 2 3 2 5 3 2 2" xfId="53233"/>
    <cellStyle name="40% - Accent4 2 3 2 5 3 3" xfId="36186"/>
    <cellStyle name="40% - Accent4 2 3 2 5 4" xfId="12058"/>
    <cellStyle name="40% - Accent4 2 3 2 5 4 2" xfId="18600"/>
    <cellStyle name="40% - Accent4 2 3 2 5 4 2 2" xfId="47461"/>
    <cellStyle name="40% - Accent4 2 3 2 5 4 3" xfId="40919"/>
    <cellStyle name="40% - Accent4 2 3 2 5 5" xfId="15920"/>
    <cellStyle name="40% - Accent4 2 3 2 5 5 2" xfId="44781"/>
    <cellStyle name="40% - Accent4 2 3 2 5 6" xfId="30145"/>
    <cellStyle name="40% - Accent4 2 3 2 6" xfId="1489"/>
    <cellStyle name="40% - Accent4 2 3 2 6 2" xfId="4376"/>
    <cellStyle name="40% - Accent4 2 3 2 6 2 2" xfId="10417"/>
    <cellStyle name="40% - Accent4 2 3 2 6 2 2 2" xfId="27464"/>
    <cellStyle name="40% - Accent4 2 3 2 6 2 2 2 2" xfId="56325"/>
    <cellStyle name="40% - Accent4 2 3 2 6 2 2 3" xfId="39278"/>
    <cellStyle name="40% - Accent4 2 3 2 6 2 3" xfId="21486"/>
    <cellStyle name="40% - Accent4 2 3 2 6 2 3 2" xfId="50347"/>
    <cellStyle name="40% - Accent4 2 3 2 6 2 4" xfId="33237"/>
    <cellStyle name="40% - Accent4 2 3 2 6 3" xfId="7531"/>
    <cellStyle name="40% - Accent4 2 3 2 6 3 2" xfId="24578"/>
    <cellStyle name="40% - Accent4 2 3 2 6 3 2 2" xfId="53439"/>
    <cellStyle name="40% - Accent4 2 3 2 6 3 3" xfId="36392"/>
    <cellStyle name="40% - Accent4 2 3 2 6 4" xfId="12399"/>
    <cellStyle name="40% - Accent4 2 3 2 6 4 2" xfId="18806"/>
    <cellStyle name="40% - Accent4 2 3 2 6 4 2 2" xfId="47667"/>
    <cellStyle name="40% - Accent4 2 3 2 6 4 3" xfId="41260"/>
    <cellStyle name="40% - Accent4 2 3 2 6 5" xfId="16126"/>
    <cellStyle name="40% - Accent4 2 3 2 6 5 2" xfId="44987"/>
    <cellStyle name="40% - Accent4 2 3 2 6 6" xfId="30351"/>
    <cellStyle name="40% - Accent4 2 3 2 7" xfId="1695"/>
    <cellStyle name="40% - Accent4 2 3 2 7 2" xfId="4582"/>
    <cellStyle name="40% - Accent4 2 3 2 7 2 2" xfId="10623"/>
    <cellStyle name="40% - Accent4 2 3 2 7 2 2 2" xfId="27670"/>
    <cellStyle name="40% - Accent4 2 3 2 7 2 2 2 2" xfId="56531"/>
    <cellStyle name="40% - Accent4 2 3 2 7 2 2 3" xfId="39484"/>
    <cellStyle name="40% - Accent4 2 3 2 7 2 3" xfId="21692"/>
    <cellStyle name="40% - Accent4 2 3 2 7 2 3 2" xfId="50553"/>
    <cellStyle name="40% - Accent4 2 3 2 7 2 4" xfId="33443"/>
    <cellStyle name="40% - Accent4 2 3 2 7 3" xfId="7737"/>
    <cellStyle name="40% - Accent4 2 3 2 7 3 2" xfId="24784"/>
    <cellStyle name="40% - Accent4 2 3 2 7 3 2 2" xfId="53645"/>
    <cellStyle name="40% - Accent4 2 3 2 7 3 3" xfId="36598"/>
    <cellStyle name="40% - Accent4 2 3 2 7 4" xfId="13539"/>
    <cellStyle name="40% - Accent4 2 3 2 7 4 2" xfId="19012"/>
    <cellStyle name="40% - Accent4 2 3 2 7 4 2 2" xfId="47873"/>
    <cellStyle name="40% - Accent4 2 3 2 7 4 3" xfId="42400"/>
    <cellStyle name="40% - Accent4 2 3 2 7 5" xfId="16332"/>
    <cellStyle name="40% - Accent4 2 3 2 7 5 2" xfId="45193"/>
    <cellStyle name="40% - Accent4 2 3 2 7 6" xfId="30557"/>
    <cellStyle name="40% - Accent4 2 3 2 8" xfId="1901"/>
    <cellStyle name="40% - Accent4 2 3 2 8 2" xfId="4788"/>
    <cellStyle name="40% - Accent4 2 3 2 8 2 2" xfId="10829"/>
    <cellStyle name="40% - Accent4 2 3 2 8 2 2 2" xfId="27876"/>
    <cellStyle name="40% - Accent4 2 3 2 8 2 2 2 2" xfId="56737"/>
    <cellStyle name="40% - Accent4 2 3 2 8 2 2 3" xfId="39690"/>
    <cellStyle name="40% - Accent4 2 3 2 8 2 3" xfId="21898"/>
    <cellStyle name="40% - Accent4 2 3 2 8 2 3 2" xfId="50759"/>
    <cellStyle name="40% - Accent4 2 3 2 8 2 4" xfId="33649"/>
    <cellStyle name="40% - Accent4 2 3 2 8 3" xfId="7943"/>
    <cellStyle name="40% - Accent4 2 3 2 8 3 2" xfId="24990"/>
    <cellStyle name="40% - Accent4 2 3 2 8 3 2 2" xfId="53851"/>
    <cellStyle name="40% - Accent4 2 3 2 8 3 3" xfId="36804"/>
    <cellStyle name="40% - Accent4 2 3 2 8 4" xfId="13704"/>
    <cellStyle name="40% - Accent4 2 3 2 8 4 2" xfId="19218"/>
    <cellStyle name="40% - Accent4 2 3 2 8 4 2 2" xfId="48079"/>
    <cellStyle name="40% - Accent4 2 3 2 8 4 3" xfId="42565"/>
    <cellStyle name="40% - Accent4 2 3 2 8 5" xfId="16538"/>
    <cellStyle name="40% - Accent4 2 3 2 8 5 2" xfId="45399"/>
    <cellStyle name="40% - Accent4 2 3 2 8 6" xfId="30763"/>
    <cellStyle name="40% - Accent4 2 3 2 9" xfId="2107"/>
    <cellStyle name="40% - Accent4 2 3 2 9 2" xfId="4994"/>
    <cellStyle name="40% - Accent4 2 3 2 9 2 2" xfId="11035"/>
    <cellStyle name="40% - Accent4 2 3 2 9 2 2 2" xfId="28082"/>
    <cellStyle name="40% - Accent4 2 3 2 9 2 2 2 2" xfId="56943"/>
    <cellStyle name="40% - Accent4 2 3 2 9 2 2 3" xfId="39896"/>
    <cellStyle name="40% - Accent4 2 3 2 9 2 3" xfId="22104"/>
    <cellStyle name="40% - Accent4 2 3 2 9 2 3 2" xfId="50965"/>
    <cellStyle name="40% - Accent4 2 3 2 9 2 4" xfId="33855"/>
    <cellStyle name="40% - Accent4 2 3 2 9 3" xfId="8149"/>
    <cellStyle name="40% - Accent4 2 3 2 9 3 2" xfId="25196"/>
    <cellStyle name="40% - Accent4 2 3 2 9 3 2 2" xfId="54057"/>
    <cellStyle name="40% - Accent4 2 3 2 9 3 3" xfId="37010"/>
    <cellStyle name="40% - Accent4 2 3 2 9 4" xfId="12828"/>
    <cellStyle name="40% - Accent4 2 3 2 9 4 2" xfId="19424"/>
    <cellStyle name="40% - Accent4 2 3 2 9 4 2 2" xfId="48285"/>
    <cellStyle name="40% - Accent4 2 3 2 9 4 3" xfId="41689"/>
    <cellStyle name="40% - Accent4 2 3 2 9 5" xfId="16744"/>
    <cellStyle name="40% - Accent4 2 3 2 9 5 2" xfId="45605"/>
    <cellStyle name="40% - Accent4 2 3 2 9 6" xfId="30969"/>
    <cellStyle name="40% - Accent4 2 3 20" xfId="29012"/>
    <cellStyle name="40% - Accent4 2 3 3" xfId="253"/>
    <cellStyle name="40% - Accent4 2 3 3 2" xfId="665"/>
    <cellStyle name="40% - Accent4 2 3 3 2 2" xfId="3552"/>
    <cellStyle name="40% - Accent4 2 3 3 2 2 2" xfId="9593"/>
    <cellStyle name="40% - Accent4 2 3 3 2 2 2 2" xfId="26640"/>
    <cellStyle name="40% - Accent4 2 3 3 2 2 2 2 2" xfId="55501"/>
    <cellStyle name="40% - Accent4 2 3 3 2 2 2 3" xfId="38454"/>
    <cellStyle name="40% - Accent4 2 3 3 2 2 3" xfId="20662"/>
    <cellStyle name="40% - Accent4 2 3 3 2 2 3 2" xfId="49523"/>
    <cellStyle name="40% - Accent4 2 3 3 2 2 4" xfId="32413"/>
    <cellStyle name="40% - Accent4 2 3 3 2 3" xfId="6707"/>
    <cellStyle name="40% - Accent4 2 3 3 2 3 2" xfId="23754"/>
    <cellStyle name="40% - Accent4 2 3 3 2 3 2 2" xfId="52615"/>
    <cellStyle name="40% - Accent4 2 3 3 2 3 3" xfId="35568"/>
    <cellStyle name="40% - Accent4 2 3 3 2 4" xfId="12162"/>
    <cellStyle name="40% - Accent4 2 3 3 2 4 2" xfId="17982"/>
    <cellStyle name="40% - Accent4 2 3 3 2 4 2 2" xfId="46843"/>
    <cellStyle name="40% - Accent4 2 3 3 2 4 3" xfId="41023"/>
    <cellStyle name="40% - Accent4 2 3 3 2 5" xfId="15302"/>
    <cellStyle name="40% - Accent4 2 3 3 2 5 2" xfId="44163"/>
    <cellStyle name="40% - Accent4 2 3 3 2 6" xfId="29527"/>
    <cellStyle name="40% - Accent4 2 3 3 3" xfId="2210"/>
    <cellStyle name="40% - Accent4 2 3 3 3 2" xfId="5097"/>
    <cellStyle name="40% - Accent4 2 3 3 3 2 2" xfId="11138"/>
    <cellStyle name="40% - Accent4 2 3 3 3 2 2 2" xfId="28185"/>
    <cellStyle name="40% - Accent4 2 3 3 3 2 2 2 2" xfId="57046"/>
    <cellStyle name="40% - Accent4 2 3 3 3 2 2 3" xfId="39999"/>
    <cellStyle name="40% - Accent4 2 3 3 3 2 3" xfId="22207"/>
    <cellStyle name="40% - Accent4 2 3 3 3 2 3 2" xfId="51068"/>
    <cellStyle name="40% - Accent4 2 3 3 3 2 4" xfId="33958"/>
    <cellStyle name="40% - Accent4 2 3 3 3 3" xfId="8252"/>
    <cellStyle name="40% - Accent4 2 3 3 3 3 2" xfId="25299"/>
    <cellStyle name="40% - Accent4 2 3 3 3 3 2 2" xfId="54160"/>
    <cellStyle name="40% - Accent4 2 3 3 3 3 3" xfId="37113"/>
    <cellStyle name="40% - Accent4 2 3 3 3 4" xfId="13132"/>
    <cellStyle name="40% - Accent4 2 3 3 3 4 2" xfId="19527"/>
    <cellStyle name="40% - Accent4 2 3 3 3 4 2 2" xfId="48388"/>
    <cellStyle name="40% - Accent4 2 3 3 3 4 3" xfId="41993"/>
    <cellStyle name="40% - Accent4 2 3 3 3 5" xfId="16847"/>
    <cellStyle name="40% - Accent4 2 3 3 3 5 2" xfId="45708"/>
    <cellStyle name="40% - Accent4 2 3 3 3 6" xfId="31072"/>
    <cellStyle name="40% - Accent4 2 3 3 4" xfId="3140"/>
    <cellStyle name="40% - Accent4 2 3 3 4 2" xfId="9181"/>
    <cellStyle name="40% - Accent4 2 3 3 4 2 2" xfId="26228"/>
    <cellStyle name="40% - Accent4 2 3 3 4 2 2 2" xfId="55089"/>
    <cellStyle name="40% - Accent4 2 3 3 4 2 3" xfId="38042"/>
    <cellStyle name="40% - Accent4 2 3 3 4 3" xfId="20250"/>
    <cellStyle name="40% - Accent4 2 3 3 4 3 2" xfId="49111"/>
    <cellStyle name="40% - Accent4 2 3 3 4 4" xfId="32001"/>
    <cellStyle name="40% - Accent4 2 3 3 5" xfId="6295"/>
    <cellStyle name="40% - Accent4 2 3 3 5 2" xfId="23342"/>
    <cellStyle name="40% - Accent4 2 3 3 5 2 2" xfId="52203"/>
    <cellStyle name="40% - Accent4 2 3 3 5 3" xfId="35156"/>
    <cellStyle name="40% - Accent4 2 3 3 6" xfId="14411"/>
    <cellStyle name="40% - Accent4 2 3 3 6 2" xfId="17673"/>
    <cellStyle name="40% - Accent4 2 3 3 6 2 2" xfId="46534"/>
    <cellStyle name="40% - Accent4 2 3 3 6 3" xfId="43272"/>
    <cellStyle name="40% - Accent4 2 3 3 7" xfId="14890"/>
    <cellStyle name="40% - Accent4 2 3 3 7 2" xfId="43751"/>
    <cellStyle name="40% - Accent4 2 3 3 8" xfId="29115"/>
    <cellStyle name="40% - Accent4 2 3 4" xfId="459"/>
    <cellStyle name="40% - Accent4 2 3 4 2" xfId="3346"/>
    <cellStyle name="40% - Accent4 2 3 4 2 2" xfId="9387"/>
    <cellStyle name="40% - Accent4 2 3 4 2 2 2" xfId="26434"/>
    <cellStyle name="40% - Accent4 2 3 4 2 2 2 2" xfId="55295"/>
    <cellStyle name="40% - Accent4 2 3 4 2 2 3" xfId="38248"/>
    <cellStyle name="40% - Accent4 2 3 4 2 3" xfId="20456"/>
    <cellStyle name="40% - Accent4 2 3 4 2 3 2" xfId="49317"/>
    <cellStyle name="40% - Accent4 2 3 4 2 4" xfId="32207"/>
    <cellStyle name="40% - Accent4 2 3 4 3" xfId="6501"/>
    <cellStyle name="40% - Accent4 2 3 4 3 2" xfId="23548"/>
    <cellStyle name="40% - Accent4 2 3 4 3 2 2" xfId="52409"/>
    <cellStyle name="40% - Accent4 2 3 4 3 3" xfId="35362"/>
    <cellStyle name="40% - Accent4 2 3 4 4" xfId="13091"/>
    <cellStyle name="40% - Accent4 2 3 4 4 2" xfId="17776"/>
    <cellStyle name="40% - Accent4 2 3 4 4 2 2" xfId="46637"/>
    <cellStyle name="40% - Accent4 2 3 4 4 3" xfId="41952"/>
    <cellStyle name="40% - Accent4 2 3 4 5" xfId="15096"/>
    <cellStyle name="40% - Accent4 2 3 4 5 2" xfId="43957"/>
    <cellStyle name="40% - Accent4 2 3 4 6" xfId="29321"/>
    <cellStyle name="40% - Accent4 2 3 5" xfId="768"/>
    <cellStyle name="40% - Accent4 2 3 5 2" xfId="3655"/>
    <cellStyle name="40% - Accent4 2 3 5 2 2" xfId="9696"/>
    <cellStyle name="40% - Accent4 2 3 5 2 2 2" xfId="26743"/>
    <cellStyle name="40% - Accent4 2 3 5 2 2 2 2" xfId="55604"/>
    <cellStyle name="40% - Accent4 2 3 5 2 2 3" xfId="38557"/>
    <cellStyle name="40% - Accent4 2 3 5 2 3" xfId="20765"/>
    <cellStyle name="40% - Accent4 2 3 5 2 3 2" xfId="49626"/>
    <cellStyle name="40% - Accent4 2 3 5 2 4" xfId="32516"/>
    <cellStyle name="40% - Accent4 2 3 5 3" xfId="6810"/>
    <cellStyle name="40% - Accent4 2 3 5 3 2" xfId="23857"/>
    <cellStyle name="40% - Accent4 2 3 5 3 2 2" xfId="52718"/>
    <cellStyle name="40% - Accent4 2 3 5 3 3" xfId="35671"/>
    <cellStyle name="40% - Accent4 2 3 5 4" xfId="13457"/>
    <cellStyle name="40% - Accent4 2 3 5 4 2" xfId="18085"/>
    <cellStyle name="40% - Accent4 2 3 5 4 2 2" xfId="46946"/>
    <cellStyle name="40% - Accent4 2 3 5 4 3" xfId="42318"/>
    <cellStyle name="40% - Accent4 2 3 5 5" xfId="15405"/>
    <cellStyle name="40% - Accent4 2 3 5 5 2" xfId="44266"/>
    <cellStyle name="40% - Accent4 2 3 5 6" xfId="29630"/>
    <cellStyle name="40% - Accent4 2 3 6" xfId="974"/>
    <cellStyle name="40% - Accent4 2 3 6 2" xfId="3861"/>
    <cellStyle name="40% - Accent4 2 3 6 2 2" xfId="9902"/>
    <cellStyle name="40% - Accent4 2 3 6 2 2 2" xfId="26949"/>
    <cellStyle name="40% - Accent4 2 3 6 2 2 2 2" xfId="55810"/>
    <cellStyle name="40% - Accent4 2 3 6 2 2 3" xfId="38763"/>
    <cellStyle name="40% - Accent4 2 3 6 2 3" xfId="20971"/>
    <cellStyle name="40% - Accent4 2 3 6 2 3 2" xfId="49832"/>
    <cellStyle name="40% - Accent4 2 3 6 2 4" xfId="32722"/>
    <cellStyle name="40% - Accent4 2 3 6 3" xfId="7016"/>
    <cellStyle name="40% - Accent4 2 3 6 3 2" xfId="24063"/>
    <cellStyle name="40% - Accent4 2 3 6 3 2 2" xfId="52924"/>
    <cellStyle name="40% - Accent4 2 3 6 3 3" xfId="35877"/>
    <cellStyle name="40% - Accent4 2 3 6 4" xfId="14262"/>
    <cellStyle name="40% - Accent4 2 3 6 4 2" xfId="18291"/>
    <cellStyle name="40% - Accent4 2 3 6 4 2 2" xfId="47152"/>
    <cellStyle name="40% - Accent4 2 3 6 4 3" xfId="43123"/>
    <cellStyle name="40% - Accent4 2 3 6 5" xfId="15611"/>
    <cellStyle name="40% - Accent4 2 3 6 5 2" xfId="44472"/>
    <cellStyle name="40% - Accent4 2 3 6 6" xfId="29836"/>
    <cellStyle name="40% - Accent4 2 3 7" xfId="1180"/>
    <cellStyle name="40% - Accent4 2 3 7 2" xfId="4067"/>
    <cellStyle name="40% - Accent4 2 3 7 2 2" xfId="10108"/>
    <cellStyle name="40% - Accent4 2 3 7 2 2 2" xfId="27155"/>
    <cellStyle name="40% - Accent4 2 3 7 2 2 2 2" xfId="56016"/>
    <cellStyle name="40% - Accent4 2 3 7 2 2 3" xfId="38969"/>
    <cellStyle name="40% - Accent4 2 3 7 2 3" xfId="21177"/>
    <cellStyle name="40% - Accent4 2 3 7 2 3 2" xfId="50038"/>
    <cellStyle name="40% - Accent4 2 3 7 2 4" xfId="32928"/>
    <cellStyle name="40% - Accent4 2 3 7 3" xfId="7222"/>
    <cellStyle name="40% - Accent4 2 3 7 3 2" xfId="24269"/>
    <cellStyle name="40% - Accent4 2 3 7 3 2 2" xfId="53130"/>
    <cellStyle name="40% - Accent4 2 3 7 3 3" xfId="36083"/>
    <cellStyle name="40% - Accent4 2 3 7 4" xfId="12045"/>
    <cellStyle name="40% - Accent4 2 3 7 4 2" xfId="18497"/>
    <cellStyle name="40% - Accent4 2 3 7 4 2 2" xfId="47358"/>
    <cellStyle name="40% - Accent4 2 3 7 4 3" xfId="40906"/>
    <cellStyle name="40% - Accent4 2 3 7 5" xfId="15817"/>
    <cellStyle name="40% - Accent4 2 3 7 5 2" xfId="44678"/>
    <cellStyle name="40% - Accent4 2 3 7 6" xfId="30042"/>
    <cellStyle name="40% - Accent4 2 3 8" xfId="1386"/>
    <cellStyle name="40% - Accent4 2 3 8 2" xfId="4273"/>
    <cellStyle name="40% - Accent4 2 3 8 2 2" xfId="10314"/>
    <cellStyle name="40% - Accent4 2 3 8 2 2 2" xfId="27361"/>
    <cellStyle name="40% - Accent4 2 3 8 2 2 2 2" xfId="56222"/>
    <cellStyle name="40% - Accent4 2 3 8 2 2 3" xfId="39175"/>
    <cellStyle name="40% - Accent4 2 3 8 2 3" xfId="21383"/>
    <cellStyle name="40% - Accent4 2 3 8 2 3 2" xfId="50244"/>
    <cellStyle name="40% - Accent4 2 3 8 2 4" xfId="33134"/>
    <cellStyle name="40% - Accent4 2 3 8 3" xfId="7428"/>
    <cellStyle name="40% - Accent4 2 3 8 3 2" xfId="24475"/>
    <cellStyle name="40% - Accent4 2 3 8 3 2 2" xfId="53336"/>
    <cellStyle name="40% - Accent4 2 3 8 3 3" xfId="36289"/>
    <cellStyle name="40% - Accent4 2 3 8 4" xfId="12035"/>
    <cellStyle name="40% - Accent4 2 3 8 4 2" xfId="18703"/>
    <cellStyle name="40% - Accent4 2 3 8 4 2 2" xfId="47564"/>
    <cellStyle name="40% - Accent4 2 3 8 4 3" xfId="40896"/>
    <cellStyle name="40% - Accent4 2 3 8 5" xfId="16023"/>
    <cellStyle name="40% - Accent4 2 3 8 5 2" xfId="44884"/>
    <cellStyle name="40% - Accent4 2 3 8 6" xfId="30248"/>
    <cellStyle name="40% - Accent4 2 3 9" xfId="1592"/>
    <cellStyle name="40% - Accent4 2 3 9 2" xfId="4479"/>
    <cellStyle name="40% - Accent4 2 3 9 2 2" xfId="10520"/>
    <cellStyle name="40% - Accent4 2 3 9 2 2 2" xfId="27567"/>
    <cellStyle name="40% - Accent4 2 3 9 2 2 2 2" xfId="56428"/>
    <cellStyle name="40% - Accent4 2 3 9 2 2 3" xfId="39381"/>
    <cellStyle name="40% - Accent4 2 3 9 2 3" xfId="21589"/>
    <cellStyle name="40% - Accent4 2 3 9 2 3 2" xfId="50450"/>
    <cellStyle name="40% - Accent4 2 3 9 2 4" xfId="33340"/>
    <cellStyle name="40% - Accent4 2 3 9 3" xfId="7634"/>
    <cellStyle name="40% - Accent4 2 3 9 3 2" xfId="24681"/>
    <cellStyle name="40% - Accent4 2 3 9 3 2 2" xfId="53542"/>
    <cellStyle name="40% - Accent4 2 3 9 3 3" xfId="36495"/>
    <cellStyle name="40% - Accent4 2 3 9 4" xfId="12418"/>
    <cellStyle name="40% - Accent4 2 3 9 4 2" xfId="18909"/>
    <cellStyle name="40% - Accent4 2 3 9 4 2 2" xfId="47770"/>
    <cellStyle name="40% - Accent4 2 3 9 4 3" xfId="41279"/>
    <cellStyle name="40% - Accent4 2 3 9 5" xfId="16229"/>
    <cellStyle name="40% - Accent4 2 3 9 5 2" xfId="45090"/>
    <cellStyle name="40% - Accent4 2 3 9 6" xfId="30454"/>
    <cellStyle name="40% - Accent4 2 4" xfId="304"/>
    <cellStyle name="40% - Accent4 2 4 10" xfId="2467"/>
    <cellStyle name="40% - Accent4 2 4 10 2" xfId="5354"/>
    <cellStyle name="40% - Accent4 2 4 10 2 2" xfId="11395"/>
    <cellStyle name="40% - Accent4 2 4 10 2 2 2" xfId="28442"/>
    <cellStyle name="40% - Accent4 2 4 10 2 2 2 2" xfId="57303"/>
    <cellStyle name="40% - Accent4 2 4 10 2 2 3" xfId="40256"/>
    <cellStyle name="40% - Accent4 2 4 10 2 3" xfId="22464"/>
    <cellStyle name="40% - Accent4 2 4 10 2 3 2" xfId="51325"/>
    <cellStyle name="40% - Accent4 2 4 10 2 4" xfId="34215"/>
    <cellStyle name="40% - Accent4 2 4 10 3" xfId="8509"/>
    <cellStyle name="40% - Accent4 2 4 10 3 2" xfId="25556"/>
    <cellStyle name="40% - Accent4 2 4 10 3 2 2" xfId="54417"/>
    <cellStyle name="40% - Accent4 2 4 10 3 3" xfId="37370"/>
    <cellStyle name="40% - Accent4 2 4 10 4" xfId="12225"/>
    <cellStyle name="40% - Accent4 2 4 10 4 2" xfId="19784"/>
    <cellStyle name="40% - Accent4 2 4 10 4 2 2" xfId="48645"/>
    <cellStyle name="40% - Accent4 2 4 10 4 3" xfId="41086"/>
    <cellStyle name="40% - Accent4 2 4 10 5" xfId="17104"/>
    <cellStyle name="40% - Accent4 2 4 10 5 2" xfId="45965"/>
    <cellStyle name="40% - Accent4 2 4 10 6" xfId="31329"/>
    <cellStyle name="40% - Accent4 2 4 11" xfId="2676"/>
    <cellStyle name="40% - Accent4 2 4 11 2" xfId="5562"/>
    <cellStyle name="40% - Accent4 2 4 11 2 2" xfId="11603"/>
    <cellStyle name="40% - Accent4 2 4 11 2 2 2" xfId="28650"/>
    <cellStyle name="40% - Accent4 2 4 11 2 2 2 2" xfId="57511"/>
    <cellStyle name="40% - Accent4 2 4 11 2 2 3" xfId="40464"/>
    <cellStyle name="40% - Accent4 2 4 11 2 3" xfId="22672"/>
    <cellStyle name="40% - Accent4 2 4 11 2 3 2" xfId="51533"/>
    <cellStyle name="40% - Accent4 2 4 11 2 4" xfId="34423"/>
    <cellStyle name="40% - Accent4 2 4 11 3" xfId="8717"/>
    <cellStyle name="40% - Accent4 2 4 11 3 2" xfId="25764"/>
    <cellStyle name="40% - Accent4 2 4 11 3 2 2" xfId="54625"/>
    <cellStyle name="40% - Accent4 2 4 11 3 3" xfId="37578"/>
    <cellStyle name="40% - Accent4 2 4 11 4" xfId="13335"/>
    <cellStyle name="40% - Accent4 2 4 11 4 2" xfId="19992"/>
    <cellStyle name="40% - Accent4 2 4 11 4 2 2" xfId="48853"/>
    <cellStyle name="40% - Accent4 2 4 11 4 3" xfId="42196"/>
    <cellStyle name="40% - Accent4 2 4 11 5" xfId="17312"/>
    <cellStyle name="40% - Accent4 2 4 11 5 2" xfId="46173"/>
    <cellStyle name="40% - Accent4 2 4 11 6" xfId="31537"/>
    <cellStyle name="40% - Accent4 2 4 12" xfId="3191"/>
    <cellStyle name="40% - Accent4 2 4 12 2" xfId="9232"/>
    <cellStyle name="40% - Accent4 2 4 12 2 2" xfId="26279"/>
    <cellStyle name="40% - Accent4 2 4 12 2 2 2" xfId="55140"/>
    <cellStyle name="40% - Accent4 2 4 12 2 3" xfId="38093"/>
    <cellStyle name="40% - Accent4 2 4 12 3" xfId="12363"/>
    <cellStyle name="40% - Accent4 2 4 12 3 2" xfId="20301"/>
    <cellStyle name="40% - Accent4 2 4 12 3 2 2" xfId="49162"/>
    <cellStyle name="40% - Accent4 2 4 12 3 3" xfId="41224"/>
    <cellStyle name="40% - Accent4 2 4 12 4" xfId="14941"/>
    <cellStyle name="40% - Accent4 2 4 12 4 2" xfId="43802"/>
    <cellStyle name="40% - Accent4 2 4 12 5" xfId="32052"/>
    <cellStyle name="40% - Accent4 2 4 13" xfId="2882"/>
    <cellStyle name="40% - Accent4 2 4 13 2" xfId="8923"/>
    <cellStyle name="40% - Accent4 2 4 13 2 2" xfId="25970"/>
    <cellStyle name="40% - Accent4 2 4 13 2 2 2" xfId="54831"/>
    <cellStyle name="40% - Accent4 2 4 13 2 3" xfId="37784"/>
    <cellStyle name="40% - Accent4 2 4 13 3" xfId="17518"/>
    <cellStyle name="40% - Accent4 2 4 13 3 2" xfId="46379"/>
    <cellStyle name="40% - Accent4 2 4 13 4" xfId="31743"/>
    <cellStyle name="40% - Accent4 2 4 14" xfId="5768"/>
    <cellStyle name="40% - Accent4 2 4 14 2" xfId="11809"/>
    <cellStyle name="40% - Accent4 2 4 14 2 2" xfId="28856"/>
    <cellStyle name="40% - Accent4 2 4 14 2 2 2" xfId="57717"/>
    <cellStyle name="40% - Accent4 2 4 14 2 3" xfId="40670"/>
    <cellStyle name="40% - Accent4 2 4 14 3" xfId="22878"/>
    <cellStyle name="40% - Accent4 2 4 14 3 2" xfId="51739"/>
    <cellStyle name="40% - Accent4 2 4 14 4" xfId="34629"/>
    <cellStyle name="40% - Accent4 2 4 15" xfId="5985"/>
    <cellStyle name="40% - Accent4 2 4 15 2" xfId="23084"/>
    <cellStyle name="40% - Accent4 2 4 15 2 2" xfId="51945"/>
    <cellStyle name="40% - Accent4 2 4 15 3" xfId="34846"/>
    <cellStyle name="40% - Accent4 2 4 16" xfId="6346"/>
    <cellStyle name="40% - Accent4 2 4 16 2" xfId="23393"/>
    <cellStyle name="40% - Accent4 2 4 16 2 2" xfId="52254"/>
    <cellStyle name="40% - Accent4 2 4 16 3" xfId="35207"/>
    <cellStyle name="40% - Accent4 2 4 17" xfId="14632"/>
    <cellStyle name="40% - Accent4 2 4 17 2" xfId="43493"/>
    <cellStyle name="40% - Accent4 2 4 18" xfId="29166"/>
    <cellStyle name="40% - Accent4 2 4 2" xfId="510"/>
    <cellStyle name="40% - Accent4 2 4 2 2" xfId="2261"/>
    <cellStyle name="40% - Accent4 2 4 2 2 2" xfId="5148"/>
    <cellStyle name="40% - Accent4 2 4 2 2 2 2" xfId="11189"/>
    <cellStyle name="40% - Accent4 2 4 2 2 2 2 2" xfId="28236"/>
    <cellStyle name="40% - Accent4 2 4 2 2 2 2 2 2" xfId="57097"/>
    <cellStyle name="40% - Accent4 2 4 2 2 2 2 3" xfId="40050"/>
    <cellStyle name="40% - Accent4 2 4 2 2 2 3" xfId="22258"/>
    <cellStyle name="40% - Accent4 2 4 2 2 2 3 2" xfId="51119"/>
    <cellStyle name="40% - Accent4 2 4 2 2 2 4" xfId="34009"/>
    <cellStyle name="40% - Accent4 2 4 2 2 3" xfId="8303"/>
    <cellStyle name="40% - Accent4 2 4 2 2 3 2" xfId="25350"/>
    <cellStyle name="40% - Accent4 2 4 2 2 3 2 2" xfId="54211"/>
    <cellStyle name="40% - Accent4 2 4 2 2 3 3" xfId="37164"/>
    <cellStyle name="40% - Accent4 2 4 2 2 4" xfId="13795"/>
    <cellStyle name="40% - Accent4 2 4 2 2 4 2" xfId="19578"/>
    <cellStyle name="40% - Accent4 2 4 2 2 4 2 2" xfId="48439"/>
    <cellStyle name="40% - Accent4 2 4 2 2 4 3" xfId="42656"/>
    <cellStyle name="40% - Accent4 2 4 2 2 5" xfId="16898"/>
    <cellStyle name="40% - Accent4 2 4 2 2 5 2" xfId="45759"/>
    <cellStyle name="40% - Accent4 2 4 2 2 6" xfId="31123"/>
    <cellStyle name="40% - Accent4 2 4 2 3" xfId="3397"/>
    <cellStyle name="40% - Accent4 2 4 2 3 2" xfId="9438"/>
    <cellStyle name="40% - Accent4 2 4 2 3 2 2" xfId="26485"/>
    <cellStyle name="40% - Accent4 2 4 2 3 2 2 2" xfId="55346"/>
    <cellStyle name="40% - Accent4 2 4 2 3 2 3" xfId="38299"/>
    <cellStyle name="40% - Accent4 2 4 2 3 3" xfId="20507"/>
    <cellStyle name="40% - Accent4 2 4 2 3 3 2" xfId="49368"/>
    <cellStyle name="40% - Accent4 2 4 2 3 4" xfId="32258"/>
    <cellStyle name="40% - Accent4 2 4 2 4" xfId="6552"/>
    <cellStyle name="40% - Accent4 2 4 2 4 2" xfId="23599"/>
    <cellStyle name="40% - Accent4 2 4 2 4 2 2" xfId="52460"/>
    <cellStyle name="40% - Accent4 2 4 2 4 3" xfId="35413"/>
    <cellStyle name="40% - Accent4 2 4 2 5" xfId="12874"/>
    <cellStyle name="40% - Accent4 2 4 2 5 2" xfId="17827"/>
    <cellStyle name="40% - Accent4 2 4 2 5 2 2" xfId="46688"/>
    <cellStyle name="40% - Accent4 2 4 2 5 3" xfId="41735"/>
    <cellStyle name="40% - Accent4 2 4 2 6" xfId="15147"/>
    <cellStyle name="40% - Accent4 2 4 2 6 2" xfId="44008"/>
    <cellStyle name="40% - Accent4 2 4 2 7" xfId="29372"/>
    <cellStyle name="40% - Accent4 2 4 3" xfId="819"/>
    <cellStyle name="40% - Accent4 2 4 3 2" xfId="3706"/>
    <cellStyle name="40% - Accent4 2 4 3 2 2" xfId="9747"/>
    <cellStyle name="40% - Accent4 2 4 3 2 2 2" xfId="26794"/>
    <cellStyle name="40% - Accent4 2 4 3 2 2 2 2" xfId="55655"/>
    <cellStyle name="40% - Accent4 2 4 3 2 2 3" xfId="38608"/>
    <cellStyle name="40% - Accent4 2 4 3 2 3" xfId="20816"/>
    <cellStyle name="40% - Accent4 2 4 3 2 3 2" xfId="49677"/>
    <cellStyle name="40% - Accent4 2 4 3 2 4" xfId="32567"/>
    <cellStyle name="40% - Accent4 2 4 3 3" xfId="6861"/>
    <cellStyle name="40% - Accent4 2 4 3 3 2" xfId="23908"/>
    <cellStyle name="40% - Accent4 2 4 3 3 2 2" xfId="52769"/>
    <cellStyle name="40% - Accent4 2 4 3 3 3" xfId="35722"/>
    <cellStyle name="40% - Accent4 2 4 3 4" xfId="14238"/>
    <cellStyle name="40% - Accent4 2 4 3 4 2" xfId="18136"/>
    <cellStyle name="40% - Accent4 2 4 3 4 2 2" xfId="46997"/>
    <cellStyle name="40% - Accent4 2 4 3 4 3" xfId="43099"/>
    <cellStyle name="40% - Accent4 2 4 3 5" xfId="15456"/>
    <cellStyle name="40% - Accent4 2 4 3 5 2" xfId="44317"/>
    <cellStyle name="40% - Accent4 2 4 3 6" xfId="29681"/>
    <cellStyle name="40% - Accent4 2 4 4" xfId="1025"/>
    <cellStyle name="40% - Accent4 2 4 4 2" xfId="3912"/>
    <cellStyle name="40% - Accent4 2 4 4 2 2" xfId="9953"/>
    <cellStyle name="40% - Accent4 2 4 4 2 2 2" xfId="27000"/>
    <cellStyle name="40% - Accent4 2 4 4 2 2 2 2" xfId="55861"/>
    <cellStyle name="40% - Accent4 2 4 4 2 2 3" xfId="38814"/>
    <cellStyle name="40% - Accent4 2 4 4 2 3" xfId="21022"/>
    <cellStyle name="40% - Accent4 2 4 4 2 3 2" xfId="49883"/>
    <cellStyle name="40% - Accent4 2 4 4 2 4" xfId="32773"/>
    <cellStyle name="40% - Accent4 2 4 4 3" xfId="7067"/>
    <cellStyle name="40% - Accent4 2 4 4 3 2" xfId="24114"/>
    <cellStyle name="40% - Accent4 2 4 4 3 2 2" xfId="52975"/>
    <cellStyle name="40% - Accent4 2 4 4 3 3" xfId="35928"/>
    <cellStyle name="40% - Accent4 2 4 4 4" xfId="5866"/>
    <cellStyle name="40% - Accent4 2 4 4 4 2" xfId="18342"/>
    <cellStyle name="40% - Accent4 2 4 4 4 2 2" xfId="47203"/>
    <cellStyle name="40% - Accent4 2 4 4 4 3" xfId="34727"/>
    <cellStyle name="40% - Accent4 2 4 4 5" xfId="15662"/>
    <cellStyle name="40% - Accent4 2 4 4 5 2" xfId="44523"/>
    <cellStyle name="40% - Accent4 2 4 4 6" xfId="29887"/>
    <cellStyle name="40% - Accent4 2 4 5" xfId="1231"/>
    <cellStyle name="40% - Accent4 2 4 5 2" xfId="4118"/>
    <cellStyle name="40% - Accent4 2 4 5 2 2" xfId="10159"/>
    <cellStyle name="40% - Accent4 2 4 5 2 2 2" xfId="27206"/>
    <cellStyle name="40% - Accent4 2 4 5 2 2 2 2" xfId="56067"/>
    <cellStyle name="40% - Accent4 2 4 5 2 2 3" xfId="39020"/>
    <cellStyle name="40% - Accent4 2 4 5 2 3" xfId="21228"/>
    <cellStyle name="40% - Accent4 2 4 5 2 3 2" xfId="50089"/>
    <cellStyle name="40% - Accent4 2 4 5 2 4" xfId="32979"/>
    <cellStyle name="40% - Accent4 2 4 5 3" xfId="7273"/>
    <cellStyle name="40% - Accent4 2 4 5 3 2" xfId="24320"/>
    <cellStyle name="40% - Accent4 2 4 5 3 2 2" xfId="53181"/>
    <cellStyle name="40% - Accent4 2 4 5 3 3" xfId="36134"/>
    <cellStyle name="40% - Accent4 2 4 5 4" xfId="13211"/>
    <cellStyle name="40% - Accent4 2 4 5 4 2" xfId="18548"/>
    <cellStyle name="40% - Accent4 2 4 5 4 2 2" xfId="47409"/>
    <cellStyle name="40% - Accent4 2 4 5 4 3" xfId="42072"/>
    <cellStyle name="40% - Accent4 2 4 5 5" xfId="15868"/>
    <cellStyle name="40% - Accent4 2 4 5 5 2" xfId="44729"/>
    <cellStyle name="40% - Accent4 2 4 5 6" xfId="30093"/>
    <cellStyle name="40% - Accent4 2 4 6" xfId="1437"/>
    <cellStyle name="40% - Accent4 2 4 6 2" xfId="4324"/>
    <cellStyle name="40% - Accent4 2 4 6 2 2" xfId="10365"/>
    <cellStyle name="40% - Accent4 2 4 6 2 2 2" xfId="27412"/>
    <cellStyle name="40% - Accent4 2 4 6 2 2 2 2" xfId="56273"/>
    <cellStyle name="40% - Accent4 2 4 6 2 2 3" xfId="39226"/>
    <cellStyle name="40% - Accent4 2 4 6 2 3" xfId="21434"/>
    <cellStyle name="40% - Accent4 2 4 6 2 3 2" xfId="50295"/>
    <cellStyle name="40% - Accent4 2 4 6 2 4" xfId="33185"/>
    <cellStyle name="40% - Accent4 2 4 6 3" xfId="7479"/>
    <cellStyle name="40% - Accent4 2 4 6 3 2" xfId="24526"/>
    <cellStyle name="40% - Accent4 2 4 6 3 2 2" xfId="53387"/>
    <cellStyle name="40% - Accent4 2 4 6 3 3" xfId="36340"/>
    <cellStyle name="40% - Accent4 2 4 6 4" xfId="12951"/>
    <cellStyle name="40% - Accent4 2 4 6 4 2" xfId="18754"/>
    <cellStyle name="40% - Accent4 2 4 6 4 2 2" xfId="47615"/>
    <cellStyle name="40% - Accent4 2 4 6 4 3" xfId="41812"/>
    <cellStyle name="40% - Accent4 2 4 6 5" xfId="16074"/>
    <cellStyle name="40% - Accent4 2 4 6 5 2" xfId="44935"/>
    <cellStyle name="40% - Accent4 2 4 6 6" xfId="30299"/>
    <cellStyle name="40% - Accent4 2 4 7" xfId="1643"/>
    <cellStyle name="40% - Accent4 2 4 7 2" xfId="4530"/>
    <cellStyle name="40% - Accent4 2 4 7 2 2" xfId="10571"/>
    <cellStyle name="40% - Accent4 2 4 7 2 2 2" xfId="27618"/>
    <cellStyle name="40% - Accent4 2 4 7 2 2 2 2" xfId="56479"/>
    <cellStyle name="40% - Accent4 2 4 7 2 2 3" xfId="39432"/>
    <cellStyle name="40% - Accent4 2 4 7 2 3" xfId="21640"/>
    <cellStyle name="40% - Accent4 2 4 7 2 3 2" xfId="50501"/>
    <cellStyle name="40% - Accent4 2 4 7 2 4" xfId="33391"/>
    <cellStyle name="40% - Accent4 2 4 7 3" xfId="7685"/>
    <cellStyle name="40% - Accent4 2 4 7 3 2" xfId="24732"/>
    <cellStyle name="40% - Accent4 2 4 7 3 2 2" xfId="53593"/>
    <cellStyle name="40% - Accent4 2 4 7 3 3" xfId="36546"/>
    <cellStyle name="40% - Accent4 2 4 7 4" xfId="13847"/>
    <cellStyle name="40% - Accent4 2 4 7 4 2" xfId="18960"/>
    <cellStyle name="40% - Accent4 2 4 7 4 2 2" xfId="47821"/>
    <cellStyle name="40% - Accent4 2 4 7 4 3" xfId="42708"/>
    <cellStyle name="40% - Accent4 2 4 7 5" xfId="16280"/>
    <cellStyle name="40% - Accent4 2 4 7 5 2" xfId="45141"/>
    <cellStyle name="40% - Accent4 2 4 7 6" xfId="30505"/>
    <cellStyle name="40% - Accent4 2 4 8" xfId="1849"/>
    <cellStyle name="40% - Accent4 2 4 8 2" xfId="4736"/>
    <cellStyle name="40% - Accent4 2 4 8 2 2" xfId="10777"/>
    <cellStyle name="40% - Accent4 2 4 8 2 2 2" xfId="27824"/>
    <cellStyle name="40% - Accent4 2 4 8 2 2 2 2" xfId="56685"/>
    <cellStyle name="40% - Accent4 2 4 8 2 2 3" xfId="39638"/>
    <cellStyle name="40% - Accent4 2 4 8 2 3" xfId="21846"/>
    <cellStyle name="40% - Accent4 2 4 8 2 3 2" xfId="50707"/>
    <cellStyle name="40% - Accent4 2 4 8 2 4" xfId="33597"/>
    <cellStyle name="40% - Accent4 2 4 8 3" xfId="7891"/>
    <cellStyle name="40% - Accent4 2 4 8 3 2" xfId="24938"/>
    <cellStyle name="40% - Accent4 2 4 8 3 2 2" xfId="53799"/>
    <cellStyle name="40% - Accent4 2 4 8 3 3" xfId="36752"/>
    <cellStyle name="40% - Accent4 2 4 8 4" xfId="12367"/>
    <cellStyle name="40% - Accent4 2 4 8 4 2" xfId="19166"/>
    <cellStyle name="40% - Accent4 2 4 8 4 2 2" xfId="48027"/>
    <cellStyle name="40% - Accent4 2 4 8 4 3" xfId="41228"/>
    <cellStyle name="40% - Accent4 2 4 8 5" xfId="16486"/>
    <cellStyle name="40% - Accent4 2 4 8 5 2" xfId="45347"/>
    <cellStyle name="40% - Accent4 2 4 8 6" xfId="30711"/>
    <cellStyle name="40% - Accent4 2 4 9" xfId="2055"/>
    <cellStyle name="40% - Accent4 2 4 9 2" xfId="4942"/>
    <cellStyle name="40% - Accent4 2 4 9 2 2" xfId="10983"/>
    <cellStyle name="40% - Accent4 2 4 9 2 2 2" xfId="28030"/>
    <cellStyle name="40% - Accent4 2 4 9 2 2 2 2" xfId="56891"/>
    <cellStyle name="40% - Accent4 2 4 9 2 2 3" xfId="39844"/>
    <cellStyle name="40% - Accent4 2 4 9 2 3" xfId="22052"/>
    <cellStyle name="40% - Accent4 2 4 9 2 3 2" xfId="50913"/>
    <cellStyle name="40% - Accent4 2 4 9 2 4" xfId="33803"/>
    <cellStyle name="40% - Accent4 2 4 9 3" xfId="8097"/>
    <cellStyle name="40% - Accent4 2 4 9 3 2" xfId="25144"/>
    <cellStyle name="40% - Accent4 2 4 9 3 2 2" xfId="54005"/>
    <cellStyle name="40% - Accent4 2 4 9 3 3" xfId="36958"/>
    <cellStyle name="40% - Accent4 2 4 9 4" xfId="14435"/>
    <cellStyle name="40% - Accent4 2 4 9 4 2" xfId="19372"/>
    <cellStyle name="40% - Accent4 2 4 9 4 2 2" xfId="48233"/>
    <cellStyle name="40% - Accent4 2 4 9 4 3" xfId="43296"/>
    <cellStyle name="40% - Accent4 2 4 9 5" xfId="16692"/>
    <cellStyle name="40% - Accent4 2 4 9 5 2" xfId="45553"/>
    <cellStyle name="40% - Accent4 2 4 9 6" xfId="30917"/>
    <cellStyle name="40% - Accent4 2 5" xfId="201"/>
    <cellStyle name="40% - Accent4 2 5 2" xfId="613"/>
    <cellStyle name="40% - Accent4 2 5 2 2" xfId="3500"/>
    <cellStyle name="40% - Accent4 2 5 2 2 2" xfId="9541"/>
    <cellStyle name="40% - Accent4 2 5 2 2 2 2" xfId="26588"/>
    <cellStyle name="40% - Accent4 2 5 2 2 2 2 2" xfId="55449"/>
    <cellStyle name="40% - Accent4 2 5 2 2 2 3" xfId="38402"/>
    <cellStyle name="40% - Accent4 2 5 2 2 3" xfId="20610"/>
    <cellStyle name="40% - Accent4 2 5 2 2 3 2" xfId="49471"/>
    <cellStyle name="40% - Accent4 2 5 2 2 4" xfId="32361"/>
    <cellStyle name="40% - Accent4 2 5 2 3" xfId="6655"/>
    <cellStyle name="40% - Accent4 2 5 2 3 2" xfId="23702"/>
    <cellStyle name="40% - Accent4 2 5 2 3 2 2" xfId="52563"/>
    <cellStyle name="40% - Accent4 2 5 2 3 3" xfId="35516"/>
    <cellStyle name="40% - Accent4 2 5 2 4" xfId="12120"/>
    <cellStyle name="40% - Accent4 2 5 2 4 2" xfId="17930"/>
    <cellStyle name="40% - Accent4 2 5 2 4 2 2" xfId="46791"/>
    <cellStyle name="40% - Accent4 2 5 2 4 3" xfId="40981"/>
    <cellStyle name="40% - Accent4 2 5 2 5" xfId="15250"/>
    <cellStyle name="40% - Accent4 2 5 2 5 2" xfId="44111"/>
    <cellStyle name="40% - Accent4 2 5 2 6" xfId="29475"/>
    <cellStyle name="40% - Accent4 2 5 3" xfId="2158"/>
    <cellStyle name="40% - Accent4 2 5 3 2" xfId="5045"/>
    <cellStyle name="40% - Accent4 2 5 3 2 2" xfId="11086"/>
    <cellStyle name="40% - Accent4 2 5 3 2 2 2" xfId="28133"/>
    <cellStyle name="40% - Accent4 2 5 3 2 2 2 2" xfId="56994"/>
    <cellStyle name="40% - Accent4 2 5 3 2 2 3" xfId="39947"/>
    <cellStyle name="40% - Accent4 2 5 3 2 3" xfId="22155"/>
    <cellStyle name="40% - Accent4 2 5 3 2 3 2" xfId="51016"/>
    <cellStyle name="40% - Accent4 2 5 3 2 4" xfId="33906"/>
    <cellStyle name="40% - Accent4 2 5 3 3" xfId="8200"/>
    <cellStyle name="40% - Accent4 2 5 3 3 2" xfId="25247"/>
    <cellStyle name="40% - Accent4 2 5 3 3 2 2" xfId="54108"/>
    <cellStyle name="40% - Accent4 2 5 3 3 3" xfId="37061"/>
    <cellStyle name="40% - Accent4 2 5 3 4" xfId="14266"/>
    <cellStyle name="40% - Accent4 2 5 3 4 2" xfId="19475"/>
    <cellStyle name="40% - Accent4 2 5 3 4 2 2" xfId="48336"/>
    <cellStyle name="40% - Accent4 2 5 3 4 3" xfId="43127"/>
    <cellStyle name="40% - Accent4 2 5 3 5" xfId="16795"/>
    <cellStyle name="40% - Accent4 2 5 3 5 2" xfId="45656"/>
    <cellStyle name="40% - Accent4 2 5 3 6" xfId="31020"/>
    <cellStyle name="40% - Accent4 2 5 4" xfId="3088"/>
    <cellStyle name="40% - Accent4 2 5 4 2" xfId="9129"/>
    <cellStyle name="40% - Accent4 2 5 4 2 2" xfId="26176"/>
    <cellStyle name="40% - Accent4 2 5 4 2 2 2" xfId="55037"/>
    <cellStyle name="40% - Accent4 2 5 4 2 3" xfId="37990"/>
    <cellStyle name="40% - Accent4 2 5 4 3" xfId="20198"/>
    <cellStyle name="40% - Accent4 2 5 4 3 2" xfId="49059"/>
    <cellStyle name="40% - Accent4 2 5 4 4" xfId="31949"/>
    <cellStyle name="40% - Accent4 2 5 5" xfId="6243"/>
    <cellStyle name="40% - Accent4 2 5 5 2" xfId="23290"/>
    <cellStyle name="40% - Accent4 2 5 5 2 2" xfId="52151"/>
    <cellStyle name="40% - Accent4 2 5 5 3" xfId="35104"/>
    <cellStyle name="40% - Accent4 2 5 6" xfId="12798"/>
    <cellStyle name="40% - Accent4 2 5 6 2" xfId="17621"/>
    <cellStyle name="40% - Accent4 2 5 6 2 2" xfId="46482"/>
    <cellStyle name="40% - Accent4 2 5 6 3" xfId="41659"/>
    <cellStyle name="40% - Accent4 2 5 7" xfId="14838"/>
    <cellStyle name="40% - Accent4 2 5 7 2" xfId="43699"/>
    <cellStyle name="40% - Accent4 2 5 8" xfId="29063"/>
    <cellStyle name="40% - Accent4 2 6" xfId="407"/>
    <cellStyle name="40% - Accent4 2 6 2" xfId="3294"/>
    <cellStyle name="40% - Accent4 2 6 2 2" xfId="9335"/>
    <cellStyle name="40% - Accent4 2 6 2 2 2" xfId="26382"/>
    <cellStyle name="40% - Accent4 2 6 2 2 2 2" xfId="55243"/>
    <cellStyle name="40% - Accent4 2 6 2 2 3" xfId="38196"/>
    <cellStyle name="40% - Accent4 2 6 2 3" xfId="20404"/>
    <cellStyle name="40% - Accent4 2 6 2 3 2" xfId="49265"/>
    <cellStyle name="40% - Accent4 2 6 2 4" xfId="32155"/>
    <cellStyle name="40% - Accent4 2 6 3" xfId="6449"/>
    <cellStyle name="40% - Accent4 2 6 3 2" xfId="23496"/>
    <cellStyle name="40% - Accent4 2 6 3 2 2" xfId="52357"/>
    <cellStyle name="40% - Accent4 2 6 3 3" xfId="35310"/>
    <cellStyle name="40% - Accent4 2 6 4" xfId="13110"/>
    <cellStyle name="40% - Accent4 2 6 4 2" xfId="17724"/>
    <cellStyle name="40% - Accent4 2 6 4 2 2" xfId="46585"/>
    <cellStyle name="40% - Accent4 2 6 4 3" xfId="41971"/>
    <cellStyle name="40% - Accent4 2 6 5" xfId="15044"/>
    <cellStyle name="40% - Accent4 2 6 5 2" xfId="43905"/>
    <cellStyle name="40% - Accent4 2 6 6" xfId="29269"/>
    <cellStyle name="40% - Accent4 2 7" xfId="716"/>
    <cellStyle name="40% - Accent4 2 7 2" xfId="3603"/>
    <cellStyle name="40% - Accent4 2 7 2 2" xfId="9644"/>
    <cellStyle name="40% - Accent4 2 7 2 2 2" xfId="26691"/>
    <cellStyle name="40% - Accent4 2 7 2 2 2 2" xfId="55552"/>
    <cellStyle name="40% - Accent4 2 7 2 2 3" xfId="38505"/>
    <cellStyle name="40% - Accent4 2 7 2 3" xfId="20713"/>
    <cellStyle name="40% - Accent4 2 7 2 3 2" xfId="49574"/>
    <cellStyle name="40% - Accent4 2 7 2 4" xfId="32464"/>
    <cellStyle name="40% - Accent4 2 7 3" xfId="6758"/>
    <cellStyle name="40% - Accent4 2 7 3 2" xfId="23805"/>
    <cellStyle name="40% - Accent4 2 7 3 2 2" xfId="52666"/>
    <cellStyle name="40% - Accent4 2 7 3 3" xfId="35619"/>
    <cellStyle name="40% - Accent4 2 7 4" xfId="13661"/>
    <cellStyle name="40% - Accent4 2 7 4 2" xfId="18033"/>
    <cellStyle name="40% - Accent4 2 7 4 2 2" xfId="46894"/>
    <cellStyle name="40% - Accent4 2 7 4 3" xfId="42522"/>
    <cellStyle name="40% - Accent4 2 7 5" xfId="15353"/>
    <cellStyle name="40% - Accent4 2 7 5 2" xfId="44214"/>
    <cellStyle name="40% - Accent4 2 7 6" xfId="29578"/>
    <cellStyle name="40% - Accent4 2 8" xfId="922"/>
    <cellStyle name="40% - Accent4 2 8 2" xfId="3809"/>
    <cellStyle name="40% - Accent4 2 8 2 2" xfId="9850"/>
    <cellStyle name="40% - Accent4 2 8 2 2 2" xfId="26897"/>
    <cellStyle name="40% - Accent4 2 8 2 2 2 2" xfId="55758"/>
    <cellStyle name="40% - Accent4 2 8 2 2 3" xfId="38711"/>
    <cellStyle name="40% - Accent4 2 8 2 3" xfId="20919"/>
    <cellStyle name="40% - Accent4 2 8 2 3 2" xfId="49780"/>
    <cellStyle name="40% - Accent4 2 8 2 4" xfId="32670"/>
    <cellStyle name="40% - Accent4 2 8 3" xfId="6964"/>
    <cellStyle name="40% - Accent4 2 8 3 2" xfId="24011"/>
    <cellStyle name="40% - Accent4 2 8 3 2 2" xfId="52872"/>
    <cellStyle name="40% - Accent4 2 8 3 3" xfId="35825"/>
    <cellStyle name="40% - Accent4 2 8 4" xfId="13103"/>
    <cellStyle name="40% - Accent4 2 8 4 2" xfId="18239"/>
    <cellStyle name="40% - Accent4 2 8 4 2 2" xfId="47100"/>
    <cellStyle name="40% - Accent4 2 8 4 3" xfId="41964"/>
    <cellStyle name="40% - Accent4 2 8 5" xfId="15559"/>
    <cellStyle name="40% - Accent4 2 8 5 2" xfId="44420"/>
    <cellStyle name="40% - Accent4 2 8 6" xfId="29784"/>
    <cellStyle name="40% - Accent4 2 9" xfId="1128"/>
    <cellStyle name="40% - Accent4 2 9 2" xfId="4015"/>
    <cellStyle name="40% - Accent4 2 9 2 2" xfId="10056"/>
    <cellStyle name="40% - Accent4 2 9 2 2 2" xfId="27103"/>
    <cellStyle name="40% - Accent4 2 9 2 2 2 2" xfId="55964"/>
    <cellStyle name="40% - Accent4 2 9 2 2 3" xfId="38917"/>
    <cellStyle name="40% - Accent4 2 9 2 3" xfId="21125"/>
    <cellStyle name="40% - Accent4 2 9 2 3 2" xfId="49986"/>
    <cellStyle name="40% - Accent4 2 9 2 4" xfId="32876"/>
    <cellStyle name="40% - Accent4 2 9 3" xfId="7170"/>
    <cellStyle name="40% - Accent4 2 9 3 2" xfId="24217"/>
    <cellStyle name="40% - Accent4 2 9 3 2 2" xfId="53078"/>
    <cellStyle name="40% - Accent4 2 9 3 3" xfId="36031"/>
    <cellStyle name="40% - Accent4 2 9 4" xfId="13159"/>
    <cellStyle name="40% - Accent4 2 9 4 2" xfId="18445"/>
    <cellStyle name="40% - Accent4 2 9 4 2 2" xfId="47306"/>
    <cellStyle name="40% - Accent4 2 9 4 3" xfId="42020"/>
    <cellStyle name="40% - Accent4 2 9 5" xfId="15765"/>
    <cellStyle name="40% - Accent4 2 9 5 2" xfId="44626"/>
    <cellStyle name="40% - Accent4 2 9 6" xfId="29990"/>
    <cellStyle name="40% - Accent4 20" xfId="5868"/>
    <cellStyle name="40% - Accent4 20 2" xfId="22967"/>
    <cellStyle name="40% - Accent4 20 2 2" xfId="51828"/>
    <cellStyle name="40% - Accent4 20 3" xfId="34729"/>
    <cellStyle name="40% - Accent4 21" xfId="6126"/>
    <cellStyle name="40% - Accent4 21 2" xfId="23173"/>
    <cellStyle name="40% - Accent4 21 2 2" xfId="52034"/>
    <cellStyle name="40% - Accent4 21 3" xfId="34987"/>
    <cellStyle name="40% - Accent4 22" xfId="14515"/>
    <cellStyle name="40% - Accent4 22 2" xfId="43376"/>
    <cellStyle name="40% - Accent4 23" xfId="28946"/>
    <cellStyle name="40% - Accent4 3" xfId="111"/>
    <cellStyle name="40% - Accent4 3 10" xfId="1759"/>
    <cellStyle name="40% - Accent4 3 10 2" xfId="4646"/>
    <cellStyle name="40% - Accent4 3 10 2 2" xfId="10687"/>
    <cellStyle name="40% - Accent4 3 10 2 2 2" xfId="27734"/>
    <cellStyle name="40% - Accent4 3 10 2 2 2 2" xfId="56595"/>
    <cellStyle name="40% - Accent4 3 10 2 2 3" xfId="39548"/>
    <cellStyle name="40% - Accent4 3 10 2 3" xfId="21756"/>
    <cellStyle name="40% - Accent4 3 10 2 3 2" xfId="50617"/>
    <cellStyle name="40% - Accent4 3 10 2 4" xfId="33507"/>
    <cellStyle name="40% - Accent4 3 10 3" xfId="7801"/>
    <cellStyle name="40% - Accent4 3 10 3 2" xfId="24848"/>
    <cellStyle name="40% - Accent4 3 10 3 2 2" xfId="53709"/>
    <cellStyle name="40% - Accent4 3 10 3 3" xfId="36662"/>
    <cellStyle name="40% - Accent4 3 10 4" xfId="14129"/>
    <cellStyle name="40% - Accent4 3 10 4 2" xfId="19076"/>
    <cellStyle name="40% - Accent4 3 10 4 2 2" xfId="47937"/>
    <cellStyle name="40% - Accent4 3 10 4 3" xfId="42990"/>
    <cellStyle name="40% - Accent4 3 10 5" xfId="16396"/>
    <cellStyle name="40% - Accent4 3 10 5 2" xfId="45257"/>
    <cellStyle name="40% - Accent4 3 10 6" xfId="30621"/>
    <cellStyle name="40% - Accent4 3 11" xfId="1965"/>
    <cellStyle name="40% - Accent4 3 11 2" xfId="4852"/>
    <cellStyle name="40% - Accent4 3 11 2 2" xfId="10893"/>
    <cellStyle name="40% - Accent4 3 11 2 2 2" xfId="27940"/>
    <cellStyle name="40% - Accent4 3 11 2 2 2 2" xfId="56801"/>
    <cellStyle name="40% - Accent4 3 11 2 2 3" xfId="39754"/>
    <cellStyle name="40% - Accent4 3 11 2 3" xfId="21962"/>
    <cellStyle name="40% - Accent4 3 11 2 3 2" xfId="50823"/>
    <cellStyle name="40% - Accent4 3 11 2 4" xfId="33713"/>
    <cellStyle name="40% - Accent4 3 11 3" xfId="8007"/>
    <cellStyle name="40% - Accent4 3 11 3 2" xfId="25054"/>
    <cellStyle name="40% - Accent4 3 11 3 2 2" xfId="53915"/>
    <cellStyle name="40% - Accent4 3 11 3 3" xfId="36868"/>
    <cellStyle name="40% - Accent4 3 11 4" xfId="12870"/>
    <cellStyle name="40% - Accent4 3 11 4 2" xfId="19282"/>
    <cellStyle name="40% - Accent4 3 11 4 2 2" xfId="48143"/>
    <cellStyle name="40% - Accent4 3 11 4 3" xfId="41731"/>
    <cellStyle name="40% - Accent4 3 11 5" xfId="16602"/>
    <cellStyle name="40% - Accent4 3 11 5 2" xfId="45463"/>
    <cellStyle name="40% - Accent4 3 11 6" xfId="30827"/>
    <cellStyle name="40% - Accent4 3 12" xfId="2377"/>
    <cellStyle name="40% - Accent4 3 12 2" xfId="5264"/>
    <cellStyle name="40% - Accent4 3 12 2 2" xfId="11305"/>
    <cellStyle name="40% - Accent4 3 12 2 2 2" xfId="28352"/>
    <cellStyle name="40% - Accent4 3 12 2 2 2 2" xfId="57213"/>
    <cellStyle name="40% - Accent4 3 12 2 2 3" xfId="40166"/>
    <cellStyle name="40% - Accent4 3 12 2 3" xfId="22374"/>
    <cellStyle name="40% - Accent4 3 12 2 3 2" xfId="51235"/>
    <cellStyle name="40% - Accent4 3 12 2 4" xfId="34125"/>
    <cellStyle name="40% - Accent4 3 12 3" xfId="8419"/>
    <cellStyle name="40% - Accent4 3 12 3 2" xfId="25466"/>
    <cellStyle name="40% - Accent4 3 12 3 2 2" xfId="54327"/>
    <cellStyle name="40% - Accent4 3 12 3 3" xfId="37280"/>
    <cellStyle name="40% - Accent4 3 12 4" xfId="12939"/>
    <cellStyle name="40% - Accent4 3 12 4 2" xfId="19694"/>
    <cellStyle name="40% - Accent4 3 12 4 2 2" xfId="48555"/>
    <cellStyle name="40% - Accent4 3 12 4 3" xfId="41800"/>
    <cellStyle name="40% - Accent4 3 12 5" xfId="17014"/>
    <cellStyle name="40% - Accent4 3 12 5 2" xfId="45875"/>
    <cellStyle name="40% - Accent4 3 12 6" xfId="31239"/>
    <cellStyle name="40% - Accent4 3 13" xfId="2586"/>
    <cellStyle name="40% - Accent4 3 13 2" xfId="5472"/>
    <cellStyle name="40% - Accent4 3 13 2 2" xfId="11513"/>
    <cellStyle name="40% - Accent4 3 13 2 2 2" xfId="28560"/>
    <cellStyle name="40% - Accent4 3 13 2 2 2 2" xfId="57421"/>
    <cellStyle name="40% - Accent4 3 13 2 2 3" xfId="40374"/>
    <cellStyle name="40% - Accent4 3 13 2 3" xfId="22582"/>
    <cellStyle name="40% - Accent4 3 13 2 3 2" xfId="51443"/>
    <cellStyle name="40% - Accent4 3 13 2 4" xfId="34333"/>
    <cellStyle name="40% - Accent4 3 13 3" xfId="8627"/>
    <cellStyle name="40% - Accent4 3 13 3 2" xfId="25674"/>
    <cellStyle name="40% - Accent4 3 13 3 2 2" xfId="54535"/>
    <cellStyle name="40% - Accent4 3 13 3 3" xfId="37488"/>
    <cellStyle name="40% - Accent4 3 13 4" xfId="12579"/>
    <cellStyle name="40% - Accent4 3 13 4 2" xfId="19902"/>
    <cellStyle name="40% - Accent4 3 13 4 2 2" xfId="48763"/>
    <cellStyle name="40% - Accent4 3 13 4 3" xfId="41440"/>
    <cellStyle name="40% - Accent4 3 13 5" xfId="17222"/>
    <cellStyle name="40% - Accent4 3 13 5 2" xfId="46083"/>
    <cellStyle name="40% - Accent4 3 13 6" xfId="31447"/>
    <cellStyle name="40% - Accent4 3 14" xfId="2998"/>
    <cellStyle name="40% - Accent4 3 14 2" xfId="9039"/>
    <cellStyle name="40% - Accent4 3 14 2 2" xfId="26086"/>
    <cellStyle name="40% - Accent4 3 14 2 2 2" xfId="54947"/>
    <cellStyle name="40% - Accent4 3 14 2 3" xfId="37900"/>
    <cellStyle name="40% - Accent4 3 14 3" xfId="13559"/>
    <cellStyle name="40% - Accent4 3 14 3 2" xfId="20108"/>
    <cellStyle name="40% - Accent4 3 14 3 2 2" xfId="48969"/>
    <cellStyle name="40% - Accent4 3 14 3 3" xfId="42420"/>
    <cellStyle name="40% - Accent4 3 14 4" xfId="14748"/>
    <cellStyle name="40% - Accent4 3 14 4 2" xfId="43609"/>
    <cellStyle name="40% - Accent4 3 14 5" xfId="31859"/>
    <cellStyle name="40% - Accent4 3 15" xfId="2792"/>
    <cellStyle name="40% - Accent4 3 15 2" xfId="8833"/>
    <cellStyle name="40% - Accent4 3 15 2 2" xfId="25880"/>
    <cellStyle name="40% - Accent4 3 15 2 2 2" xfId="54741"/>
    <cellStyle name="40% - Accent4 3 15 2 3" xfId="37694"/>
    <cellStyle name="40% - Accent4 3 15 3" xfId="17428"/>
    <cellStyle name="40% - Accent4 3 15 3 2" xfId="46289"/>
    <cellStyle name="40% - Accent4 3 15 4" xfId="31653"/>
    <cellStyle name="40% - Accent4 3 16" xfId="5678"/>
    <cellStyle name="40% - Accent4 3 16 2" xfId="11719"/>
    <cellStyle name="40% - Accent4 3 16 2 2" xfId="28766"/>
    <cellStyle name="40% - Accent4 3 16 2 2 2" xfId="57627"/>
    <cellStyle name="40% - Accent4 3 16 2 3" xfId="40580"/>
    <cellStyle name="40% - Accent4 3 16 3" xfId="22788"/>
    <cellStyle name="40% - Accent4 3 16 3 2" xfId="51649"/>
    <cellStyle name="40% - Accent4 3 16 4" xfId="34539"/>
    <cellStyle name="40% - Accent4 3 17" xfId="5895"/>
    <cellStyle name="40% - Accent4 3 17 2" xfId="22994"/>
    <cellStyle name="40% - Accent4 3 17 2 2" xfId="51855"/>
    <cellStyle name="40% - Accent4 3 17 3" xfId="34756"/>
    <cellStyle name="40% - Accent4 3 18" xfId="6153"/>
    <cellStyle name="40% - Accent4 3 18 2" xfId="23200"/>
    <cellStyle name="40% - Accent4 3 18 2 2" xfId="52061"/>
    <cellStyle name="40% - Accent4 3 18 3" xfId="35014"/>
    <cellStyle name="40% - Accent4 3 19" xfId="14542"/>
    <cellStyle name="40% - Accent4 3 19 2" xfId="43403"/>
    <cellStyle name="40% - Accent4 3 2" xfId="317"/>
    <cellStyle name="40% - Accent4 3 2 10" xfId="2480"/>
    <cellStyle name="40% - Accent4 3 2 10 2" xfId="5367"/>
    <cellStyle name="40% - Accent4 3 2 10 2 2" xfId="11408"/>
    <cellStyle name="40% - Accent4 3 2 10 2 2 2" xfId="28455"/>
    <cellStyle name="40% - Accent4 3 2 10 2 2 2 2" xfId="57316"/>
    <cellStyle name="40% - Accent4 3 2 10 2 2 3" xfId="40269"/>
    <cellStyle name="40% - Accent4 3 2 10 2 3" xfId="22477"/>
    <cellStyle name="40% - Accent4 3 2 10 2 3 2" xfId="51338"/>
    <cellStyle name="40% - Accent4 3 2 10 2 4" xfId="34228"/>
    <cellStyle name="40% - Accent4 3 2 10 3" xfId="8522"/>
    <cellStyle name="40% - Accent4 3 2 10 3 2" xfId="25569"/>
    <cellStyle name="40% - Accent4 3 2 10 3 2 2" xfId="54430"/>
    <cellStyle name="40% - Accent4 3 2 10 3 3" xfId="37383"/>
    <cellStyle name="40% - Accent4 3 2 10 4" xfId="13656"/>
    <cellStyle name="40% - Accent4 3 2 10 4 2" xfId="19797"/>
    <cellStyle name="40% - Accent4 3 2 10 4 2 2" xfId="48658"/>
    <cellStyle name="40% - Accent4 3 2 10 4 3" xfId="42517"/>
    <cellStyle name="40% - Accent4 3 2 10 5" xfId="17117"/>
    <cellStyle name="40% - Accent4 3 2 10 5 2" xfId="45978"/>
    <cellStyle name="40% - Accent4 3 2 10 6" xfId="31342"/>
    <cellStyle name="40% - Accent4 3 2 11" xfId="2689"/>
    <cellStyle name="40% - Accent4 3 2 11 2" xfId="5575"/>
    <cellStyle name="40% - Accent4 3 2 11 2 2" xfId="11616"/>
    <cellStyle name="40% - Accent4 3 2 11 2 2 2" xfId="28663"/>
    <cellStyle name="40% - Accent4 3 2 11 2 2 2 2" xfId="57524"/>
    <cellStyle name="40% - Accent4 3 2 11 2 2 3" xfId="40477"/>
    <cellStyle name="40% - Accent4 3 2 11 2 3" xfId="22685"/>
    <cellStyle name="40% - Accent4 3 2 11 2 3 2" xfId="51546"/>
    <cellStyle name="40% - Accent4 3 2 11 2 4" xfId="34436"/>
    <cellStyle name="40% - Accent4 3 2 11 3" xfId="8730"/>
    <cellStyle name="40% - Accent4 3 2 11 3 2" xfId="25777"/>
    <cellStyle name="40% - Accent4 3 2 11 3 2 2" xfId="54638"/>
    <cellStyle name="40% - Accent4 3 2 11 3 3" xfId="37591"/>
    <cellStyle name="40% - Accent4 3 2 11 4" xfId="13273"/>
    <cellStyle name="40% - Accent4 3 2 11 4 2" xfId="20005"/>
    <cellStyle name="40% - Accent4 3 2 11 4 2 2" xfId="48866"/>
    <cellStyle name="40% - Accent4 3 2 11 4 3" xfId="42134"/>
    <cellStyle name="40% - Accent4 3 2 11 5" xfId="17325"/>
    <cellStyle name="40% - Accent4 3 2 11 5 2" xfId="46186"/>
    <cellStyle name="40% - Accent4 3 2 11 6" xfId="31550"/>
    <cellStyle name="40% - Accent4 3 2 12" xfId="3204"/>
    <cellStyle name="40% - Accent4 3 2 12 2" xfId="9245"/>
    <cellStyle name="40% - Accent4 3 2 12 2 2" xfId="26292"/>
    <cellStyle name="40% - Accent4 3 2 12 2 2 2" xfId="55153"/>
    <cellStyle name="40% - Accent4 3 2 12 2 3" xfId="38106"/>
    <cellStyle name="40% - Accent4 3 2 12 3" xfId="12740"/>
    <cellStyle name="40% - Accent4 3 2 12 3 2" xfId="20314"/>
    <cellStyle name="40% - Accent4 3 2 12 3 2 2" xfId="49175"/>
    <cellStyle name="40% - Accent4 3 2 12 3 3" xfId="41601"/>
    <cellStyle name="40% - Accent4 3 2 12 4" xfId="14954"/>
    <cellStyle name="40% - Accent4 3 2 12 4 2" xfId="43815"/>
    <cellStyle name="40% - Accent4 3 2 12 5" xfId="32065"/>
    <cellStyle name="40% - Accent4 3 2 13" xfId="2895"/>
    <cellStyle name="40% - Accent4 3 2 13 2" xfId="8936"/>
    <cellStyle name="40% - Accent4 3 2 13 2 2" xfId="25983"/>
    <cellStyle name="40% - Accent4 3 2 13 2 2 2" xfId="54844"/>
    <cellStyle name="40% - Accent4 3 2 13 2 3" xfId="37797"/>
    <cellStyle name="40% - Accent4 3 2 13 3" xfId="17531"/>
    <cellStyle name="40% - Accent4 3 2 13 3 2" xfId="46392"/>
    <cellStyle name="40% - Accent4 3 2 13 4" xfId="31756"/>
    <cellStyle name="40% - Accent4 3 2 14" xfId="5781"/>
    <cellStyle name="40% - Accent4 3 2 14 2" xfId="11822"/>
    <cellStyle name="40% - Accent4 3 2 14 2 2" xfId="28869"/>
    <cellStyle name="40% - Accent4 3 2 14 2 2 2" xfId="57730"/>
    <cellStyle name="40% - Accent4 3 2 14 2 3" xfId="40683"/>
    <cellStyle name="40% - Accent4 3 2 14 3" xfId="22891"/>
    <cellStyle name="40% - Accent4 3 2 14 3 2" xfId="51752"/>
    <cellStyle name="40% - Accent4 3 2 14 4" xfId="34642"/>
    <cellStyle name="40% - Accent4 3 2 15" xfId="5998"/>
    <cellStyle name="40% - Accent4 3 2 15 2" xfId="23097"/>
    <cellStyle name="40% - Accent4 3 2 15 2 2" xfId="51958"/>
    <cellStyle name="40% - Accent4 3 2 15 3" xfId="34859"/>
    <cellStyle name="40% - Accent4 3 2 16" xfId="6359"/>
    <cellStyle name="40% - Accent4 3 2 16 2" xfId="23406"/>
    <cellStyle name="40% - Accent4 3 2 16 2 2" xfId="52267"/>
    <cellStyle name="40% - Accent4 3 2 16 3" xfId="35220"/>
    <cellStyle name="40% - Accent4 3 2 17" xfId="14645"/>
    <cellStyle name="40% - Accent4 3 2 17 2" xfId="43506"/>
    <cellStyle name="40% - Accent4 3 2 18" xfId="29179"/>
    <cellStyle name="40% - Accent4 3 2 2" xfId="523"/>
    <cellStyle name="40% - Accent4 3 2 2 2" xfId="2274"/>
    <cellStyle name="40% - Accent4 3 2 2 2 2" xfId="5161"/>
    <cellStyle name="40% - Accent4 3 2 2 2 2 2" xfId="11202"/>
    <cellStyle name="40% - Accent4 3 2 2 2 2 2 2" xfId="28249"/>
    <cellStyle name="40% - Accent4 3 2 2 2 2 2 2 2" xfId="57110"/>
    <cellStyle name="40% - Accent4 3 2 2 2 2 2 3" xfId="40063"/>
    <cellStyle name="40% - Accent4 3 2 2 2 2 3" xfId="22271"/>
    <cellStyle name="40% - Accent4 3 2 2 2 2 3 2" xfId="51132"/>
    <cellStyle name="40% - Accent4 3 2 2 2 2 4" xfId="34022"/>
    <cellStyle name="40% - Accent4 3 2 2 2 3" xfId="8316"/>
    <cellStyle name="40% - Accent4 3 2 2 2 3 2" xfId="25363"/>
    <cellStyle name="40% - Accent4 3 2 2 2 3 2 2" xfId="54224"/>
    <cellStyle name="40% - Accent4 3 2 2 2 3 3" xfId="37177"/>
    <cellStyle name="40% - Accent4 3 2 2 2 4" xfId="12443"/>
    <cellStyle name="40% - Accent4 3 2 2 2 4 2" xfId="19591"/>
    <cellStyle name="40% - Accent4 3 2 2 2 4 2 2" xfId="48452"/>
    <cellStyle name="40% - Accent4 3 2 2 2 4 3" xfId="41304"/>
    <cellStyle name="40% - Accent4 3 2 2 2 5" xfId="16911"/>
    <cellStyle name="40% - Accent4 3 2 2 2 5 2" xfId="45772"/>
    <cellStyle name="40% - Accent4 3 2 2 2 6" xfId="31136"/>
    <cellStyle name="40% - Accent4 3 2 2 3" xfId="3410"/>
    <cellStyle name="40% - Accent4 3 2 2 3 2" xfId="9451"/>
    <cellStyle name="40% - Accent4 3 2 2 3 2 2" xfId="26498"/>
    <cellStyle name="40% - Accent4 3 2 2 3 2 2 2" xfId="55359"/>
    <cellStyle name="40% - Accent4 3 2 2 3 2 3" xfId="38312"/>
    <cellStyle name="40% - Accent4 3 2 2 3 3" xfId="20520"/>
    <cellStyle name="40% - Accent4 3 2 2 3 3 2" xfId="49381"/>
    <cellStyle name="40% - Accent4 3 2 2 3 4" xfId="32271"/>
    <cellStyle name="40% - Accent4 3 2 2 4" xfId="6565"/>
    <cellStyle name="40% - Accent4 3 2 2 4 2" xfId="23612"/>
    <cellStyle name="40% - Accent4 3 2 2 4 2 2" xfId="52473"/>
    <cellStyle name="40% - Accent4 3 2 2 4 3" xfId="35426"/>
    <cellStyle name="40% - Accent4 3 2 2 5" xfId="14210"/>
    <cellStyle name="40% - Accent4 3 2 2 5 2" xfId="17840"/>
    <cellStyle name="40% - Accent4 3 2 2 5 2 2" xfId="46701"/>
    <cellStyle name="40% - Accent4 3 2 2 5 3" xfId="43071"/>
    <cellStyle name="40% - Accent4 3 2 2 6" xfId="15160"/>
    <cellStyle name="40% - Accent4 3 2 2 6 2" xfId="44021"/>
    <cellStyle name="40% - Accent4 3 2 2 7" xfId="29385"/>
    <cellStyle name="40% - Accent4 3 2 3" xfId="832"/>
    <cellStyle name="40% - Accent4 3 2 3 2" xfId="3719"/>
    <cellStyle name="40% - Accent4 3 2 3 2 2" xfId="9760"/>
    <cellStyle name="40% - Accent4 3 2 3 2 2 2" xfId="26807"/>
    <cellStyle name="40% - Accent4 3 2 3 2 2 2 2" xfId="55668"/>
    <cellStyle name="40% - Accent4 3 2 3 2 2 3" xfId="38621"/>
    <cellStyle name="40% - Accent4 3 2 3 2 3" xfId="20829"/>
    <cellStyle name="40% - Accent4 3 2 3 2 3 2" xfId="49690"/>
    <cellStyle name="40% - Accent4 3 2 3 2 4" xfId="32580"/>
    <cellStyle name="40% - Accent4 3 2 3 3" xfId="6874"/>
    <cellStyle name="40% - Accent4 3 2 3 3 2" xfId="23921"/>
    <cellStyle name="40% - Accent4 3 2 3 3 2 2" xfId="52782"/>
    <cellStyle name="40% - Accent4 3 2 3 3 3" xfId="35735"/>
    <cellStyle name="40% - Accent4 3 2 3 4" xfId="13229"/>
    <cellStyle name="40% - Accent4 3 2 3 4 2" xfId="18149"/>
    <cellStyle name="40% - Accent4 3 2 3 4 2 2" xfId="47010"/>
    <cellStyle name="40% - Accent4 3 2 3 4 3" xfId="42090"/>
    <cellStyle name="40% - Accent4 3 2 3 5" xfId="15469"/>
    <cellStyle name="40% - Accent4 3 2 3 5 2" xfId="44330"/>
    <cellStyle name="40% - Accent4 3 2 3 6" xfId="29694"/>
    <cellStyle name="40% - Accent4 3 2 4" xfId="1038"/>
    <cellStyle name="40% - Accent4 3 2 4 2" xfId="3925"/>
    <cellStyle name="40% - Accent4 3 2 4 2 2" xfId="9966"/>
    <cellStyle name="40% - Accent4 3 2 4 2 2 2" xfId="27013"/>
    <cellStyle name="40% - Accent4 3 2 4 2 2 2 2" xfId="55874"/>
    <cellStyle name="40% - Accent4 3 2 4 2 2 3" xfId="38827"/>
    <cellStyle name="40% - Accent4 3 2 4 2 3" xfId="21035"/>
    <cellStyle name="40% - Accent4 3 2 4 2 3 2" xfId="49896"/>
    <cellStyle name="40% - Accent4 3 2 4 2 4" xfId="32786"/>
    <cellStyle name="40% - Accent4 3 2 4 3" xfId="7080"/>
    <cellStyle name="40% - Accent4 3 2 4 3 2" xfId="24127"/>
    <cellStyle name="40% - Accent4 3 2 4 3 2 2" xfId="52988"/>
    <cellStyle name="40% - Accent4 3 2 4 3 3" xfId="35941"/>
    <cellStyle name="40% - Accent4 3 2 4 4" xfId="12070"/>
    <cellStyle name="40% - Accent4 3 2 4 4 2" xfId="18355"/>
    <cellStyle name="40% - Accent4 3 2 4 4 2 2" xfId="47216"/>
    <cellStyle name="40% - Accent4 3 2 4 4 3" xfId="40931"/>
    <cellStyle name="40% - Accent4 3 2 4 5" xfId="15675"/>
    <cellStyle name="40% - Accent4 3 2 4 5 2" xfId="44536"/>
    <cellStyle name="40% - Accent4 3 2 4 6" xfId="29900"/>
    <cellStyle name="40% - Accent4 3 2 5" xfId="1244"/>
    <cellStyle name="40% - Accent4 3 2 5 2" xfId="4131"/>
    <cellStyle name="40% - Accent4 3 2 5 2 2" xfId="10172"/>
    <cellStyle name="40% - Accent4 3 2 5 2 2 2" xfId="27219"/>
    <cellStyle name="40% - Accent4 3 2 5 2 2 2 2" xfId="56080"/>
    <cellStyle name="40% - Accent4 3 2 5 2 2 3" xfId="39033"/>
    <cellStyle name="40% - Accent4 3 2 5 2 3" xfId="21241"/>
    <cellStyle name="40% - Accent4 3 2 5 2 3 2" xfId="50102"/>
    <cellStyle name="40% - Accent4 3 2 5 2 4" xfId="32992"/>
    <cellStyle name="40% - Accent4 3 2 5 3" xfId="7286"/>
    <cellStyle name="40% - Accent4 3 2 5 3 2" xfId="24333"/>
    <cellStyle name="40% - Accent4 3 2 5 3 2 2" xfId="53194"/>
    <cellStyle name="40% - Accent4 3 2 5 3 3" xfId="36147"/>
    <cellStyle name="40% - Accent4 3 2 5 4" xfId="14455"/>
    <cellStyle name="40% - Accent4 3 2 5 4 2" xfId="18561"/>
    <cellStyle name="40% - Accent4 3 2 5 4 2 2" xfId="47422"/>
    <cellStyle name="40% - Accent4 3 2 5 4 3" xfId="43316"/>
    <cellStyle name="40% - Accent4 3 2 5 5" xfId="15881"/>
    <cellStyle name="40% - Accent4 3 2 5 5 2" xfId="44742"/>
    <cellStyle name="40% - Accent4 3 2 5 6" xfId="30106"/>
    <cellStyle name="40% - Accent4 3 2 6" xfId="1450"/>
    <cellStyle name="40% - Accent4 3 2 6 2" xfId="4337"/>
    <cellStyle name="40% - Accent4 3 2 6 2 2" xfId="10378"/>
    <cellStyle name="40% - Accent4 3 2 6 2 2 2" xfId="27425"/>
    <cellStyle name="40% - Accent4 3 2 6 2 2 2 2" xfId="56286"/>
    <cellStyle name="40% - Accent4 3 2 6 2 2 3" xfId="39239"/>
    <cellStyle name="40% - Accent4 3 2 6 2 3" xfId="21447"/>
    <cellStyle name="40% - Accent4 3 2 6 2 3 2" xfId="50308"/>
    <cellStyle name="40% - Accent4 3 2 6 2 4" xfId="33198"/>
    <cellStyle name="40% - Accent4 3 2 6 3" xfId="7492"/>
    <cellStyle name="40% - Accent4 3 2 6 3 2" xfId="24539"/>
    <cellStyle name="40% - Accent4 3 2 6 3 2 2" xfId="53400"/>
    <cellStyle name="40% - Accent4 3 2 6 3 3" xfId="36353"/>
    <cellStyle name="40% - Accent4 3 2 6 4" xfId="14254"/>
    <cellStyle name="40% - Accent4 3 2 6 4 2" xfId="18767"/>
    <cellStyle name="40% - Accent4 3 2 6 4 2 2" xfId="47628"/>
    <cellStyle name="40% - Accent4 3 2 6 4 3" xfId="43115"/>
    <cellStyle name="40% - Accent4 3 2 6 5" xfId="16087"/>
    <cellStyle name="40% - Accent4 3 2 6 5 2" xfId="44948"/>
    <cellStyle name="40% - Accent4 3 2 6 6" xfId="30312"/>
    <cellStyle name="40% - Accent4 3 2 7" xfId="1656"/>
    <cellStyle name="40% - Accent4 3 2 7 2" xfId="4543"/>
    <cellStyle name="40% - Accent4 3 2 7 2 2" xfId="10584"/>
    <cellStyle name="40% - Accent4 3 2 7 2 2 2" xfId="27631"/>
    <cellStyle name="40% - Accent4 3 2 7 2 2 2 2" xfId="56492"/>
    <cellStyle name="40% - Accent4 3 2 7 2 2 3" xfId="39445"/>
    <cellStyle name="40% - Accent4 3 2 7 2 3" xfId="21653"/>
    <cellStyle name="40% - Accent4 3 2 7 2 3 2" xfId="50514"/>
    <cellStyle name="40% - Accent4 3 2 7 2 4" xfId="33404"/>
    <cellStyle name="40% - Accent4 3 2 7 3" xfId="7698"/>
    <cellStyle name="40% - Accent4 3 2 7 3 2" xfId="24745"/>
    <cellStyle name="40% - Accent4 3 2 7 3 2 2" xfId="53606"/>
    <cellStyle name="40% - Accent4 3 2 7 3 3" xfId="36559"/>
    <cellStyle name="40% - Accent4 3 2 7 4" xfId="12423"/>
    <cellStyle name="40% - Accent4 3 2 7 4 2" xfId="18973"/>
    <cellStyle name="40% - Accent4 3 2 7 4 2 2" xfId="47834"/>
    <cellStyle name="40% - Accent4 3 2 7 4 3" xfId="41284"/>
    <cellStyle name="40% - Accent4 3 2 7 5" xfId="16293"/>
    <cellStyle name="40% - Accent4 3 2 7 5 2" xfId="45154"/>
    <cellStyle name="40% - Accent4 3 2 7 6" xfId="30518"/>
    <cellStyle name="40% - Accent4 3 2 8" xfId="1862"/>
    <cellStyle name="40% - Accent4 3 2 8 2" xfId="4749"/>
    <cellStyle name="40% - Accent4 3 2 8 2 2" xfId="10790"/>
    <cellStyle name="40% - Accent4 3 2 8 2 2 2" xfId="27837"/>
    <cellStyle name="40% - Accent4 3 2 8 2 2 2 2" xfId="56698"/>
    <cellStyle name="40% - Accent4 3 2 8 2 2 3" xfId="39651"/>
    <cellStyle name="40% - Accent4 3 2 8 2 3" xfId="21859"/>
    <cellStyle name="40% - Accent4 3 2 8 2 3 2" xfId="50720"/>
    <cellStyle name="40% - Accent4 3 2 8 2 4" xfId="33610"/>
    <cellStyle name="40% - Accent4 3 2 8 3" xfId="7904"/>
    <cellStyle name="40% - Accent4 3 2 8 3 2" xfId="24951"/>
    <cellStyle name="40% - Accent4 3 2 8 3 2 2" xfId="53812"/>
    <cellStyle name="40% - Accent4 3 2 8 3 3" xfId="36765"/>
    <cellStyle name="40% - Accent4 3 2 8 4" xfId="14167"/>
    <cellStyle name="40% - Accent4 3 2 8 4 2" xfId="19179"/>
    <cellStyle name="40% - Accent4 3 2 8 4 2 2" xfId="48040"/>
    <cellStyle name="40% - Accent4 3 2 8 4 3" xfId="43028"/>
    <cellStyle name="40% - Accent4 3 2 8 5" xfId="16499"/>
    <cellStyle name="40% - Accent4 3 2 8 5 2" xfId="45360"/>
    <cellStyle name="40% - Accent4 3 2 8 6" xfId="30724"/>
    <cellStyle name="40% - Accent4 3 2 9" xfId="2068"/>
    <cellStyle name="40% - Accent4 3 2 9 2" xfId="4955"/>
    <cellStyle name="40% - Accent4 3 2 9 2 2" xfId="10996"/>
    <cellStyle name="40% - Accent4 3 2 9 2 2 2" xfId="28043"/>
    <cellStyle name="40% - Accent4 3 2 9 2 2 2 2" xfId="56904"/>
    <cellStyle name="40% - Accent4 3 2 9 2 2 3" xfId="39857"/>
    <cellStyle name="40% - Accent4 3 2 9 2 3" xfId="22065"/>
    <cellStyle name="40% - Accent4 3 2 9 2 3 2" xfId="50926"/>
    <cellStyle name="40% - Accent4 3 2 9 2 4" xfId="33816"/>
    <cellStyle name="40% - Accent4 3 2 9 3" xfId="8110"/>
    <cellStyle name="40% - Accent4 3 2 9 3 2" xfId="25157"/>
    <cellStyle name="40% - Accent4 3 2 9 3 2 2" xfId="54018"/>
    <cellStyle name="40% - Accent4 3 2 9 3 3" xfId="36971"/>
    <cellStyle name="40% - Accent4 3 2 9 4" xfId="12310"/>
    <cellStyle name="40% - Accent4 3 2 9 4 2" xfId="19385"/>
    <cellStyle name="40% - Accent4 3 2 9 4 2 2" xfId="48246"/>
    <cellStyle name="40% - Accent4 3 2 9 4 3" xfId="41171"/>
    <cellStyle name="40% - Accent4 3 2 9 5" xfId="16705"/>
    <cellStyle name="40% - Accent4 3 2 9 5 2" xfId="45566"/>
    <cellStyle name="40% - Accent4 3 2 9 6" xfId="30930"/>
    <cellStyle name="40% - Accent4 3 20" xfId="28973"/>
    <cellStyle name="40% - Accent4 3 3" xfId="214"/>
    <cellStyle name="40% - Accent4 3 3 2" xfId="626"/>
    <cellStyle name="40% - Accent4 3 3 2 2" xfId="3513"/>
    <cellStyle name="40% - Accent4 3 3 2 2 2" xfId="9554"/>
    <cellStyle name="40% - Accent4 3 3 2 2 2 2" xfId="26601"/>
    <cellStyle name="40% - Accent4 3 3 2 2 2 2 2" xfId="55462"/>
    <cellStyle name="40% - Accent4 3 3 2 2 2 3" xfId="38415"/>
    <cellStyle name="40% - Accent4 3 3 2 2 3" xfId="20623"/>
    <cellStyle name="40% - Accent4 3 3 2 2 3 2" xfId="49484"/>
    <cellStyle name="40% - Accent4 3 3 2 2 4" xfId="32374"/>
    <cellStyle name="40% - Accent4 3 3 2 3" xfId="6668"/>
    <cellStyle name="40% - Accent4 3 3 2 3 2" xfId="23715"/>
    <cellStyle name="40% - Accent4 3 3 2 3 2 2" xfId="52576"/>
    <cellStyle name="40% - Accent4 3 3 2 3 3" xfId="35529"/>
    <cellStyle name="40% - Accent4 3 3 2 4" xfId="13833"/>
    <cellStyle name="40% - Accent4 3 3 2 4 2" xfId="17943"/>
    <cellStyle name="40% - Accent4 3 3 2 4 2 2" xfId="46804"/>
    <cellStyle name="40% - Accent4 3 3 2 4 3" xfId="42694"/>
    <cellStyle name="40% - Accent4 3 3 2 5" xfId="15263"/>
    <cellStyle name="40% - Accent4 3 3 2 5 2" xfId="44124"/>
    <cellStyle name="40% - Accent4 3 3 2 6" xfId="29488"/>
    <cellStyle name="40% - Accent4 3 3 3" xfId="2171"/>
    <cellStyle name="40% - Accent4 3 3 3 2" xfId="5058"/>
    <cellStyle name="40% - Accent4 3 3 3 2 2" xfId="11099"/>
    <cellStyle name="40% - Accent4 3 3 3 2 2 2" xfId="28146"/>
    <cellStyle name="40% - Accent4 3 3 3 2 2 2 2" xfId="57007"/>
    <cellStyle name="40% - Accent4 3 3 3 2 2 3" xfId="39960"/>
    <cellStyle name="40% - Accent4 3 3 3 2 3" xfId="22168"/>
    <cellStyle name="40% - Accent4 3 3 3 2 3 2" xfId="51029"/>
    <cellStyle name="40% - Accent4 3 3 3 2 4" xfId="33919"/>
    <cellStyle name="40% - Accent4 3 3 3 3" xfId="8213"/>
    <cellStyle name="40% - Accent4 3 3 3 3 2" xfId="25260"/>
    <cellStyle name="40% - Accent4 3 3 3 3 2 2" xfId="54121"/>
    <cellStyle name="40% - Accent4 3 3 3 3 3" xfId="37074"/>
    <cellStyle name="40% - Accent4 3 3 3 4" xfId="13124"/>
    <cellStyle name="40% - Accent4 3 3 3 4 2" xfId="19488"/>
    <cellStyle name="40% - Accent4 3 3 3 4 2 2" xfId="48349"/>
    <cellStyle name="40% - Accent4 3 3 3 4 3" xfId="41985"/>
    <cellStyle name="40% - Accent4 3 3 3 5" xfId="16808"/>
    <cellStyle name="40% - Accent4 3 3 3 5 2" xfId="45669"/>
    <cellStyle name="40% - Accent4 3 3 3 6" xfId="31033"/>
    <cellStyle name="40% - Accent4 3 3 4" xfId="3101"/>
    <cellStyle name="40% - Accent4 3 3 4 2" xfId="9142"/>
    <cellStyle name="40% - Accent4 3 3 4 2 2" xfId="26189"/>
    <cellStyle name="40% - Accent4 3 3 4 2 2 2" xfId="55050"/>
    <cellStyle name="40% - Accent4 3 3 4 2 3" xfId="38003"/>
    <cellStyle name="40% - Accent4 3 3 4 3" xfId="20211"/>
    <cellStyle name="40% - Accent4 3 3 4 3 2" xfId="49072"/>
    <cellStyle name="40% - Accent4 3 3 4 4" xfId="31962"/>
    <cellStyle name="40% - Accent4 3 3 5" xfId="6256"/>
    <cellStyle name="40% - Accent4 3 3 5 2" xfId="23303"/>
    <cellStyle name="40% - Accent4 3 3 5 2 2" xfId="52164"/>
    <cellStyle name="40% - Accent4 3 3 5 3" xfId="35117"/>
    <cellStyle name="40% - Accent4 3 3 6" xfId="13558"/>
    <cellStyle name="40% - Accent4 3 3 6 2" xfId="17634"/>
    <cellStyle name="40% - Accent4 3 3 6 2 2" xfId="46495"/>
    <cellStyle name="40% - Accent4 3 3 6 3" xfId="42419"/>
    <cellStyle name="40% - Accent4 3 3 7" xfId="14851"/>
    <cellStyle name="40% - Accent4 3 3 7 2" xfId="43712"/>
    <cellStyle name="40% - Accent4 3 3 8" xfId="29076"/>
    <cellStyle name="40% - Accent4 3 4" xfId="420"/>
    <cellStyle name="40% - Accent4 3 4 2" xfId="3307"/>
    <cellStyle name="40% - Accent4 3 4 2 2" xfId="9348"/>
    <cellStyle name="40% - Accent4 3 4 2 2 2" xfId="26395"/>
    <cellStyle name="40% - Accent4 3 4 2 2 2 2" xfId="55256"/>
    <cellStyle name="40% - Accent4 3 4 2 2 3" xfId="38209"/>
    <cellStyle name="40% - Accent4 3 4 2 3" xfId="20417"/>
    <cellStyle name="40% - Accent4 3 4 2 3 2" xfId="49278"/>
    <cellStyle name="40% - Accent4 3 4 2 4" xfId="32168"/>
    <cellStyle name="40% - Accent4 3 4 3" xfId="6462"/>
    <cellStyle name="40% - Accent4 3 4 3 2" xfId="23509"/>
    <cellStyle name="40% - Accent4 3 4 3 2 2" xfId="52370"/>
    <cellStyle name="40% - Accent4 3 4 3 3" xfId="35323"/>
    <cellStyle name="40% - Accent4 3 4 4" xfId="12905"/>
    <cellStyle name="40% - Accent4 3 4 4 2" xfId="17737"/>
    <cellStyle name="40% - Accent4 3 4 4 2 2" xfId="46598"/>
    <cellStyle name="40% - Accent4 3 4 4 3" xfId="41766"/>
    <cellStyle name="40% - Accent4 3 4 5" xfId="15057"/>
    <cellStyle name="40% - Accent4 3 4 5 2" xfId="43918"/>
    <cellStyle name="40% - Accent4 3 4 6" xfId="29282"/>
    <cellStyle name="40% - Accent4 3 5" xfId="729"/>
    <cellStyle name="40% - Accent4 3 5 2" xfId="3616"/>
    <cellStyle name="40% - Accent4 3 5 2 2" xfId="9657"/>
    <cellStyle name="40% - Accent4 3 5 2 2 2" xfId="26704"/>
    <cellStyle name="40% - Accent4 3 5 2 2 2 2" xfId="55565"/>
    <cellStyle name="40% - Accent4 3 5 2 2 3" xfId="38518"/>
    <cellStyle name="40% - Accent4 3 5 2 3" xfId="20726"/>
    <cellStyle name="40% - Accent4 3 5 2 3 2" xfId="49587"/>
    <cellStyle name="40% - Accent4 3 5 2 4" xfId="32477"/>
    <cellStyle name="40% - Accent4 3 5 3" xfId="6771"/>
    <cellStyle name="40% - Accent4 3 5 3 2" xfId="23818"/>
    <cellStyle name="40% - Accent4 3 5 3 2 2" xfId="52679"/>
    <cellStyle name="40% - Accent4 3 5 3 3" xfId="35632"/>
    <cellStyle name="40% - Accent4 3 5 4" xfId="13140"/>
    <cellStyle name="40% - Accent4 3 5 4 2" xfId="18046"/>
    <cellStyle name="40% - Accent4 3 5 4 2 2" xfId="46907"/>
    <cellStyle name="40% - Accent4 3 5 4 3" xfId="42001"/>
    <cellStyle name="40% - Accent4 3 5 5" xfId="15366"/>
    <cellStyle name="40% - Accent4 3 5 5 2" xfId="44227"/>
    <cellStyle name="40% - Accent4 3 5 6" xfId="29591"/>
    <cellStyle name="40% - Accent4 3 6" xfId="935"/>
    <cellStyle name="40% - Accent4 3 6 2" xfId="3822"/>
    <cellStyle name="40% - Accent4 3 6 2 2" xfId="9863"/>
    <cellStyle name="40% - Accent4 3 6 2 2 2" xfId="26910"/>
    <cellStyle name="40% - Accent4 3 6 2 2 2 2" xfId="55771"/>
    <cellStyle name="40% - Accent4 3 6 2 2 3" xfId="38724"/>
    <cellStyle name="40% - Accent4 3 6 2 3" xfId="20932"/>
    <cellStyle name="40% - Accent4 3 6 2 3 2" xfId="49793"/>
    <cellStyle name="40% - Accent4 3 6 2 4" xfId="32683"/>
    <cellStyle name="40% - Accent4 3 6 3" xfId="6977"/>
    <cellStyle name="40% - Accent4 3 6 3 2" xfId="24024"/>
    <cellStyle name="40% - Accent4 3 6 3 2 2" xfId="52885"/>
    <cellStyle name="40% - Accent4 3 6 3 3" xfId="35838"/>
    <cellStyle name="40% - Accent4 3 6 4" xfId="11969"/>
    <cellStyle name="40% - Accent4 3 6 4 2" xfId="18252"/>
    <cellStyle name="40% - Accent4 3 6 4 2 2" xfId="47113"/>
    <cellStyle name="40% - Accent4 3 6 4 3" xfId="40830"/>
    <cellStyle name="40% - Accent4 3 6 5" xfId="15572"/>
    <cellStyle name="40% - Accent4 3 6 5 2" xfId="44433"/>
    <cellStyle name="40% - Accent4 3 6 6" xfId="29797"/>
    <cellStyle name="40% - Accent4 3 7" xfId="1141"/>
    <cellStyle name="40% - Accent4 3 7 2" xfId="4028"/>
    <cellStyle name="40% - Accent4 3 7 2 2" xfId="10069"/>
    <cellStyle name="40% - Accent4 3 7 2 2 2" xfId="27116"/>
    <cellStyle name="40% - Accent4 3 7 2 2 2 2" xfId="55977"/>
    <cellStyle name="40% - Accent4 3 7 2 2 3" xfId="38930"/>
    <cellStyle name="40% - Accent4 3 7 2 3" xfId="21138"/>
    <cellStyle name="40% - Accent4 3 7 2 3 2" xfId="49999"/>
    <cellStyle name="40% - Accent4 3 7 2 4" xfId="32889"/>
    <cellStyle name="40% - Accent4 3 7 3" xfId="7183"/>
    <cellStyle name="40% - Accent4 3 7 3 2" xfId="24230"/>
    <cellStyle name="40% - Accent4 3 7 3 2 2" xfId="53091"/>
    <cellStyle name="40% - Accent4 3 7 3 3" xfId="36044"/>
    <cellStyle name="40% - Accent4 3 7 4" xfId="13027"/>
    <cellStyle name="40% - Accent4 3 7 4 2" xfId="18458"/>
    <cellStyle name="40% - Accent4 3 7 4 2 2" xfId="47319"/>
    <cellStyle name="40% - Accent4 3 7 4 3" xfId="41888"/>
    <cellStyle name="40% - Accent4 3 7 5" xfId="15778"/>
    <cellStyle name="40% - Accent4 3 7 5 2" xfId="44639"/>
    <cellStyle name="40% - Accent4 3 7 6" xfId="30003"/>
    <cellStyle name="40% - Accent4 3 8" xfId="1347"/>
    <cellStyle name="40% - Accent4 3 8 2" xfId="4234"/>
    <cellStyle name="40% - Accent4 3 8 2 2" xfId="10275"/>
    <cellStyle name="40% - Accent4 3 8 2 2 2" xfId="27322"/>
    <cellStyle name="40% - Accent4 3 8 2 2 2 2" xfId="56183"/>
    <cellStyle name="40% - Accent4 3 8 2 2 3" xfId="39136"/>
    <cellStyle name="40% - Accent4 3 8 2 3" xfId="21344"/>
    <cellStyle name="40% - Accent4 3 8 2 3 2" xfId="50205"/>
    <cellStyle name="40% - Accent4 3 8 2 4" xfId="33095"/>
    <cellStyle name="40% - Accent4 3 8 3" xfId="7389"/>
    <cellStyle name="40% - Accent4 3 8 3 2" xfId="24436"/>
    <cellStyle name="40% - Accent4 3 8 3 2 2" xfId="53297"/>
    <cellStyle name="40% - Accent4 3 8 3 3" xfId="36250"/>
    <cellStyle name="40% - Accent4 3 8 4" xfId="12830"/>
    <cellStyle name="40% - Accent4 3 8 4 2" xfId="18664"/>
    <cellStyle name="40% - Accent4 3 8 4 2 2" xfId="47525"/>
    <cellStyle name="40% - Accent4 3 8 4 3" xfId="41691"/>
    <cellStyle name="40% - Accent4 3 8 5" xfId="15984"/>
    <cellStyle name="40% - Accent4 3 8 5 2" xfId="44845"/>
    <cellStyle name="40% - Accent4 3 8 6" xfId="30209"/>
    <cellStyle name="40% - Accent4 3 9" xfId="1553"/>
    <cellStyle name="40% - Accent4 3 9 2" xfId="4440"/>
    <cellStyle name="40% - Accent4 3 9 2 2" xfId="10481"/>
    <cellStyle name="40% - Accent4 3 9 2 2 2" xfId="27528"/>
    <cellStyle name="40% - Accent4 3 9 2 2 2 2" xfId="56389"/>
    <cellStyle name="40% - Accent4 3 9 2 2 3" xfId="39342"/>
    <cellStyle name="40% - Accent4 3 9 2 3" xfId="21550"/>
    <cellStyle name="40% - Accent4 3 9 2 3 2" xfId="50411"/>
    <cellStyle name="40% - Accent4 3 9 2 4" xfId="33301"/>
    <cellStyle name="40% - Accent4 3 9 3" xfId="7595"/>
    <cellStyle name="40% - Accent4 3 9 3 2" xfId="24642"/>
    <cellStyle name="40% - Accent4 3 9 3 2 2" xfId="53503"/>
    <cellStyle name="40% - Accent4 3 9 3 3" xfId="36456"/>
    <cellStyle name="40% - Accent4 3 9 4" xfId="12273"/>
    <cellStyle name="40% - Accent4 3 9 4 2" xfId="18870"/>
    <cellStyle name="40% - Accent4 3 9 4 2 2" xfId="47731"/>
    <cellStyle name="40% - Accent4 3 9 4 3" xfId="41134"/>
    <cellStyle name="40% - Accent4 3 9 5" xfId="16190"/>
    <cellStyle name="40% - Accent4 3 9 5 2" xfId="45051"/>
    <cellStyle name="40% - Accent4 3 9 6" xfId="30415"/>
    <cellStyle name="40% - Accent4 4" xfId="137"/>
    <cellStyle name="40% - Accent4 4 10" xfId="1785"/>
    <cellStyle name="40% - Accent4 4 10 2" xfId="4672"/>
    <cellStyle name="40% - Accent4 4 10 2 2" xfId="10713"/>
    <cellStyle name="40% - Accent4 4 10 2 2 2" xfId="27760"/>
    <cellStyle name="40% - Accent4 4 10 2 2 2 2" xfId="56621"/>
    <cellStyle name="40% - Accent4 4 10 2 2 3" xfId="39574"/>
    <cellStyle name="40% - Accent4 4 10 2 3" xfId="21782"/>
    <cellStyle name="40% - Accent4 4 10 2 3 2" xfId="50643"/>
    <cellStyle name="40% - Accent4 4 10 2 4" xfId="33533"/>
    <cellStyle name="40% - Accent4 4 10 3" xfId="7827"/>
    <cellStyle name="40% - Accent4 4 10 3 2" xfId="24874"/>
    <cellStyle name="40% - Accent4 4 10 3 2 2" xfId="53735"/>
    <cellStyle name="40% - Accent4 4 10 3 3" xfId="36688"/>
    <cellStyle name="40% - Accent4 4 10 4" xfId="12361"/>
    <cellStyle name="40% - Accent4 4 10 4 2" xfId="19102"/>
    <cellStyle name="40% - Accent4 4 10 4 2 2" xfId="47963"/>
    <cellStyle name="40% - Accent4 4 10 4 3" xfId="41222"/>
    <cellStyle name="40% - Accent4 4 10 5" xfId="16422"/>
    <cellStyle name="40% - Accent4 4 10 5 2" xfId="45283"/>
    <cellStyle name="40% - Accent4 4 10 6" xfId="30647"/>
    <cellStyle name="40% - Accent4 4 11" xfId="1991"/>
    <cellStyle name="40% - Accent4 4 11 2" xfId="4878"/>
    <cellStyle name="40% - Accent4 4 11 2 2" xfId="10919"/>
    <cellStyle name="40% - Accent4 4 11 2 2 2" xfId="27966"/>
    <cellStyle name="40% - Accent4 4 11 2 2 2 2" xfId="56827"/>
    <cellStyle name="40% - Accent4 4 11 2 2 3" xfId="39780"/>
    <cellStyle name="40% - Accent4 4 11 2 3" xfId="21988"/>
    <cellStyle name="40% - Accent4 4 11 2 3 2" xfId="50849"/>
    <cellStyle name="40% - Accent4 4 11 2 4" xfId="33739"/>
    <cellStyle name="40% - Accent4 4 11 3" xfId="8033"/>
    <cellStyle name="40% - Accent4 4 11 3 2" xfId="25080"/>
    <cellStyle name="40% - Accent4 4 11 3 2 2" xfId="53941"/>
    <cellStyle name="40% - Accent4 4 11 3 3" xfId="36894"/>
    <cellStyle name="40% - Accent4 4 11 4" xfId="12789"/>
    <cellStyle name="40% - Accent4 4 11 4 2" xfId="19308"/>
    <cellStyle name="40% - Accent4 4 11 4 2 2" xfId="48169"/>
    <cellStyle name="40% - Accent4 4 11 4 3" xfId="41650"/>
    <cellStyle name="40% - Accent4 4 11 5" xfId="16628"/>
    <cellStyle name="40% - Accent4 4 11 5 2" xfId="45489"/>
    <cellStyle name="40% - Accent4 4 11 6" xfId="30853"/>
    <cellStyle name="40% - Accent4 4 12" xfId="2403"/>
    <cellStyle name="40% - Accent4 4 12 2" xfId="5290"/>
    <cellStyle name="40% - Accent4 4 12 2 2" xfId="11331"/>
    <cellStyle name="40% - Accent4 4 12 2 2 2" xfId="28378"/>
    <cellStyle name="40% - Accent4 4 12 2 2 2 2" xfId="57239"/>
    <cellStyle name="40% - Accent4 4 12 2 2 3" xfId="40192"/>
    <cellStyle name="40% - Accent4 4 12 2 3" xfId="22400"/>
    <cellStyle name="40% - Accent4 4 12 2 3 2" xfId="51261"/>
    <cellStyle name="40% - Accent4 4 12 2 4" xfId="34151"/>
    <cellStyle name="40% - Accent4 4 12 3" xfId="8445"/>
    <cellStyle name="40% - Accent4 4 12 3 2" xfId="25492"/>
    <cellStyle name="40% - Accent4 4 12 3 2 2" xfId="54353"/>
    <cellStyle name="40% - Accent4 4 12 3 3" xfId="37306"/>
    <cellStyle name="40% - Accent4 4 12 4" xfId="14214"/>
    <cellStyle name="40% - Accent4 4 12 4 2" xfId="19720"/>
    <cellStyle name="40% - Accent4 4 12 4 2 2" xfId="48581"/>
    <cellStyle name="40% - Accent4 4 12 4 3" xfId="43075"/>
    <cellStyle name="40% - Accent4 4 12 5" xfId="17040"/>
    <cellStyle name="40% - Accent4 4 12 5 2" xfId="45901"/>
    <cellStyle name="40% - Accent4 4 12 6" xfId="31265"/>
    <cellStyle name="40% - Accent4 4 13" xfId="2612"/>
    <cellStyle name="40% - Accent4 4 13 2" xfId="5498"/>
    <cellStyle name="40% - Accent4 4 13 2 2" xfId="11539"/>
    <cellStyle name="40% - Accent4 4 13 2 2 2" xfId="28586"/>
    <cellStyle name="40% - Accent4 4 13 2 2 2 2" xfId="57447"/>
    <cellStyle name="40% - Accent4 4 13 2 2 3" xfId="40400"/>
    <cellStyle name="40% - Accent4 4 13 2 3" xfId="22608"/>
    <cellStyle name="40% - Accent4 4 13 2 3 2" xfId="51469"/>
    <cellStyle name="40% - Accent4 4 13 2 4" xfId="34359"/>
    <cellStyle name="40% - Accent4 4 13 3" xfId="8653"/>
    <cellStyle name="40% - Accent4 4 13 3 2" xfId="25700"/>
    <cellStyle name="40% - Accent4 4 13 3 2 2" xfId="54561"/>
    <cellStyle name="40% - Accent4 4 13 3 3" xfId="37514"/>
    <cellStyle name="40% - Accent4 4 13 4" xfId="13998"/>
    <cellStyle name="40% - Accent4 4 13 4 2" xfId="19928"/>
    <cellStyle name="40% - Accent4 4 13 4 2 2" xfId="48789"/>
    <cellStyle name="40% - Accent4 4 13 4 3" xfId="42859"/>
    <cellStyle name="40% - Accent4 4 13 5" xfId="17248"/>
    <cellStyle name="40% - Accent4 4 13 5 2" xfId="46109"/>
    <cellStyle name="40% - Accent4 4 13 6" xfId="31473"/>
    <cellStyle name="40% - Accent4 4 14" xfId="3024"/>
    <cellStyle name="40% - Accent4 4 14 2" xfId="9065"/>
    <cellStyle name="40% - Accent4 4 14 2 2" xfId="26112"/>
    <cellStyle name="40% - Accent4 4 14 2 2 2" xfId="54973"/>
    <cellStyle name="40% - Accent4 4 14 2 3" xfId="37926"/>
    <cellStyle name="40% - Accent4 4 14 3" xfId="12772"/>
    <cellStyle name="40% - Accent4 4 14 3 2" xfId="20134"/>
    <cellStyle name="40% - Accent4 4 14 3 2 2" xfId="48995"/>
    <cellStyle name="40% - Accent4 4 14 3 3" xfId="41633"/>
    <cellStyle name="40% - Accent4 4 14 4" xfId="14774"/>
    <cellStyle name="40% - Accent4 4 14 4 2" xfId="43635"/>
    <cellStyle name="40% - Accent4 4 14 5" xfId="31885"/>
    <cellStyle name="40% - Accent4 4 15" xfId="2818"/>
    <cellStyle name="40% - Accent4 4 15 2" xfId="8859"/>
    <cellStyle name="40% - Accent4 4 15 2 2" xfId="25906"/>
    <cellStyle name="40% - Accent4 4 15 2 2 2" xfId="54767"/>
    <cellStyle name="40% - Accent4 4 15 2 3" xfId="37720"/>
    <cellStyle name="40% - Accent4 4 15 3" xfId="17454"/>
    <cellStyle name="40% - Accent4 4 15 3 2" xfId="46315"/>
    <cellStyle name="40% - Accent4 4 15 4" xfId="31679"/>
    <cellStyle name="40% - Accent4 4 16" xfId="5704"/>
    <cellStyle name="40% - Accent4 4 16 2" xfId="11745"/>
    <cellStyle name="40% - Accent4 4 16 2 2" xfId="28792"/>
    <cellStyle name="40% - Accent4 4 16 2 2 2" xfId="57653"/>
    <cellStyle name="40% - Accent4 4 16 2 3" xfId="40606"/>
    <cellStyle name="40% - Accent4 4 16 3" xfId="22814"/>
    <cellStyle name="40% - Accent4 4 16 3 2" xfId="51675"/>
    <cellStyle name="40% - Accent4 4 16 4" xfId="34565"/>
    <cellStyle name="40% - Accent4 4 17" xfId="5921"/>
    <cellStyle name="40% - Accent4 4 17 2" xfId="23020"/>
    <cellStyle name="40% - Accent4 4 17 2 2" xfId="51881"/>
    <cellStyle name="40% - Accent4 4 17 3" xfId="34782"/>
    <cellStyle name="40% - Accent4 4 18" xfId="6179"/>
    <cellStyle name="40% - Accent4 4 18 2" xfId="23226"/>
    <cellStyle name="40% - Accent4 4 18 2 2" xfId="52087"/>
    <cellStyle name="40% - Accent4 4 18 3" xfId="35040"/>
    <cellStyle name="40% - Accent4 4 19" xfId="14568"/>
    <cellStyle name="40% - Accent4 4 19 2" xfId="43429"/>
    <cellStyle name="40% - Accent4 4 2" xfId="343"/>
    <cellStyle name="40% - Accent4 4 2 10" xfId="2506"/>
    <cellStyle name="40% - Accent4 4 2 10 2" xfId="5393"/>
    <cellStyle name="40% - Accent4 4 2 10 2 2" xfId="11434"/>
    <cellStyle name="40% - Accent4 4 2 10 2 2 2" xfId="28481"/>
    <cellStyle name="40% - Accent4 4 2 10 2 2 2 2" xfId="57342"/>
    <cellStyle name="40% - Accent4 4 2 10 2 2 3" xfId="40295"/>
    <cellStyle name="40% - Accent4 4 2 10 2 3" xfId="22503"/>
    <cellStyle name="40% - Accent4 4 2 10 2 3 2" xfId="51364"/>
    <cellStyle name="40% - Accent4 4 2 10 2 4" xfId="34254"/>
    <cellStyle name="40% - Accent4 4 2 10 3" xfId="8548"/>
    <cellStyle name="40% - Accent4 4 2 10 3 2" xfId="25595"/>
    <cellStyle name="40% - Accent4 4 2 10 3 2 2" xfId="54456"/>
    <cellStyle name="40% - Accent4 4 2 10 3 3" xfId="37409"/>
    <cellStyle name="40% - Accent4 4 2 10 4" xfId="6098"/>
    <cellStyle name="40% - Accent4 4 2 10 4 2" xfId="19823"/>
    <cellStyle name="40% - Accent4 4 2 10 4 2 2" xfId="48684"/>
    <cellStyle name="40% - Accent4 4 2 10 4 3" xfId="34959"/>
    <cellStyle name="40% - Accent4 4 2 10 5" xfId="17143"/>
    <cellStyle name="40% - Accent4 4 2 10 5 2" xfId="46004"/>
    <cellStyle name="40% - Accent4 4 2 10 6" xfId="31368"/>
    <cellStyle name="40% - Accent4 4 2 11" xfId="2715"/>
    <cellStyle name="40% - Accent4 4 2 11 2" xfId="5601"/>
    <cellStyle name="40% - Accent4 4 2 11 2 2" xfId="11642"/>
    <cellStyle name="40% - Accent4 4 2 11 2 2 2" xfId="28689"/>
    <cellStyle name="40% - Accent4 4 2 11 2 2 2 2" xfId="57550"/>
    <cellStyle name="40% - Accent4 4 2 11 2 2 3" xfId="40503"/>
    <cellStyle name="40% - Accent4 4 2 11 2 3" xfId="22711"/>
    <cellStyle name="40% - Accent4 4 2 11 2 3 2" xfId="51572"/>
    <cellStyle name="40% - Accent4 4 2 11 2 4" xfId="34462"/>
    <cellStyle name="40% - Accent4 4 2 11 3" xfId="8756"/>
    <cellStyle name="40% - Accent4 4 2 11 3 2" xfId="25803"/>
    <cellStyle name="40% - Accent4 4 2 11 3 2 2" xfId="54664"/>
    <cellStyle name="40% - Accent4 4 2 11 3 3" xfId="37617"/>
    <cellStyle name="40% - Accent4 4 2 11 4" xfId="13987"/>
    <cellStyle name="40% - Accent4 4 2 11 4 2" xfId="20031"/>
    <cellStyle name="40% - Accent4 4 2 11 4 2 2" xfId="48892"/>
    <cellStyle name="40% - Accent4 4 2 11 4 3" xfId="42848"/>
    <cellStyle name="40% - Accent4 4 2 11 5" xfId="17351"/>
    <cellStyle name="40% - Accent4 4 2 11 5 2" xfId="46212"/>
    <cellStyle name="40% - Accent4 4 2 11 6" xfId="31576"/>
    <cellStyle name="40% - Accent4 4 2 12" xfId="3230"/>
    <cellStyle name="40% - Accent4 4 2 12 2" xfId="9271"/>
    <cellStyle name="40% - Accent4 4 2 12 2 2" xfId="26318"/>
    <cellStyle name="40% - Accent4 4 2 12 2 2 2" xfId="55179"/>
    <cellStyle name="40% - Accent4 4 2 12 2 3" xfId="38132"/>
    <cellStyle name="40% - Accent4 4 2 12 3" xfId="12797"/>
    <cellStyle name="40% - Accent4 4 2 12 3 2" xfId="20340"/>
    <cellStyle name="40% - Accent4 4 2 12 3 2 2" xfId="49201"/>
    <cellStyle name="40% - Accent4 4 2 12 3 3" xfId="41658"/>
    <cellStyle name="40% - Accent4 4 2 12 4" xfId="14980"/>
    <cellStyle name="40% - Accent4 4 2 12 4 2" xfId="43841"/>
    <cellStyle name="40% - Accent4 4 2 12 5" xfId="32091"/>
    <cellStyle name="40% - Accent4 4 2 13" xfId="2921"/>
    <cellStyle name="40% - Accent4 4 2 13 2" xfId="8962"/>
    <cellStyle name="40% - Accent4 4 2 13 2 2" xfId="26009"/>
    <cellStyle name="40% - Accent4 4 2 13 2 2 2" xfId="54870"/>
    <cellStyle name="40% - Accent4 4 2 13 2 3" xfId="37823"/>
    <cellStyle name="40% - Accent4 4 2 13 3" xfId="17557"/>
    <cellStyle name="40% - Accent4 4 2 13 3 2" xfId="46418"/>
    <cellStyle name="40% - Accent4 4 2 13 4" xfId="31782"/>
    <cellStyle name="40% - Accent4 4 2 14" xfId="5807"/>
    <cellStyle name="40% - Accent4 4 2 14 2" xfId="11848"/>
    <cellStyle name="40% - Accent4 4 2 14 2 2" xfId="28895"/>
    <cellStyle name="40% - Accent4 4 2 14 2 2 2" xfId="57756"/>
    <cellStyle name="40% - Accent4 4 2 14 2 3" xfId="40709"/>
    <cellStyle name="40% - Accent4 4 2 14 3" xfId="22917"/>
    <cellStyle name="40% - Accent4 4 2 14 3 2" xfId="51778"/>
    <cellStyle name="40% - Accent4 4 2 14 4" xfId="34668"/>
    <cellStyle name="40% - Accent4 4 2 15" xfId="6024"/>
    <cellStyle name="40% - Accent4 4 2 15 2" xfId="23123"/>
    <cellStyle name="40% - Accent4 4 2 15 2 2" xfId="51984"/>
    <cellStyle name="40% - Accent4 4 2 15 3" xfId="34885"/>
    <cellStyle name="40% - Accent4 4 2 16" xfId="6385"/>
    <cellStyle name="40% - Accent4 4 2 16 2" xfId="23432"/>
    <cellStyle name="40% - Accent4 4 2 16 2 2" xfId="52293"/>
    <cellStyle name="40% - Accent4 4 2 16 3" xfId="35246"/>
    <cellStyle name="40% - Accent4 4 2 17" xfId="14671"/>
    <cellStyle name="40% - Accent4 4 2 17 2" xfId="43532"/>
    <cellStyle name="40% - Accent4 4 2 18" xfId="29205"/>
    <cellStyle name="40% - Accent4 4 2 2" xfId="549"/>
    <cellStyle name="40% - Accent4 4 2 2 2" xfId="2300"/>
    <cellStyle name="40% - Accent4 4 2 2 2 2" xfId="5187"/>
    <cellStyle name="40% - Accent4 4 2 2 2 2 2" xfId="11228"/>
    <cellStyle name="40% - Accent4 4 2 2 2 2 2 2" xfId="28275"/>
    <cellStyle name="40% - Accent4 4 2 2 2 2 2 2 2" xfId="57136"/>
    <cellStyle name="40% - Accent4 4 2 2 2 2 2 3" xfId="40089"/>
    <cellStyle name="40% - Accent4 4 2 2 2 2 3" xfId="22297"/>
    <cellStyle name="40% - Accent4 4 2 2 2 2 3 2" xfId="51158"/>
    <cellStyle name="40% - Accent4 4 2 2 2 2 4" xfId="34048"/>
    <cellStyle name="40% - Accent4 4 2 2 2 3" xfId="8342"/>
    <cellStyle name="40% - Accent4 4 2 2 2 3 2" xfId="25389"/>
    <cellStyle name="40% - Accent4 4 2 2 2 3 2 2" xfId="54250"/>
    <cellStyle name="40% - Accent4 4 2 2 2 3 3" xfId="37203"/>
    <cellStyle name="40% - Accent4 4 2 2 2 4" xfId="13365"/>
    <cellStyle name="40% - Accent4 4 2 2 2 4 2" xfId="19617"/>
    <cellStyle name="40% - Accent4 4 2 2 2 4 2 2" xfId="48478"/>
    <cellStyle name="40% - Accent4 4 2 2 2 4 3" xfId="42226"/>
    <cellStyle name="40% - Accent4 4 2 2 2 5" xfId="16937"/>
    <cellStyle name="40% - Accent4 4 2 2 2 5 2" xfId="45798"/>
    <cellStyle name="40% - Accent4 4 2 2 2 6" xfId="31162"/>
    <cellStyle name="40% - Accent4 4 2 2 3" xfId="3436"/>
    <cellStyle name="40% - Accent4 4 2 2 3 2" xfId="9477"/>
    <cellStyle name="40% - Accent4 4 2 2 3 2 2" xfId="26524"/>
    <cellStyle name="40% - Accent4 4 2 2 3 2 2 2" xfId="55385"/>
    <cellStyle name="40% - Accent4 4 2 2 3 2 3" xfId="38338"/>
    <cellStyle name="40% - Accent4 4 2 2 3 3" xfId="20546"/>
    <cellStyle name="40% - Accent4 4 2 2 3 3 2" xfId="49407"/>
    <cellStyle name="40% - Accent4 4 2 2 3 4" xfId="32297"/>
    <cellStyle name="40% - Accent4 4 2 2 4" xfId="6591"/>
    <cellStyle name="40% - Accent4 4 2 2 4 2" xfId="23638"/>
    <cellStyle name="40% - Accent4 4 2 2 4 2 2" xfId="52499"/>
    <cellStyle name="40% - Accent4 4 2 2 4 3" xfId="35452"/>
    <cellStyle name="40% - Accent4 4 2 2 5" xfId="13555"/>
    <cellStyle name="40% - Accent4 4 2 2 5 2" xfId="17866"/>
    <cellStyle name="40% - Accent4 4 2 2 5 2 2" xfId="46727"/>
    <cellStyle name="40% - Accent4 4 2 2 5 3" xfId="42416"/>
    <cellStyle name="40% - Accent4 4 2 2 6" xfId="15186"/>
    <cellStyle name="40% - Accent4 4 2 2 6 2" xfId="44047"/>
    <cellStyle name="40% - Accent4 4 2 2 7" xfId="29411"/>
    <cellStyle name="40% - Accent4 4 2 3" xfId="858"/>
    <cellStyle name="40% - Accent4 4 2 3 2" xfId="3745"/>
    <cellStyle name="40% - Accent4 4 2 3 2 2" xfId="9786"/>
    <cellStyle name="40% - Accent4 4 2 3 2 2 2" xfId="26833"/>
    <cellStyle name="40% - Accent4 4 2 3 2 2 2 2" xfId="55694"/>
    <cellStyle name="40% - Accent4 4 2 3 2 2 3" xfId="38647"/>
    <cellStyle name="40% - Accent4 4 2 3 2 3" xfId="20855"/>
    <cellStyle name="40% - Accent4 4 2 3 2 3 2" xfId="49716"/>
    <cellStyle name="40% - Accent4 4 2 3 2 4" xfId="32606"/>
    <cellStyle name="40% - Accent4 4 2 3 3" xfId="6900"/>
    <cellStyle name="40% - Accent4 4 2 3 3 2" xfId="23947"/>
    <cellStyle name="40% - Accent4 4 2 3 3 2 2" xfId="52808"/>
    <cellStyle name="40% - Accent4 4 2 3 3 3" xfId="35761"/>
    <cellStyle name="40% - Accent4 4 2 3 4" xfId="12900"/>
    <cellStyle name="40% - Accent4 4 2 3 4 2" xfId="18175"/>
    <cellStyle name="40% - Accent4 4 2 3 4 2 2" xfId="47036"/>
    <cellStyle name="40% - Accent4 4 2 3 4 3" xfId="41761"/>
    <cellStyle name="40% - Accent4 4 2 3 5" xfId="15495"/>
    <cellStyle name="40% - Accent4 4 2 3 5 2" xfId="44356"/>
    <cellStyle name="40% - Accent4 4 2 3 6" xfId="29720"/>
    <cellStyle name="40% - Accent4 4 2 4" xfId="1064"/>
    <cellStyle name="40% - Accent4 4 2 4 2" xfId="3951"/>
    <cellStyle name="40% - Accent4 4 2 4 2 2" xfId="9992"/>
    <cellStyle name="40% - Accent4 4 2 4 2 2 2" xfId="27039"/>
    <cellStyle name="40% - Accent4 4 2 4 2 2 2 2" xfId="55900"/>
    <cellStyle name="40% - Accent4 4 2 4 2 2 3" xfId="38853"/>
    <cellStyle name="40% - Accent4 4 2 4 2 3" xfId="21061"/>
    <cellStyle name="40% - Accent4 4 2 4 2 3 2" xfId="49922"/>
    <cellStyle name="40% - Accent4 4 2 4 2 4" xfId="32812"/>
    <cellStyle name="40% - Accent4 4 2 4 3" xfId="7106"/>
    <cellStyle name="40% - Accent4 4 2 4 3 2" xfId="24153"/>
    <cellStyle name="40% - Accent4 4 2 4 3 2 2" xfId="53014"/>
    <cellStyle name="40% - Accent4 4 2 4 3 3" xfId="35967"/>
    <cellStyle name="40% - Accent4 4 2 4 4" xfId="12560"/>
    <cellStyle name="40% - Accent4 4 2 4 4 2" xfId="18381"/>
    <cellStyle name="40% - Accent4 4 2 4 4 2 2" xfId="47242"/>
    <cellStyle name="40% - Accent4 4 2 4 4 3" xfId="41421"/>
    <cellStyle name="40% - Accent4 4 2 4 5" xfId="15701"/>
    <cellStyle name="40% - Accent4 4 2 4 5 2" xfId="44562"/>
    <cellStyle name="40% - Accent4 4 2 4 6" xfId="29926"/>
    <cellStyle name="40% - Accent4 4 2 5" xfId="1270"/>
    <cellStyle name="40% - Accent4 4 2 5 2" xfId="4157"/>
    <cellStyle name="40% - Accent4 4 2 5 2 2" xfId="10198"/>
    <cellStyle name="40% - Accent4 4 2 5 2 2 2" xfId="27245"/>
    <cellStyle name="40% - Accent4 4 2 5 2 2 2 2" xfId="56106"/>
    <cellStyle name="40% - Accent4 4 2 5 2 2 3" xfId="39059"/>
    <cellStyle name="40% - Accent4 4 2 5 2 3" xfId="21267"/>
    <cellStyle name="40% - Accent4 4 2 5 2 3 2" xfId="50128"/>
    <cellStyle name="40% - Accent4 4 2 5 2 4" xfId="33018"/>
    <cellStyle name="40% - Accent4 4 2 5 3" xfId="7312"/>
    <cellStyle name="40% - Accent4 4 2 5 3 2" xfId="24359"/>
    <cellStyle name="40% - Accent4 4 2 5 3 2 2" xfId="53220"/>
    <cellStyle name="40% - Accent4 4 2 5 3 3" xfId="36173"/>
    <cellStyle name="40% - Accent4 4 2 5 4" xfId="12076"/>
    <cellStyle name="40% - Accent4 4 2 5 4 2" xfId="18587"/>
    <cellStyle name="40% - Accent4 4 2 5 4 2 2" xfId="47448"/>
    <cellStyle name="40% - Accent4 4 2 5 4 3" xfId="40937"/>
    <cellStyle name="40% - Accent4 4 2 5 5" xfId="15907"/>
    <cellStyle name="40% - Accent4 4 2 5 5 2" xfId="44768"/>
    <cellStyle name="40% - Accent4 4 2 5 6" xfId="30132"/>
    <cellStyle name="40% - Accent4 4 2 6" xfId="1476"/>
    <cellStyle name="40% - Accent4 4 2 6 2" xfId="4363"/>
    <cellStyle name="40% - Accent4 4 2 6 2 2" xfId="10404"/>
    <cellStyle name="40% - Accent4 4 2 6 2 2 2" xfId="27451"/>
    <cellStyle name="40% - Accent4 4 2 6 2 2 2 2" xfId="56312"/>
    <cellStyle name="40% - Accent4 4 2 6 2 2 3" xfId="39265"/>
    <cellStyle name="40% - Accent4 4 2 6 2 3" xfId="21473"/>
    <cellStyle name="40% - Accent4 4 2 6 2 3 2" xfId="50334"/>
    <cellStyle name="40% - Accent4 4 2 6 2 4" xfId="33224"/>
    <cellStyle name="40% - Accent4 4 2 6 3" xfId="7518"/>
    <cellStyle name="40% - Accent4 4 2 6 3 2" xfId="24565"/>
    <cellStyle name="40% - Accent4 4 2 6 3 2 2" xfId="53426"/>
    <cellStyle name="40% - Accent4 4 2 6 3 3" xfId="36379"/>
    <cellStyle name="40% - Accent4 4 2 6 4" xfId="12325"/>
    <cellStyle name="40% - Accent4 4 2 6 4 2" xfId="18793"/>
    <cellStyle name="40% - Accent4 4 2 6 4 2 2" xfId="47654"/>
    <cellStyle name="40% - Accent4 4 2 6 4 3" xfId="41186"/>
    <cellStyle name="40% - Accent4 4 2 6 5" xfId="16113"/>
    <cellStyle name="40% - Accent4 4 2 6 5 2" xfId="44974"/>
    <cellStyle name="40% - Accent4 4 2 6 6" xfId="30338"/>
    <cellStyle name="40% - Accent4 4 2 7" xfId="1682"/>
    <cellStyle name="40% - Accent4 4 2 7 2" xfId="4569"/>
    <cellStyle name="40% - Accent4 4 2 7 2 2" xfId="10610"/>
    <cellStyle name="40% - Accent4 4 2 7 2 2 2" xfId="27657"/>
    <cellStyle name="40% - Accent4 4 2 7 2 2 2 2" xfId="56518"/>
    <cellStyle name="40% - Accent4 4 2 7 2 2 3" xfId="39471"/>
    <cellStyle name="40% - Accent4 4 2 7 2 3" xfId="21679"/>
    <cellStyle name="40% - Accent4 4 2 7 2 3 2" xfId="50540"/>
    <cellStyle name="40% - Accent4 4 2 7 2 4" xfId="33430"/>
    <cellStyle name="40% - Accent4 4 2 7 3" xfId="7724"/>
    <cellStyle name="40% - Accent4 4 2 7 3 2" xfId="24771"/>
    <cellStyle name="40% - Accent4 4 2 7 3 2 2" xfId="53632"/>
    <cellStyle name="40% - Accent4 4 2 7 3 3" xfId="36585"/>
    <cellStyle name="40% - Accent4 4 2 7 4" xfId="12575"/>
    <cellStyle name="40% - Accent4 4 2 7 4 2" xfId="18999"/>
    <cellStyle name="40% - Accent4 4 2 7 4 2 2" xfId="47860"/>
    <cellStyle name="40% - Accent4 4 2 7 4 3" xfId="41436"/>
    <cellStyle name="40% - Accent4 4 2 7 5" xfId="16319"/>
    <cellStyle name="40% - Accent4 4 2 7 5 2" xfId="45180"/>
    <cellStyle name="40% - Accent4 4 2 7 6" xfId="30544"/>
    <cellStyle name="40% - Accent4 4 2 8" xfId="1888"/>
    <cellStyle name="40% - Accent4 4 2 8 2" xfId="4775"/>
    <cellStyle name="40% - Accent4 4 2 8 2 2" xfId="10816"/>
    <cellStyle name="40% - Accent4 4 2 8 2 2 2" xfId="27863"/>
    <cellStyle name="40% - Accent4 4 2 8 2 2 2 2" xfId="56724"/>
    <cellStyle name="40% - Accent4 4 2 8 2 2 3" xfId="39677"/>
    <cellStyle name="40% - Accent4 4 2 8 2 3" xfId="21885"/>
    <cellStyle name="40% - Accent4 4 2 8 2 3 2" xfId="50746"/>
    <cellStyle name="40% - Accent4 4 2 8 2 4" xfId="33636"/>
    <cellStyle name="40% - Accent4 4 2 8 3" xfId="7930"/>
    <cellStyle name="40% - Accent4 4 2 8 3 2" xfId="24977"/>
    <cellStyle name="40% - Accent4 4 2 8 3 2 2" xfId="53838"/>
    <cellStyle name="40% - Accent4 4 2 8 3 3" xfId="36791"/>
    <cellStyle name="40% - Accent4 4 2 8 4" xfId="11922"/>
    <cellStyle name="40% - Accent4 4 2 8 4 2" xfId="19205"/>
    <cellStyle name="40% - Accent4 4 2 8 4 2 2" xfId="48066"/>
    <cellStyle name="40% - Accent4 4 2 8 4 3" xfId="40783"/>
    <cellStyle name="40% - Accent4 4 2 8 5" xfId="16525"/>
    <cellStyle name="40% - Accent4 4 2 8 5 2" xfId="45386"/>
    <cellStyle name="40% - Accent4 4 2 8 6" xfId="30750"/>
    <cellStyle name="40% - Accent4 4 2 9" xfId="2094"/>
    <cellStyle name="40% - Accent4 4 2 9 2" xfId="4981"/>
    <cellStyle name="40% - Accent4 4 2 9 2 2" xfId="11022"/>
    <cellStyle name="40% - Accent4 4 2 9 2 2 2" xfId="28069"/>
    <cellStyle name="40% - Accent4 4 2 9 2 2 2 2" xfId="56930"/>
    <cellStyle name="40% - Accent4 4 2 9 2 2 3" xfId="39883"/>
    <cellStyle name="40% - Accent4 4 2 9 2 3" xfId="22091"/>
    <cellStyle name="40% - Accent4 4 2 9 2 3 2" xfId="50952"/>
    <cellStyle name="40% - Accent4 4 2 9 2 4" xfId="33842"/>
    <cellStyle name="40% - Accent4 4 2 9 3" xfId="8136"/>
    <cellStyle name="40% - Accent4 4 2 9 3 2" xfId="25183"/>
    <cellStyle name="40% - Accent4 4 2 9 3 2 2" xfId="54044"/>
    <cellStyle name="40% - Accent4 4 2 9 3 3" xfId="36997"/>
    <cellStyle name="40% - Accent4 4 2 9 4" xfId="12431"/>
    <cellStyle name="40% - Accent4 4 2 9 4 2" xfId="19411"/>
    <cellStyle name="40% - Accent4 4 2 9 4 2 2" xfId="48272"/>
    <cellStyle name="40% - Accent4 4 2 9 4 3" xfId="41292"/>
    <cellStyle name="40% - Accent4 4 2 9 5" xfId="16731"/>
    <cellStyle name="40% - Accent4 4 2 9 5 2" xfId="45592"/>
    <cellStyle name="40% - Accent4 4 2 9 6" xfId="30956"/>
    <cellStyle name="40% - Accent4 4 20" xfId="28999"/>
    <cellStyle name="40% - Accent4 4 3" xfId="240"/>
    <cellStyle name="40% - Accent4 4 3 2" xfId="652"/>
    <cellStyle name="40% - Accent4 4 3 2 2" xfId="3539"/>
    <cellStyle name="40% - Accent4 4 3 2 2 2" xfId="9580"/>
    <cellStyle name="40% - Accent4 4 3 2 2 2 2" xfId="26627"/>
    <cellStyle name="40% - Accent4 4 3 2 2 2 2 2" xfId="55488"/>
    <cellStyle name="40% - Accent4 4 3 2 2 2 3" xfId="38441"/>
    <cellStyle name="40% - Accent4 4 3 2 2 3" xfId="20649"/>
    <cellStyle name="40% - Accent4 4 3 2 2 3 2" xfId="49510"/>
    <cellStyle name="40% - Accent4 4 3 2 2 4" xfId="32400"/>
    <cellStyle name="40% - Accent4 4 3 2 3" xfId="6694"/>
    <cellStyle name="40% - Accent4 4 3 2 3 2" xfId="23741"/>
    <cellStyle name="40% - Accent4 4 3 2 3 2 2" xfId="52602"/>
    <cellStyle name="40% - Accent4 4 3 2 3 3" xfId="35555"/>
    <cellStyle name="40% - Accent4 4 3 2 4" xfId="14310"/>
    <cellStyle name="40% - Accent4 4 3 2 4 2" xfId="17969"/>
    <cellStyle name="40% - Accent4 4 3 2 4 2 2" xfId="46830"/>
    <cellStyle name="40% - Accent4 4 3 2 4 3" xfId="43171"/>
    <cellStyle name="40% - Accent4 4 3 2 5" xfId="15289"/>
    <cellStyle name="40% - Accent4 4 3 2 5 2" xfId="44150"/>
    <cellStyle name="40% - Accent4 4 3 2 6" xfId="29514"/>
    <cellStyle name="40% - Accent4 4 3 3" xfId="2197"/>
    <cellStyle name="40% - Accent4 4 3 3 2" xfId="5084"/>
    <cellStyle name="40% - Accent4 4 3 3 2 2" xfId="11125"/>
    <cellStyle name="40% - Accent4 4 3 3 2 2 2" xfId="28172"/>
    <cellStyle name="40% - Accent4 4 3 3 2 2 2 2" xfId="57033"/>
    <cellStyle name="40% - Accent4 4 3 3 2 2 3" xfId="39986"/>
    <cellStyle name="40% - Accent4 4 3 3 2 3" xfId="22194"/>
    <cellStyle name="40% - Accent4 4 3 3 2 3 2" xfId="51055"/>
    <cellStyle name="40% - Accent4 4 3 3 2 4" xfId="33945"/>
    <cellStyle name="40% - Accent4 4 3 3 3" xfId="8239"/>
    <cellStyle name="40% - Accent4 4 3 3 3 2" xfId="25286"/>
    <cellStyle name="40% - Accent4 4 3 3 3 2 2" xfId="54147"/>
    <cellStyle name="40% - Accent4 4 3 3 3 3" xfId="37100"/>
    <cellStyle name="40% - Accent4 4 3 3 4" xfId="13508"/>
    <cellStyle name="40% - Accent4 4 3 3 4 2" xfId="19514"/>
    <cellStyle name="40% - Accent4 4 3 3 4 2 2" xfId="48375"/>
    <cellStyle name="40% - Accent4 4 3 3 4 3" xfId="42369"/>
    <cellStyle name="40% - Accent4 4 3 3 5" xfId="16834"/>
    <cellStyle name="40% - Accent4 4 3 3 5 2" xfId="45695"/>
    <cellStyle name="40% - Accent4 4 3 3 6" xfId="31059"/>
    <cellStyle name="40% - Accent4 4 3 4" xfId="3127"/>
    <cellStyle name="40% - Accent4 4 3 4 2" xfId="9168"/>
    <cellStyle name="40% - Accent4 4 3 4 2 2" xfId="26215"/>
    <cellStyle name="40% - Accent4 4 3 4 2 2 2" xfId="55076"/>
    <cellStyle name="40% - Accent4 4 3 4 2 3" xfId="38029"/>
    <cellStyle name="40% - Accent4 4 3 4 3" xfId="20237"/>
    <cellStyle name="40% - Accent4 4 3 4 3 2" xfId="49098"/>
    <cellStyle name="40% - Accent4 4 3 4 4" xfId="31988"/>
    <cellStyle name="40% - Accent4 4 3 5" xfId="6282"/>
    <cellStyle name="40% - Accent4 4 3 5 2" xfId="23329"/>
    <cellStyle name="40% - Accent4 4 3 5 2 2" xfId="52190"/>
    <cellStyle name="40% - Accent4 4 3 5 3" xfId="35143"/>
    <cellStyle name="40% - Accent4 4 3 6" xfId="12940"/>
    <cellStyle name="40% - Accent4 4 3 6 2" xfId="17660"/>
    <cellStyle name="40% - Accent4 4 3 6 2 2" xfId="46521"/>
    <cellStyle name="40% - Accent4 4 3 6 3" xfId="41801"/>
    <cellStyle name="40% - Accent4 4 3 7" xfId="14877"/>
    <cellStyle name="40% - Accent4 4 3 7 2" xfId="43738"/>
    <cellStyle name="40% - Accent4 4 3 8" xfId="29102"/>
    <cellStyle name="40% - Accent4 4 4" xfId="446"/>
    <cellStyle name="40% - Accent4 4 4 2" xfId="3333"/>
    <cellStyle name="40% - Accent4 4 4 2 2" xfId="9374"/>
    <cellStyle name="40% - Accent4 4 4 2 2 2" xfId="26421"/>
    <cellStyle name="40% - Accent4 4 4 2 2 2 2" xfId="55282"/>
    <cellStyle name="40% - Accent4 4 4 2 2 3" xfId="38235"/>
    <cellStyle name="40% - Accent4 4 4 2 3" xfId="20443"/>
    <cellStyle name="40% - Accent4 4 4 2 3 2" xfId="49304"/>
    <cellStyle name="40% - Accent4 4 4 2 4" xfId="32194"/>
    <cellStyle name="40% - Accent4 4 4 3" xfId="6488"/>
    <cellStyle name="40% - Accent4 4 4 3 2" xfId="23535"/>
    <cellStyle name="40% - Accent4 4 4 3 2 2" xfId="52396"/>
    <cellStyle name="40% - Accent4 4 4 3 3" xfId="35349"/>
    <cellStyle name="40% - Accent4 4 4 4" xfId="14147"/>
    <cellStyle name="40% - Accent4 4 4 4 2" xfId="17763"/>
    <cellStyle name="40% - Accent4 4 4 4 2 2" xfId="46624"/>
    <cellStyle name="40% - Accent4 4 4 4 3" xfId="43008"/>
    <cellStyle name="40% - Accent4 4 4 5" xfId="15083"/>
    <cellStyle name="40% - Accent4 4 4 5 2" xfId="43944"/>
    <cellStyle name="40% - Accent4 4 4 6" xfId="29308"/>
    <cellStyle name="40% - Accent4 4 5" xfId="755"/>
    <cellStyle name="40% - Accent4 4 5 2" xfId="3642"/>
    <cellStyle name="40% - Accent4 4 5 2 2" xfId="9683"/>
    <cellStyle name="40% - Accent4 4 5 2 2 2" xfId="26730"/>
    <cellStyle name="40% - Accent4 4 5 2 2 2 2" xfId="55591"/>
    <cellStyle name="40% - Accent4 4 5 2 2 3" xfId="38544"/>
    <cellStyle name="40% - Accent4 4 5 2 3" xfId="20752"/>
    <cellStyle name="40% - Accent4 4 5 2 3 2" xfId="49613"/>
    <cellStyle name="40% - Accent4 4 5 2 4" xfId="32503"/>
    <cellStyle name="40% - Accent4 4 5 3" xfId="6797"/>
    <cellStyle name="40% - Accent4 4 5 3 2" xfId="23844"/>
    <cellStyle name="40% - Accent4 4 5 3 2 2" xfId="52705"/>
    <cellStyle name="40% - Accent4 4 5 3 3" xfId="35658"/>
    <cellStyle name="40% - Accent4 4 5 4" xfId="13243"/>
    <cellStyle name="40% - Accent4 4 5 4 2" xfId="18072"/>
    <cellStyle name="40% - Accent4 4 5 4 2 2" xfId="46933"/>
    <cellStyle name="40% - Accent4 4 5 4 3" xfId="42104"/>
    <cellStyle name="40% - Accent4 4 5 5" xfId="15392"/>
    <cellStyle name="40% - Accent4 4 5 5 2" xfId="44253"/>
    <cellStyle name="40% - Accent4 4 5 6" xfId="29617"/>
    <cellStyle name="40% - Accent4 4 6" xfId="961"/>
    <cellStyle name="40% - Accent4 4 6 2" xfId="3848"/>
    <cellStyle name="40% - Accent4 4 6 2 2" xfId="9889"/>
    <cellStyle name="40% - Accent4 4 6 2 2 2" xfId="26936"/>
    <cellStyle name="40% - Accent4 4 6 2 2 2 2" xfId="55797"/>
    <cellStyle name="40% - Accent4 4 6 2 2 3" xfId="38750"/>
    <cellStyle name="40% - Accent4 4 6 2 3" xfId="20958"/>
    <cellStyle name="40% - Accent4 4 6 2 3 2" xfId="49819"/>
    <cellStyle name="40% - Accent4 4 6 2 4" xfId="32709"/>
    <cellStyle name="40% - Accent4 4 6 3" xfId="7003"/>
    <cellStyle name="40% - Accent4 4 6 3 2" xfId="24050"/>
    <cellStyle name="40% - Accent4 4 6 3 2 2" xfId="52911"/>
    <cellStyle name="40% - Accent4 4 6 3 3" xfId="35864"/>
    <cellStyle name="40% - Accent4 4 6 4" xfId="14026"/>
    <cellStyle name="40% - Accent4 4 6 4 2" xfId="18278"/>
    <cellStyle name="40% - Accent4 4 6 4 2 2" xfId="47139"/>
    <cellStyle name="40% - Accent4 4 6 4 3" xfId="42887"/>
    <cellStyle name="40% - Accent4 4 6 5" xfId="15598"/>
    <cellStyle name="40% - Accent4 4 6 5 2" xfId="44459"/>
    <cellStyle name="40% - Accent4 4 6 6" xfId="29823"/>
    <cellStyle name="40% - Accent4 4 7" xfId="1167"/>
    <cellStyle name="40% - Accent4 4 7 2" xfId="4054"/>
    <cellStyle name="40% - Accent4 4 7 2 2" xfId="10095"/>
    <cellStyle name="40% - Accent4 4 7 2 2 2" xfId="27142"/>
    <cellStyle name="40% - Accent4 4 7 2 2 2 2" xfId="56003"/>
    <cellStyle name="40% - Accent4 4 7 2 2 3" xfId="38956"/>
    <cellStyle name="40% - Accent4 4 7 2 3" xfId="21164"/>
    <cellStyle name="40% - Accent4 4 7 2 3 2" xfId="50025"/>
    <cellStyle name="40% - Accent4 4 7 2 4" xfId="32915"/>
    <cellStyle name="40% - Accent4 4 7 3" xfId="7209"/>
    <cellStyle name="40% - Accent4 4 7 3 2" xfId="24256"/>
    <cellStyle name="40% - Accent4 4 7 3 2 2" xfId="53117"/>
    <cellStyle name="40% - Accent4 4 7 3 3" xfId="36070"/>
    <cellStyle name="40% - Accent4 4 7 4" xfId="13370"/>
    <cellStyle name="40% - Accent4 4 7 4 2" xfId="18484"/>
    <cellStyle name="40% - Accent4 4 7 4 2 2" xfId="47345"/>
    <cellStyle name="40% - Accent4 4 7 4 3" xfId="42231"/>
    <cellStyle name="40% - Accent4 4 7 5" xfId="15804"/>
    <cellStyle name="40% - Accent4 4 7 5 2" xfId="44665"/>
    <cellStyle name="40% - Accent4 4 7 6" xfId="30029"/>
    <cellStyle name="40% - Accent4 4 8" xfId="1373"/>
    <cellStyle name="40% - Accent4 4 8 2" xfId="4260"/>
    <cellStyle name="40% - Accent4 4 8 2 2" xfId="10301"/>
    <cellStyle name="40% - Accent4 4 8 2 2 2" xfId="27348"/>
    <cellStyle name="40% - Accent4 4 8 2 2 2 2" xfId="56209"/>
    <cellStyle name="40% - Accent4 4 8 2 2 3" xfId="39162"/>
    <cellStyle name="40% - Accent4 4 8 2 3" xfId="21370"/>
    <cellStyle name="40% - Accent4 4 8 2 3 2" xfId="50231"/>
    <cellStyle name="40% - Accent4 4 8 2 4" xfId="33121"/>
    <cellStyle name="40% - Accent4 4 8 3" xfId="7415"/>
    <cellStyle name="40% - Accent4 4 8 3 2" xfId="24462"/>
    <cellStyle name="40% - Accent4 4 8 3 2 2" xfId="53323"/>
    <cellStyle name="40% - Accent4 4 8 3 3" xfId="36276"/>
    <cellStyle name="40% - Accent4 4 8 4" xfId="13357"/>
    <cellStyle name="40% - Accent4 4 8 4 2" xfId="18690"/>
    <cellStyle name="40% - Accent4 4 8 4 2 2" xfId="47551"/>
    <cellStyle name="40% - Accent4 4 8 4 3" xfId="42218"/>
    <cellStyle name="40% - Accent4 4 8 5" xfId="16010"/>
    <cellStyle name="40% - Accent4 4 8 5 2" xfId="44871"/>
    <cellStyle name="40% - Accent4 4 8 6" xfId="30235"/>
    <cellStyle name="40% - Accent4 4 9" xfId="1579"/>
    <cellStyle name="40% - Accent4 4 9 2" xfId="4466"/>
    <cellStyle name="40% - Accent4 4 9 2 2" xfId="10507"/>
    <cellStyle name="40% - Accent4 4 9 2 2 2" xfId="27554"/>
    <cellStyle name="40% - Accent4 4 9 2 2 2 2" xfId="56415"/>
    <cellStyle name="40% - Accent4 4 9 2 2 3" xfId="39368"/>
    <cellStyle name="40% - Accent4 4 9 2 3" xfId="21576"/>
    <cellStyle name="40% - Accent4 4 9 2 3 2" xfId="50437"/>
    <cellStyle name="40% - Accent4 4 9 2 4" xfId="33327"/>
    <cellStyle name="40% - Accent4 4 9 3" xfId="7621"/>
    <cellStyle name="40% - Accent4 4 9 3 2" xfId="24668"/>
    <cellStyle name="40% - Accent4 4 9 3 2 2" xfId="53529"/>
    <cellStyle name="40% - Accent4 4 9 3 3" xfId="36482"/>
    <cellStyle name="40% - Accent4 4 9 4" xfId="13524"/>
    <cellStyle name="40% - Accent4 4 9 4 2" xfId="18896"/>
    <cellStyle name="40% - Accent4 4 9 4 2 2" xfId="47757"/>
    <cellStyle name="40% - Accent4 4 9 4 3" xfId="42385"/>
    <cellStyle name="40% - Accent4 4 9 5" xfId="16216"/>
    <cellStyle name="40% - Accent4 4 9 5 2" xfId="45077"/>
    <cellStyle name="40% - Accent4 4 9 6" xfId="30441"/>
    <cellStyle name="40% - Accent4 5" xfId="290"/>
    <cellStyle name="40% - Accent4 5 10" xfId="2453"/>
    <cellStyle name="40% - Accent4 5 10 2" xfId="5340"/>
    <cellStyle name="40% - Accent4 5 10 2 2" xfId="11381"/>
    <cellStyle name="40% - Accent4 5 10 2 2 2" xfId="28428"/>
    <cellStyle name="40% - Accent4 5 10 2 2 2 2" xfId="57289"/>
    <cellStyle name="40% - Accent4 5 10 2 2 3" xfId="40242"/>
    <cellStyle name="40% - Accent4 5 10 2 3" xfId="22450"/>
    <cellStyle name="40% - Accent4 5 10 2 3 2" xfId="51311"/>
    <cellStyle name="40% - Accent4 5 10 2 4" xfId="34201"/>
    <cellStyle name="40% - Accent4 5 10 3" xfId="8495"/>
    <cellStyle name="40% - Accent4 5 10 3 2" xfId="25542"/>
    <cellStyle name="40% - Accent4 5 10 3 2 2" xfId="54403"/>
    <cellStyle name="40% - Accent4 5 10 3 3" xfId="37356"/>
    <cellStyle name="40% - Accent4 5 10 4" xfId="14386"/>
    <cellStyle name="40% - Accent4 5 10 4 2" xfId="19770"/>
    <cellStyle name="40% - Accent4 5 10 4 2 2" xfId="48631"/>
    <cellStyle name="40% - Accent4 5 10 4 3" xfId="43247"/>
    <cellStyle name="40% - Accent4 5 10 5" xfId="17090"/>
    <cellStyle name="40% - Accent4 5 10 5 2" xfId="45951"/>
    <cellStyle name="40% - Accent4 5 10 6" xfId="31315"/>
    <cellStyle name="40% - Accent4 5 11" xfId="2662"/>
    <cellStyle name="40% - Accent4 5 11 2" xfId="5548"/>
    <cellStyle name="40% - Accent4 5 11 2 2" xfId="11589"/>
    <cellStyle name="40% - Accent4 5 11 2 2 2" xfId="28636"/>
    <cellStyle name="40% - Accent4 5 11 2 2 2 2" xfId="57497"/>
    <cellStyle name="40% - Accent4 5 11 2 2 3" xfId="40450"/>
    <cellStyle name="40% - Accent4 5 11 2 3" xfId="22658"/>
    <cellStyle name="40% - Accent4 5 11 2 3 2" xfId="51519"/>
    <cellStyle name="40% - Accent4 5 11 2 4" xfId="34409"/>
    <cellStyle name="40% - Accent4 5 11 3" xfId="8703"/>
    <cellStyle name="40% - Accent4 5 11 3 2" xfId="25750"/>
    <cellStyle name="40% - Accent4 5 11 3 2 2" xfId="54611"/>
    <cellStyle name="40% - Accent4 5 11 3 3" xfId="37564"/>
    <cellStyle name="40% - Accent4 5 11 4" xfId="12661"/>
    <cellStyle name="40% - Accent4 5 11 4 2" xfId="19978"/>
    <cellStyle name="40% - Accent4 5 11 4 2 2" xfId="48839"/>
    <cellStyle name="40% - Accent4 5 11 4 3" xfId="41522"/>
    <cellStyle name="40% - Accent4 5 11 5" xfId="17298"/>
    <cellStyle name="40% - Accent4 5 11 5 2" xfId="46159"/>
    <cellStyle name="40% - Accent4 5 11 6" xfId="31523"/>
    <cellStyle name="40% - Accent4 5 12" xfId="3177"/>
    <cellStyle name="40% - Accent4 5 12 2" xfId="9218"/>
    <cellStyle name="40% - Accent4 5 12 2 2" xfId="26265"/>
    <cellStyle name="40% - Accent4 5 12 2 2 2" xfId="55126"/>
    <cellStyle name="40% - Accent4 5 12 2 3" xfId="38079"/>
    <cellStyle name="40% - Accent4 5 12 3" xfId="13271"/>
    <cellStyle name="40% - Accent4 5 12 3 2" xfId="20287"/>
    <cellStyle name="40% - Accent4 5 12 3 2 2" xfId="49148"/>
    <cellStyle name="40% - Accent4 5 12 3 3" xfId="42132"/>
    <cellStyle name="40% - Accent4 5 12 4" xfId="14927"/>
    <cellStyle name="40% - Accent4 5 12 4 2" xfId="43788"/>
    <cellStyle name="40% - Accent4 5 12 5" xfId="32038"/>
    <cellStyle name="40% - Accent4 5 13" xfId="2868"/>
    <cellStyle name="40% - Accent4 5 13 2" xfId="8909"/>
    <cellStyle name="40% - Accent4 5 13 2 2" xfId="25956"/>
    <cellStyle name="40% - Accent4 5 13 2 2 2" xfId="54817"/>
    <cellStyle name="40% - Accent4 5 13 2 3" xfId="37770"/>
    <cellStyle name="40% - Accent4 5 13 3" xfId="17504"/>
    <cellStyle name="40% - Accent4 5 13 3 2" xfId="46365"/>
    <cellStyle name="40% - Accent4 5 13 4" xfId="31729"/>
    <cellStyle name="40% - Accent4 5 14" xfId="5754"/>
    <cellStyle name="40% - Accent4 5 14 2" xfId="11795"/>
    <cellStyle name="40% - Accent4 5 14 2 2" xfId="28842"/>
    <cellStyle name="40% - Accent4 5 14 2 2 2" xfId="57703"/>
    <cellStyle name="40% - Accent4 5 14 2 3" xfId="40656"/>
    <cellStyle name="40% - Accent4 5 14 3" xfId="22864"/>
    <cellStyle name="40% - Accent4 5 14 3 2" xfId="51725"/>
    <cellStyle name="40% - Accent4 5 14 4" xfId="34615"/>
    <cellStyle name="40% - Accent4 5 15" xfId="5971"/>
    <cellStyle name="40% - Accent4 5 15 2" xfId="23070"/>
    <cellStyle name="40% - Accent4 5 15 2 2" xfId="51931"/>
    <cellStyle name="40% - Accent4 5 15 3" xfId="34832"/>
    <cellStyle name="40% - Accent4 5 16" xfId="6332"/>
    <cellStyle name="40% - Accent4 5 16 2" xfId="23379"/>
    <cellStyle name="40% - Accent4 5 16 2 2" xfId="52240"/>
    <cellStyle name="40% - Accent4 5 16 3" xfId="35193"/>
    <cellStyle name="40% - Accent4 5 17" xfId="14618"/>
    <cellStyle name="40% - Accent4 5 17 2" xfId="43479"/>
    <cellStyle name="40% - Accent4 5 18" xfId="29152"/>
    <cellStyle name="40% - Accent4 5 2" xfId="496"/>
    <cellStyle name="40% - Accent4 5 2 2" xfId="2247"/>
    <cellStyle name="40% - Accent4 5 2 2 2" xfId="5134"/>
    <cellStyle name="40% - Accent4 5 2 2 2 2" xfId="11175"/>
    <cellStyle name="40% - Accent4 5 2 2 2 2 2" xfId="28222"/>
    <cellStyle name="40% - Accent4 5 2 2 2 2 2 2" xfId="57083"/>
    <cellStyle name="40% - Accent4 5 2 2 2 2 3" xfId="40036"/>
    <cellStyle name="40% - Accent4 5 2 2 2 3" xfId="22244"/>
    <cellStyle name="40% - Accent4 5 2 2 2 3 2" xfId="51105"/>
    <cellStyle name="40% - Accent4 5 2 2 2 4" xfId="33995"/>
    <cellStyle name="40% - Accent4 5 2 2 3" xfId="8289"/>
    <cellStyle name="40% - Accent4 5 2 2 3 2" xfId="25336"/>
    <cellStyle name="40% - Accent4 5 2 2 3 2 2" xfId="54197"/>
    <cellStyle name="40% - Accent4 5 2 2 3 3" xfId="37150"/>
    <cellStyle name="40% - Accent4 5 2 2 4" xfId="13109"/>
    <cellStyle name="40% - Accent4 5 2 2 4 2" xfId="19564"/>
    <cellStyle name="40% - Accent4 5 2 2 4 2 2" xfId="48425"/>
    <cellStyle name="40% - Accent4 5 2 2 4 3" xfId="41970"/>
    <cellStyle name="40% - Accent4 5 2 2 5" xfId="16884"/>
    <cellStyle name="40% - Accent4 5 2 2 5 2" xfId="45745"/>
    <cellStyle name="40% - Accent4 5 2 2 6" xfId="31109"/>
    <cellStyle name="40% - Accent4 5 2 3" xfId="3383"/>
    <cellStyle name="40% - Accent4 5 2 3 2" xfId="9424"/>
    <cellStyle name="40% - Accent4 5 2 3 2 2" xfId="26471"/>
    <cellStyle name="40% - Accent4 5 2 3 2 2 2" xfId="55332"/>
    <cellStyle name="40% - Accent4 5 2 3 2 3" xfId="38285"/>
    <cellStyle name="40% - Accent4 5 2 3 3" xfId="20493"/>
    <cellStyle name="40% - Accent4 5 2 3 3 2" xfId="49354"/>
    <cellStyle name="40% - Accent4 5 2 3 4" xfId="32244"/>
    <cellStyle name="40% - Accent4 5 2 4" xfId="6538"/>
    <cellStyle name="40% - Accent4 5 2 4 2" xfId="23585"/>
    <cellStyle name="40% - Accent4 5 2 4 2 2" xfId="52446"/>
    <cellStyle name="40% - Accent4 5 2 4 3" xfId="35399"/>
    <cellStyle name="40% - Accent4 5 2 5" xfId="13602"/>
    <cellStyle name="40% - Accent4 5 2 5 2" xfId="17813"/>
    <cellStyle name="40% - Accent4 5 2 5 2 2" xfId="46674"/>
    <cellStyle name="40% - Accent4 5 2 5 3" xfId="42463"/>
    <cellStyle name="40% - Accent4 5 2 6" xfId="15133"/>
    <cellStyle name="40% - Accent4 5 2 6 2" xfId="43994"/>
    <cellStyle name="40% - Accent4 5 2 7" xfId="29358"/>
    <cellStyle name="40% - Accent4 5 3" xfId="805"/>
    <cellStyle name="40% - Accent4 5 3 2" xfId="3692"/>
    <cellStyle name="40% - Accent4 5 3 2 2" xfId="9733"/>
    <cellStyle name="40% - Accent4 5 3 2 2 2" xfId="26780"/>
    <cellStyle name="40% - Accent4 5 3 2 2 2 2" xfId="55641"/>
    <cellStyle name="40% - Accent4 5 3 2 2 3" xfId="38594"/>
    <cellStyle name="40% - Accent4 5 3 2 3" xfId="20802"/>
    <cellStyle name="40% - Accent4 5 3 2 3 2" xfId="49663"/>
    <cellStyle name="40% - Accent4 5 3 2 4" xfId="32553"/>
    <cellStyle name="40% - Accent4 5 3 3" xfId="6847"/>
    <cellStyle name="40% - Accent4 5 3 3 2" xfId="23894"/>
    <cellStyle name="40% - Accent4 5 3 3 2 2" xfId="52755"/>
    <cellStyle name="40% - Accent4 5 3 3 3" xfId="35708"/>
    <cellStyle name="40% - Accent4 5 3 4" xfId="6062"/>
    <cellStyle name="40% - Accent4 5 3 4 2" xfId="18122"/>
    <cellStyle name="40% - Accent4 5 3 4 2 2" xfId="46983"/>
    <cellStyle name="40% - Accent4 5 3 4 3" xfId="34923"/>
    <cellStyle name="40% - Accent4 5 3 5" xfId="15442"/>
    <cellStyle name="40% - Accent4 5 3 5 2" xfId="44303"/>
    <cellStyle name="40% - Accent4 5 3 6" xfId="29667"/>
    <cellStyle name="40% - Accent4 5 4" xfId="1011"/>
    <cellStyle name="40% - Accent4 5 4 2" xfId="3898"/>
    <cellStyle name="40% - Accent4 5 4 2 2" xfId="9939"/>
    <cellStyle name="40% - Accent4 5 4 2 2 2" xfId="26986"/>
    <cellStyle name="40% - Accent4 5 4 2 2 2 2" xfId="55847"/>
    <cellStyle name="40% - Accent4 5 4 2 2 3" xfId="38800"/>
    <cellStyle name="40% - Accent4 5 4 2 3" xfId="21008"/>
    <cellStyle name="40% - Accent4 5 4 2 3 2" xfId="49869"/>
    <cellStyle name="40% - Accent4 5 4 2 4" xfId="32759"/>
    <cellStyle name="40% - Accent4 5 4 3" xfId="7053"/>
    <cellStyle name="40% - Accent4 5 4 3 2" xfId="24100"/>
    <cellStyle name="40% - Accent4 5 4 3 2 2" xfId="52961"/>
    <cellStyle name="40% - Accent4 5 4 3 3" xfId="35914"/>
    <cellStyle name="40% - Accent4 5 4 4" xfId="12700"/>
    <cellStyle name="40% - Accent4 5 4 4 2" xfId="18328"/>
    <cellStyle name="40% - Accent4 5 4 4 2 2" xfId="47189"/>
    <cellStyle name="40% - Accent4 5 4 4 3" xfId="41561"/>
    <cellStyle name="40% - Accent4 5 4 5" xfId="15648"/>
    <cellStyle name="40% - Accent4 5 4 5 2" xfId="44509"/>
    <cellStyle name="40% - Accent4 5 4 6" xfId="29873"/>
    <cellStyle name="40% - Accent4 5 5" xfId="1217"/>
    <cellStyle name="40% - Accent4 5 5 2" xfId="4104"/>
    <cellStyle name="40% - Accent4 5 5 2 2" xfId="10145"/>
    <cellStyle name="40% - Accent4 5 5 2 2 2" xfId="27192"/>
    <cellStyle name="40% - Accent4 5 5 2 2 2 2" xfId="56053"/>
    <cellStyle name="40% - Accent4 5 5 2 2 3" xfId="39006"/>
    <cellStyle name="40% - Accent4 5 5 2 3" xfId="21214"/>
    <cellStyle name="40% - Accent4 5 5 2 3 2" xfId="50075"/>
    <cellStyle name="40% - Accent4 5 5 2 4" xfId="32965"/>
    <cellStyle name="40% - Accent4 5 5 3" xfId="7259"/>
    <cellStyle name="40% - Accent4 5 5 3 2" xfId="24306"/>
    <cellStyle name="40% - Accent4 5 5 3 2 2" xfId="53167"/>
    <cellStyle name="40% - Accent4 5 5 3 3" xfId="36120"/>
    <cellStyle name="40% - Accent4 5 5 4" xfId="13058"/>
    <cellStyle name="40% - Accent4 5 5 4 2" xfId="18534"/>
    <cellStyle name="40% - Accent4 5 5 4 2 2" xfId="47395"/>
    <cellStyle name="40% - Accent4 5 5 4 3" xfId="41919"/>
    <cellStyle name="40% - Accent4 5 5 5" xfId="15854"/>
    <cellStyle name="40% - Accent4 5 5 5 2" xfId="44715"/>
    <cellStyle name="40% - Accent4 5 5 6" xfId="30079"/>
    <cellStyle name="40% - Accent4 5 6" xfId="1423"/>
    <cellStyle name="40% - Accent4 5 6 2" xfId="4310"/>
    <cellStyle name="40% - Accent4 5 6 2 2" xfId="10351"/>
    <cellStyle name="40% - Accent4 5 6 2 2 2" xfId="27398"/>
    <cellStyle name="40% - Accent4 5 6 2 2 2 2" xfId="56259"/>
    <cellStyle name="40% - Accent4 5 6 2 2 3" xfId="39212"/>
    <cellStyle name="40% - Accent4 5 6 2 3" xfId="21420"/>
    <cellStyle name="40% - Accent4 5 6 2 3 2" xfId="50281"/>
    <cellStyle name="40% - Accent4 5 6 2 4" xfId="33171"/>
    <cellStyle name="40% - Accent4 5 6 3" xfId="7465"/>
    <cellStyle name="40% - Accent4 5 6 3 2" xfId="24512"/>
    <cellStyle name="40% - Accent4 5 6 3 2 2" xfId="53373"/>
    <cellStyle name="40% - Accent4 5 6 3 3" xfId="36326"/>
    <cellStyle name="40% - Accent4 5 6 4" xfId="13239"/>
    <cellStyle name="40% - Accent4 5 6 4 2" xfId="18740"/>
    <cellStyle name="40% - Accent4 5 6 4 2 2" xfId="47601"/>
    <cellStyle name="40% - Accent4 5 6 4 3" xfId="42100"/>
    <cellStyle name="40% - Accent4 5 6 5" xfId="16060"/>
    <cellStyle name="40% - Accent4 5 6 5 2" xfId="44921"/>
    <cellStyle name="40% - Accent4 5 6 6" xfId="30285"/>
    <cellStyle name="40% - Accent4 5 7" xfId="1629"/>
    <cellStyle name="40% - Accent4 5 7 2" xfId="4516"/>
    <cellStyle name="40% - Accent4 5 7 2 2" xfId="10557"/>
    <cellStyle name="40% - Accent4 5 7 2 2 2" xfId="27604"/>
    <cellStyle name="40% - Accent4 5 7 2 2 2 2" xfId="56465"/>
    <cellStyle name="40% - Accent4 5 7 2 2 3" xfId="39418"/>
    <cellStyle name="40% - Accent4 5 7 2 3" xfId="21626"/>
    <cellStyle name="40% - Accent4 5 7 2 3 2" xfId="50487"/>
    <cellStyle name="40% - Accent4 5 7 2 4" xfId="33377"/>
    <cellStyle name="40% - Accent4 5 7 3" xfId="7671"/>
    <cellStyle name="40% - Accent4 5 7 3 2" xfId="24718"/>
    <cellStyle name="40% - Accent4 5 7 3 2 2" xfId="53579"/>
    <cellStyle name="40% - Accent4 5 7 3 3" xfId="36532"/>
    <cellStyle name="40% - Accent4 5 7 4" xfId="13605"/>
    <cellStyle name="40% - Accent4 5 7 4 2" xfId="18946"/>
    <cellStyle name="40% - Accent4 5 7 4 2 2" xfId="47807"/>
    <cellStyle name="40% - Accent4 5 7 4 3" xfId="42466"/>
    <cellStyle name="40% - Accent4 5 7 5" xfId="16266"/>
    <cellStyle name="40% - Accent4 5 7 5 2" xfId="45127"/>
    <cellStyle name="40% - Accent4 5 7 6" xfId="30491"/>
    <cellStyle name="40% - Accent4 5 8" xfId="1835"/>
    <cellStyle name="40% - Accent4 5 8 2" xfId="4722"/>
    <cellStyle name="40% - Accent4 5 8 2 2" xfId="10763"/>
    <cellStyle name="40% - Accent4 5 8 2 2 2" xfId="27810"/>
    <cellStyle name="40% - Accent4 5 8 2 2 2 2" xfId="56671"/>
    <cellStyle name="40% - Accent4 5 8 2 2 3" xfId="39624"/>
    <cellStyle name="40% - Accent4 5 8 2 3" xfId="21832"/>
    <cellStyle name="40% - Accent4 5 8 2 3 2" xfId="50693"/>
    <cellStyle name="40% - Accent4 5 8 2 4" xfId="33583"/>
    <cellStyle name="40% - Accent4 5 8 3" xfId="7877"/>
    <cellStyle name="40% - Accent4 5 8 3 2" xfId="24924"/>
    <cellStyle name="40% - Accent4 5 8 3 2 2" xfId="53785"/>
    <cellStyle name="40% - Accent4 5 8 3 3" xfId="36738"/>
    <cellStyle name="40% - Accent4 5 8 4" xfId="11897"/>
    <cellStyle name="40% - Accent4 5 8 4 2" xfId="19152"/>
    <cellStyle name="40% - Accent4 5 8 4 2 2" xfId="48013"/>
    <cellStyle name="40% - Accent4 5 8 4 3" xfId="40758"/>
    <cellStyle name="40% - Accent4 5 8 5" xfId="16472"/>
    <cellStyle name="40% - Accent4 5 8 5 2" xfId="45333"/>
    <cellStyle name="40% - Accent4 5 8 6" xfId="30697"/>
    <cellStyle name="40% - Accent4 5 9" xfId="2041"/>
    <cellStyle name="40% - Accent4 5 9 2" xfId="4928"/>
    <cellStyle name="40% - Accent4 5 9 2 2" xfId="10969"/>
    <cellStyle name="40% - Accent4 5 9 2 2 2" xfId="28016"/>
    <cellStyle name="40% - Accent4 5 9 2 2 2 2" xfId="56877"/>
    <cellStyle name="40% - Accent4 5 9 2 2 3" xfId="39830"/>
    <cellStyle name="40% - Accent4 5 9 2 3" xfId="22038"/>
    <cellStyle name="40% - Accent4 5 9 2 3 2" xfId="50899"/>
    <cellStyle name="40% - Accent4 5 9 2 4" xfId="33789"/>
    <cellStyle name="40% - Accent4 5 9 3" xfId="8083"/>
    <cellStyle name="40% - Accent4 5 9 3 2" xfId="25130"/>
    <cellStyle name="40% - Accent4 5 9 3 2 2" xfId="53991"/>
    <cellStyle name="40% - Accent4 5 9 3 3" xfId="36944"/>
    <cellStyle name="40% - Accent4 5 9 4" xfId="13890"/>
    <cellStyle name="40% - Accent4 5 9 4 2" xfId="19358"/>
    <cellStyle name="40% - Accent4 5 9 4 2 2" xfId="48219"/>
    <cellStyle name="40% - Accent4 5 9 4 3" xfId="42751"/>
    <cellStyle name="40% - Accent4 5 9 5" xfId="16678"/>
    <cellStyle name="40% - Accent4 5 9 5 2" xfId="45539"/>
    <cellStyle name="40% - Accent4 5 9 6" xfId="30903"/>
    <cellStyle name="40% - Accent4 6" xfId="187"/>
    <cellStyle name="40% - Accent4 6 2" xfId="599"/>
    <cellStyle name="40% - Accent4 6 2 2" xfId="3486"/>
    <cellStyle name="40% - Accent4 6 2 2 2" xfId="9527"/>
    <cellStyle name="40% - Accent4 6 2 2 2 2" xfId="26574"/>
    <cellStyle name="40% - Accent4 6 2 2 2 2 2" xfId="55435"/>
    <cellStyle name="40% - Accent4 6 2 2 2 3" xfId="38388"/>
    <cellStyle name="40% - Accent4 6 2 2 3" xfId="20596"/>
    <cellStyle name="40% - Accent4 6 2 2 3 2" xfId="49457"/>
    <cellStyle name="40% - Accent4 6 2 2 4" xfId="32347"/>
    <cellStyle name="40% - Accent4 6 2 3" xfId="6641"/>
    <cellStyle name="40% - Accent4 6 2 3 2" xfId="23688"/>
    <cellStyle name="40% - Accent4 6 2 3 2 2" xfId="52549"/>
    <cellStyle name="40% - Accent4 6 2 3 3" xfId="35502"/>
    <cellStyle name="40% - Accent4 6 2 4" xfId="14149"/>
    <cellStyle name="40% - Accent4 6 2 4 2" xfId="17916"/>
    <cellStyle name="40% - Accent4 6 2 4 2 2" xfId="46777"/>
    <cellStyle name="40% - Accent4 6 2 4 3" xfId="43010"/>
    <cellStyle name="40% - Accent4 6 2 5" xfId="15236"/>
    <cellStyle name="40% - Accent4 6 2 5 2" xfId="44097"/>
    <cellStyle name="40% - Accent4 6 2 6" xfId="29461"/>
    <cellStyle name="40% - Accent4 6 3" xfId="2144"/>
    <cellStyle name="40% - Accent4 6 3 2" xfId="5031"/>
    <cellStyle name="40% - Accent4 6 3 2 2" xfId="11072"/>
    <cellStyle name="40% - Accent4 6 3 2 2 2" xfId="28119"/>
    <cellStyle name="40% - Accent4 6 3 2 2 2 2" xfId="56980"/>
    <cellStyle name="40% - Accent4 6 3 2 2 3" xfId="39933"/>
    <cellStyle name="40% - Accent4 6 3 2 3" xfId="22141"/>
    <cellStyle name="40% - Accent4 6 3 2 3 2" xfId="51002"/>
    <cellStyle name="40% - Accent4 6 3 2 4" xfId="33892"/>
    <cellStyle name="40% - Accent4 6 3 3" xfId="8186"/>
    <cellStyle name="40% - Accent4 6 3 3 2" xfId="25233"/>
    <cellStyle name="40% - Accent4 6 3 3 2 2" xfId="54094"/>
    <cellStyle name="40% - Accent4 6 3 3 3" xfId="37047"/>
    <cellStyle name="40% - Accent4 6 3 4" xfId="14247"/>
    <cellStyle name="40% - Accent4 6 3 4 2" xfId="19461"/>
    <cellStyle name="40% - Accent4 6 3 4 2 2" xfId="48322"/>
    <cellStyle name="40% - Accent4 6 3 4 3" xfId="43108"/>
    <cellStyle name="40% - Accent4 6 3 5" xfId="16781"/>
    <cellStyle name="40% - Accent4 6 3 5 2" xfId="45642"/>
    <cellStyle name="40% - Accent4 6 3 6" xfId="31006"/>
    <cellStyle name="40% - Accent4 6 4" xfId="3074"/>
    <cellStyle name="40% - Accent4 6 4 2" xfId="9115"/>
    <cellStyle name="40% - Accent4 6 4 2 2" xfId="26162"/>
    <cellStyle name="40% - Accent4 6 4 2 2 2" xfId="55023"/>
    <cellStyle name="40% - Accent4 6 4 2 3" xfId="37976"/>
    <cellStyle name="40% - Accent4 6 4 3" xfId="20184"/>
    <cellStyle name="40% - Accent4 6 4 3 2" xfId="49045"/>
    <cellStyle name="40% - Accent4 6 4 4" xfId="31935"/>
    <cellStyle name="40% - Accent4 6 5" xfId="6229"/>
    <cellStyle name="40% - Accent4 6 5 2" xfId="23276"/>
    <cellStyle name="40% - Accent4 6 5 2 2" xfId="52137"/>
    <cellStyle name="40% - Accent4 6 5 3" xfId="35090"/>
    <cellStyle name="40% - Accent4 6 6" xfId="13913"/>
    <cellStyle name="40% - Accent4 6 6 2" xfId="17607"/>
    <cellStyle name="40% - Accent4 6 6 2 2" xfId="46468"/>
    <cellStyle name="40% - Accent4 6 6 3" xfId="42774"/>
    <cellStyle name="40% - Accent4 6 7" xfId="14824"/>
    <cellStyle name="40% - Accent4 6 7 2" xfId="43685"/>
    <cellStyle name="40% - Accent4 6 8" xfId="29049"/>
    <cellStyle name="40% - Accent4 7" xfId="393"/>
    <cellStyle name="40% - Accent4 7 2" xfId="3280"/>
    <cellStyle name="40% - Accent4 7 2 2" xfId="9321"/>
    <cellStyle name="40% - Accent4 7 2 2 2" xfId="26368"/>
    <cellStyle name="40% - Accent4 7 2 2 2 2" xfId="55229"/>
    <cellStyle name="40% - Accent4 7 2 2 3" xfId="38182"/>
    <cellStyle name="40% - Accent4 7 2 3" xfId="20390"/>
    <cellStyle name="40% - Accent4 7 2 3 2" xfId="49251"/>
    <cellStyle name="40% - Accent4 7 2 4" xfId="32141"/>
    <cellStyle name="40% - Accent4 7 3" xfId="6435"/>
    <cellStyle name="40% - Accent4 7 3 2" xfId="23482"/>
    <cellStyle name="40% - Accent4 7 3 2 2" xfId="52343"/>
    <cellStyle name="40% - Accent4 7 3 3" xfId="35296"/>
    <cellStyle name="40% - Accent4 7 4" xfId="12654"/>
    <cellStyle name="40% - Accent4 7 4 2" xfId="17710"/>
    <cellStyle name="40% - Accent4 7 4 2 2" xfId="46571"/>
    <cellStyle name="40% - Accent4 7 4 3" xfId="41515"/>
    <cellStyle name="40% - Accent4 7 5" xfId="15030"/>
    <cellStyle name="40% - Accent4 7 5 2" xfId="43891"/>
    <cellStyle name="40% - Accent4 7 6" xfId="29255"/>
    <cellStyle name="40% - Accent4 8" xfId="702"/>
    <cellStyle name="40% - Accent4 8 2" xfId="3589"/>
    <cellStyle name="40% - Accent4 8 2 2" xfId="9630"/>
    <cellStyle name="40% - Accent4 8 2 2 2" xfId="26677"/>
    <cellStyle name="40% - Accent4 8 2 2 2 2" xfId="55538"/>
    <cellStyle name="40% - Accent4 8 2 2 3" xfId="38491"/>
    <cellStyle name="40% - Accent4 8 2 3" xfId="20699"/>
    <cellStyle name="40% - Accent4 8 2 3 2" xfId="49560"/>
    <cellStyle name="40% - Accent4 8 2 4" xfId="32450"/>
    <cellStyle name="40% - Accent4 8 3" xfId="6744"/>
    <cellStyle name="40% - Accent4 8 3 2" xfId="23791"/>
    <cellStyle name="40% - Accent4 8 3 2 2" xfId="52652"/>
    <cellStyle name="40% - Accent4 8 3 3" xfId="35605"/>
    <cellStyle name="40% - Accent4 8 4" xfId="13348"/>
    <cellStyle name="40% - Accent4 8 4 2" xfId="18019"/>
    <cellStyle name="40% - Accent4 8 4 2 2" xfId="46880"/>
    <cellStyle name="40% - Accent4 8 4 3" xfId="42209"/>
    <cellStyle name="40% - Accent4 8 5" xfId="15339"/>
    <cellStyle name="40% - Accent4 8 5 2" xfId="44200"/>
    <cellStyle name="40% - Accent4 8 6" xfId="29564"/>
    <cellStyle name="40% - Accent4 9" xfId="908"/>
    <cellStyle name="40% - Accent4 9 2" xfId="3795"/>
    <cellStyle name="40% - Accent4 9 2 2" xfId="9836"/>
    <cellStyle name="40% - Accent4 9 2 2 2" xfId="26883"/>
    <cellStyle name="40% - Accent4 9 2 2 2 2" xfId="55744"/>
    <cellStyle name="40% - Accent4 9 2 2 3" xfId="38697"/>
    <cellStyle name="40% - Accent4 9 2 3" xfId="20905"/>
    <cellStyle name="40% - Accent4 9 2 3 2" xfId="49766"/>
    <cellStyle name="40% - Accent4 9 2 4" xfId="32656"/>
    <cellStyle name="40% - Accent4 9 3" xfId="6950"/>
    <cellStyle name="40% - Accent4 9 3 2" xfId="23997"/>
    <cellStyle name="40% - Accent4 9 3 2 2" xfId="52858"/>
    <cellStyle name="40% - Accent4 9 3 3" xfId="35811"/>
    <cellStyle name="40% - Accent4 9 4" xfId="13350"/>
    <cellStyle name="40% - Accent4 9 4 2" xfId="18225"/>
    <cellStyle name="40% - Accent4 9 4 2 2" xfId="47086"/>
    <cellStyle name="40% - Accent4 9 4 3" xfId="42211"/>
    <cellStyle name="40% - Accent4 9 5" xfId="15545"/>
    <cellStyle name="40% - Accent4 9 5 2" xfId="44406"/>
    <cellStyle name="40% - Accent4 9 6" xfId="29770"/>
    <cellStyle name="40% - Accent5" xfId="83" builtinId="47" customBuiltin="1"/>
    <cellStyle name="40% - Accent5 10" xfId="1116"/>
    <cellStyle name="40% - Accent5 10 2" xfId="4003"/>
    <cellStyle name="40% - Accent5 10 2 2" xfId="10044"/>
    <cellStyle name="40% - Accent5 10 2 2 2" xfId="27091"/>
    <cellStyle name="40% - Accent5 10 2 2 2 2" xfId="55952"/>
    <cellStyle name="40% - Accent5 10 2 2 3" xfId="38905"/>
    <cellStyle name="40% - Accent5 10 2 3" xfId="21113"/>
    <cellStyle name="40% - Accent5 10 2 3 2" xfId="49974"/>
    <cellStyle name="40% - Accent5 10 2 4" xfId="32864"/>
    <cellStyle name="40% - Accent5 10 3" xfId="7158"/>
    <cellStyle name="40% - Accent5 10 3 2" xfId="24205"/>
    <cellStyle name="40% - Accent5 10 3 2 2" xfId="53066"/>
    <cellStyle name="40% - Accent5 10 3 3" xfId="36019"/>
    <cellStyle name="40% - Accent5 10 4" xfId="14458"/>
    <cellStyle name="40% - Accent5 10 4 2" xfId="18433"/>
    <cellStyle name="40% - Accent5 10 4 2 2" xfId="47294"/>
    <cellStyle name="40% - Accent5 10 4 3" xfId="43319"/>
    <cellStyle name="40% - Accent5 10 5" xfId="15753"/>
    <cellStyle name="40% - Accent5 10 5 2" xfId="44614"/>
    <cellStyle name="40% - Accent5 10 6" xfId="29978"/>
    <cellStyle name="40% - Accent5 11" xfId="1322"/>
    <cellStyle name="40% - Accent5 11 2" xfId="4209"/>
    <cellStyle name="40% - Accent5 11 2 2" xfId="10250"/>
    <cellStyle name="40% - Accent5 11 2 2 2" xfId="27297"/>
    <cellStyle name="40% - Accent5 11 2 2 2 2" xfId="56158"/>
    <cellStyle name="40% - Accent5 11 2 2 3" xfId="39111"/>
    <cellStyle name="40% - Accent5 11 2 3" xfId="21319"/>
    <cellStyle name="40% - Accent5 11 2 3 2" xfId="50180"/>
    <cellStyle name="40% - Accent5 11 2 4" xfId="33070"/>
    <cellStyle name="40% - Accent5 11 3" xfId="7364"/>
    <cellStyle name="40% - Accent5 11 3 2" xfId="24411"/>
    <cellStyle name="40% - Accent5 11 3 2 2" xfId="53272"/>
    <cellStyle name="40% - Accent5 11 3 3" xfId="36225"/>
    <cellStyle name="40% - Accent5 11 4" xfId="14153"/>
    <cellStyle name="40% - Accent5 11 4 2" xfId="18639"/>
    <cellStyle name="40% - Accent5 11 4 2 2" xfId="47500"/>
    <cellStyle name="40% - Accent5 11 4 3" xfId="43014"/>
    <cellStyle name="40% - Accent5 11 5" xfId="15959"/>
    <cellStyle name="40% - Accent5 11 5 2" xfId="44820"/>
    <cellStyle name="40% - Accent5 11 6" xfId="30184"/>
    <cellStyle name="40% - Accent5 12" xfId="1528"/>
    <cellStyle name="40% - Accent5 12 2" xfId="4415"/>
    <cellStyle name="40% - Accent5 12 2 2" xfId="10456"/>
    <cellStyle name="40% - Accent5 12 2 2 2" xfId="27503"/>
    <cellStyle name="40% - Accent5 12 2 2 2 2" xfId="56364"/>
    <cellStyle name="40% - Accent5 12 2 2 3" xfId="39317"/>
    <cellStyle name="40% - Accent5 12 2 3" xfId="21525"/>
    <cellStyle name="40% - Accent5 12 2 3 2" xfId="50386"/>
    <cellStyle name="40% - Accent5 12 2 4" xfId="33276"/>
    <cellStyle name="40% - Accent5 12 3" xfId="7570"/>
    <cellStyle name="40% - Accent5 12 3 2" xfId="24617"/>
    <cellStyle name="40% - Accent5 12 3 2 2" xfId="53478"/>
    <cellStyle name="40% - Accent5 12 3 3" xfId="36431"/>
    <cellStyle name="40% - Accent5 12 4" xfId="12698"/>
    <cellStyle name="40% - Accent5 12 4 2" xfId="18845"/>
    <cellStyle name="40% - Accent5 12 4 2 2" xfId="47706"/>
    <cellStyle name="40% - Accent5 12 4 3" xfId="41559"/>
    <cellStyle name="40% - Accent5 12 5" xfId="16165"/>
    <cellStyle name="40% - Accent5 12 5 2" xfId="45026"/>
    <cellStyle name="40% - Accent5 12 6" xfId="30390"/>
    <cellStyle name="40% - Accent5 13" xfId="1734"/>
    <cellStyle name="40% - Accent5 13 2" xfId="4621"/>
    <cellStyle name="40% - Accent5 13 2 2" xfId="10662"/>
    <cellStyle name="40% - Accent5 13 2 2 2" xfId="27709"/>
    <cellStyle name="40% - Accent5 13 2 2 2 2" xfId="56570"/>
    <cellStyle name="40% - Accent5 13 2 2 3" xfId="39523"/>
    <cellStyle name="40% - Accent5 13 2 3" xfId="21731"/>
    <cellStyle name="40% - Accent5 13 2 3 2" xfId="50592"/>
    <cellStyle name="40% - Accent5 13 2 4" xfId="33482"/>
    <cellStyle name="40% - Accent5 13 3" xfId="7776"/>
    <cellStyle name="40% - Accent5 13 3 2" xfId="24823"/>
    <cellStyle name="40% - Accent5 13 3 2 2" xfId="53684"/>
    <cellStyle name="40% - Accent5 13 3 3" xfId="36637"/>
    <cellStyle name="40% - Accent5 13 4" xfId="13828"/>
    <cellStyle name="40% - Accent5 13 4 2" xfId="19051"/>
    <cellStyle name="40% - Accent5 13 4 2 2" xfId="47912"/>
    <cellStyle name="40% - Accent5 13 4 3" xfId="42689"/>
    <cellStyle name="40% - Accent5 13 5" xfId="16371"/>
    <cellStyle name="40% - Accent5 13 5 2" xfId="45232"/>
    <cellStyle name="40% - Accent5 13 6" xfId="30596"/>
    <cellStyle name="40% - Accent5 14" xfId="1940"/>
    <cellStyle name="40% - Accent5 14 2" xfId="4827"/>
    <cellStyle name="40% - Accent5 14 2 2" xfId="10868"/>
    <cellStyle name="40% - Accent5 14 2 2 2" xfId="27915"/>
    <cellStyle name="40% - Accent5 14 2 2 2 2" xfId="56776"/>
    <cellStyle name="40% - Accent5 14 2 2 3" xfId="39729"/>
    <cellStyle name="40% - Accent5 14 2 3" xfId="21937"/>
    <cellStyle name="40% - Accent5 14 2 3 2" xfId="50798"/>
    <cellStyle name="40% - Accent5 14 2 4" xfId="33688"/>
    <cellStyle name="40% - Accent5 14 3" xfId="7982"/>
    <cellStyle name="40% - Accent5 14 3 2" xfId="25029"/>
    <cellStyle name="40% - Accent5 14 3 2 2" xfId="53890"/>
    <cellStyle name="40% - Accent5 14 3 3" xfId="36843"/>
    <cellStyle name="40% - Accent5 14 4" xfId="12777"/>
    <cellStyle name="40% - Accent5 14 4 2" xfId="19257"/>
    <cellStyle name="40% - Accent5 14 4 2 2" xfId="48118"/>
    <cellStyle name="40% - Accent5 14 4 3" xfId="41638"/>
    <cellStyle name="40% - Accent5 14 5" xfId="16577"/>
    <cellStyle name="40% - Accent5 14 5 2" xfId="45438"/>
    <cellStyle name="40% - Accent5 14 6" xfId="30802"/>
    <cellStyle name="40% - Accent5 15" xfId="2352"/>
    <cellStyle name="40% - Accent5 15 2" xfId="5239"/>
    <cellStyle name="40% - Accent5 15 2 2" xfId="11280"/>
    <cellStyle name="40% - Accent5 15 2 2 2" xfId="28327"/>
    <cellStyle name="40% - Accent5 15 2 2 2 2" xfId="57188"/>
    <cellStyle name="40% - Accent5 15 2 2 3" xfId="40141"/>
    <cellStyle name="40% - Accent5 15 2 3" xfId="22349"/>
    <cellStyle name="40% - Accent5 15 2 3 2" xfId="51210"/>
    <cellStyle name="40% - Accent5 15 2 4" xfId="34100"/>
    <cellStyle name="40% - Accent5 15 3" xfId="8394"/>
    <cellStyle name="40% - Accent5 15 3 2" xfId="25441"/>
    <cellStyle name="40% - Accent5 15 3 2 2" xfId="54302"/>
    <cellStyle name="40% - Accent5 15 3 3" xfId="37255"/>
    <cellStyle name="40% - Accent5 15 4" xfId="14017"/>
    <cellStyle name="40% - Accent5 15 4 2" xfId="19669"/>
    <cellStyle name="40% - Accent5 15 4 2 2" xfId="48530"/>
    <cellStyle name="40% - Accent5 15 4 3" xfId="42878"/>
    <cellStyle name="40% - Accent5 15 5" xfId="16989"/>
    <cellStyle name="40% - Accent5 15 5 2" xfId="45850"/>
    <cellStyle name="40% - Accent5 15 6" xfId="31214"/>
    <cellStyle name="40% - Accent5 16" xfId="2561"/>
    <cellStyle name="40% - Accent5 16 2" xfId="5447"/>
    <cellStyle name="40% - Accent5 16 2 2" xfId="11488"/>
    <cellStyle name="40% - Accent5 16 2 2 2" xfId="28535"/>
    <cellStyle name="40% - Accent5 16 2 2 2 2" xfId="57396"/>
    <cellStyle name="40% - Accent5 16 2 2 3" xfId="40349"/>
    <cellStyle name="40% - Accent5 16 2 3" xfId="22557"/>
    <cellStyle name="40% - Accent5 16 2 3 2" xfId="51418"/>
    <cellStyle name="40% - Accent5 16 2 4" xfId="34308"/>
    <cellStyle name="40% - Accent5 16 3" xfId="8602"/>
    <cellStyle name="40% - Accent5 16 3 2" xfId="25649"/>
    <cellStyle name="40% - Accent5 16 3 2 2" xfId="54510"/>
    <cellStyle name="40% - Accent5 16 3 3" xfId="37463"/>
    <cellStyle name="40% - Accent5 16 4" xfId="12243"/>
    <cellStyle name="40% - Accent5 16 4 2" xfId="19877"/>
    <cellStyle name="40% - Accent5 16 4 2 2" xfId="48738"/>
    <cellStyle name="40% - Accent5 16 4 3" xfId="41104"/>
    <cellStyle name="40% - Accent5 16 5" xfId="17197"/>
    <cellStyle name="40% - Accent5 16 5 2" xfId="46058"/>
    <cellStyle name="40% - Accent5 16 6" xfId="31422"/>
    <cellStyle name="40% - Accent5 17" xfId="2973"/>
    <cellStyle name="40% - Accent5 17 2" xfId="9014"/>
    <cellStyle name="40% - Accent5 17 2 2" xfId="26061"/>
    <cellStyle name="40% - Accent5 17 2 2 2" xfId="54922"/>
    <cellStyle name="40% - Accent5 17 2 3" xfId="37875"/>
    <cellStyle name="40% - Accent5 17 3" xfId="12755"/>
    <cellStyle name="40% - Accent5 17 3 2" xfId="20083"/>
    <cellStyle name="40% - Accent5 17 3 2 2" xfId="48944"/>
    <cellStyle name="40% - Accent5 17 3 3" xfId="41616"/>
    <cellStyle name="40% - Accent5 17 4" xfId="14723"/>
    <cellStyle name="40% - Accent5 17 4 2" xfId="43584"/>
    <cellStyle name="40% - Accent5 17 5" xfId="31834"/>
    <cellStyle name="40% - Accent5 18" xfId="2767"/>
    <cellStyle name="40% - Accent5 18 2" xfId="8808"/>
    <cellStyle name="40% - Accent5 18 2 2" xfId="25855"/>
    <cellStyle name="40% - Accent5 18 2 2 2" xfId="54716"/>
    <cellStyle name="40% - Accent5 18 2 3" xfId="37669"/>
    <cellStyle name="40% - Accent5 18 3" xfId="17403"/>
    <cellStyle name="40% - Accent5 18 3 2" xfId="46264"/>
    <cellStyle name="40% - Accent5 18 4" xfId="31628"/>
    <cellStyle name="40% - Accent5 19" xfId="5653"/>
    <cellStyle name="40% - Accent5 19 2" xfId="11694"/>
    <cellStyle name="40% - Accent5 19 2 2" xfId="28741"/>
    <cellStyle name="40% - Accent5 19 2 2 2" xfId="57602"/>
    <cellStyle name="40% - Accent5 19 2 3" xfId="40555"/>
    <cellStyle name="40% - Accent5 19 3" xfId="22763"/>
    <cellStyle name="40% - Accent5 19 3 2" xfId="51624"/>
    <cellStyle name="40% - Accent5 19 4" xfId="34514"/>
    <cellStyle name="40% - Accent5 2" xfId="100"/>
    <cellStyle name="40% - Accent5 2 10" xfId="1336"/>
    <cellStyle name="40% - Accent5 2 10 2" xfId="4223"/>
    <cellStyle name="40% - Accent5 2 10 2 2" xfId="10264"/>
    <cellStyle name="40% - Accent5 2 10 2 2 2" xfId="27311"/>
    <cellStyle name="40% - Accent5 2 10 2 2 2 2" xfId="56172"/>
    <cellStyle name="40% - Accent5 2 10 2 2 3" xfId="39125"/>
    <cellStyle name="40% - Accent5 2 10 2 3" xfId="21333"/>
    <cellStyle name="40% - Accent5 2 10 2 3 2" xfId="50194"/>
    <cellStyle name="40% - Accent5 2 10 2 4" xfId="33084"/>
    <cellStyle name="40% - Accent5 2 10 3" xfId="7378"/>
    <cellStyle name="40% - Accent5 2 10 3 2" xfId="24425"/>
    <cellStyle name="40% - Accent5 2 10 3 2 2" xfId="53286"/>
    <cellStyle name="40% - Accent5 2 10 3 3" xfId="36239"/>
    <cellStyle name="40% - Accent5 2 10 4" xfId="12028"/>
    <cellStyle name="40% - Accent5 2 10 4 2" xfId="18653"/>
    <cellStyle name="40% - Accent5 2 10 4 2 2" xfId="47514"/>
    <cellStyle name="40% - Accent5 2 10 4 3" xfId="40889"/>
    <cellStyle name="40% - Accent5 2 10 5" xfId="15973"/>
    <cellStyle name="40% - Accent5 2 10 5 2" xfId="44834"/>
    <cellStyle name="40% - Accent5 2 10 6" xfId="30198"/>
    <cellStyle name="40% - Accent5 2 11" xfId="1542"/>
    <cellStyle name="40% - Accent5 2 11 2" xfId="4429"/>
    <cellStyle name="40% - Accent5 2 11 2 2" xfId="10470"/>
    <cellStyle name="40% - Accent5 2 11 2 2 2" xfId="27517"/>
    <cellStyle name="40% - Accent5 2 11 2 2 2 2" xfId="56378"/>
    <cellStyle name="40% - Accent5 2 11 2 2 3" xfId="39331"/>
    <cellStyle name="40% - Accent5 2 11 2 3" xfId="21539"/>
    <cellStyle name="40% - Accent5 2 11 2 3 2" xfId="50400"/>
    <cellStyle name="40% - Accent5 2 11 2 4" xfId="33290"/>
    <cellStyle name="40% - Accent5 2 11 3" xfId="7584"/>
    <cellStyle name="40% - Accent5 2 11 3 2" xfId="24631"/>
    <cellStyle name="40% - Accent5 2 11 3 2 2" xfId="53492"/>
    <cellStyle name="40% - Accent5 2 11 3 3" xfId="36445"/>
    <cellStyle name="40% - Accent5 2 11 4" xfId="13030"/>
    <cellStyle name="40% - Accent5 2 11 4 2" xfId="18859"/>
    <cellStyle name="40% - Accent5 2 11 4 2 2" xfId="47720"/>
    <cellStyle name="40% - Accent5 2 11 4 3" xfId="41891"/>
    <cellStyle name="40% - Accent5 2 11 5" xfId="16179"/>
    <cellStyle name="40% - Accent5 2 11 5 2" xfId="45040"/>
    <cellStyle name="40% - Accent5 2 11 6" xfId="30404"/>
    <cellStyle name="40% - Accent5 2 12" xfId="1748"/>
    <cellStyle name="40% - Accent5 2 12 2" xfId="4635"/>
    <cellStyle name="40% - Accent5 2 12 2 2" xfId="10676"/>
    <cellStyle name="40% - Accent5 2 12 2 2 2" xfId="27723"/>
    <cellStyle name="40% - Accent5 2 12 2 2 2 2" xfId="56584"/>
    <cellStyle name="40% - Accent5 2 12 2 2 3" xfId="39537"/>
    <cellStyle name="40% - Accent5 2 12 2 3" xfId="21745"/>
    <cellStyle name="40% - Accent5 2 12 2 3 2" xfId="50606"/>
    <cellStyle name="40% - Accent5 2 12 2 4" xfId="33496"/>
    <cellStyle name="40% - Accent5 2 12 3" xfId="7790"/>
    <cellStyle name="40% - Accent5 2 12 3 2" xfId="24837"/>
    <cellStyle name="40% - Accent5 2 12 3 2 2" xfId="53698"/>
    <cellStyle name="40% - Accent5 2 12 3 3" xfId="36651"/>
    <cellStyle name="40% - Accent5 2 12 4" xfId="14183"/>
    <cellStyle name="40% - Accent5 2 12 4 2" xfId="19065"/>
    <cellStyle name="40% - Accent5 2 12 4 2 2" xfId="47926"/>
    <cellStyle name="40% - Accent5 2 12 4 3" xfId="43044"/>
    <cellStyle name="40% - Accent5 2 12 5" xfId="16385"/>
    <cellStyle name="40% - Accent5 2 12 5 2" xfId="45246"/>
    <cellStyle name="40% - Accent5 2 12 6" xfId="30610"/>
    <cellStyle name="40% - Accent5 2 13" xfId="1954"/>
    <cellStyle name="40% - Accent5 2 13 2" xfId="4841"/>
    <cellStyle name="40% - Accent5 2 13 2 2" xfId="10882"/>
    <cellStyle name="40% - Accent5 2 13 2 2 2" xfId="27929"/>
    <cellStyle name="40% - Accent5 2 13 2 2 2 2" xfId="56790"/>
    <cellStyle name="40% - Accent5 2 13 2 2 3" xfId="39743"/>
    <cellStyle name="40% - Accent5 2 13 2 3" xfId="21951"/>
    <cellStyle name="40% - Accent5 2 13 2 3 2" xfId="50812"/>
    <cellStyle name="40% - Accent5 2 13 2 4" xfId="33702"/>
    <cellStyle name="40% - Accent5 2 13 3" xfId="7996"/>
    <cellStyle name="40% - Accent5 2 13 3 2" xfId="25043"/>
    <cellStyle name="40% - Accent5 2 13 3 2 2" xfId="53904"/>
    <cellStyle name="40% - Accent5 2 13 3 3" xfId="36857"/>
    <cellStyle name="40% - Accent5 2 13 4" xfId="12647"/>
    <cellStyle name="40% - Accent5 2 13 4 2" xfId="19271"/>
    <cellStyle name="40% - Accent5 2 13 4 2 2" xfId="48132"/>
    <cellStyle name="40% - Accent5 2 13 4 3" xfId="41508"/>
    <cellStyle name="40% - Accent5 2 13 5" xfId="16591"/>
    <cellStyle name="40% - Accent5 2 13 5 2" xfId="45452"/>
    <cellStyle name="40% - Accent5 2 13 6" xfId="30816"/>
    <cellStyle name="40% - Accent5 2 14" xfId="2366"/>
    <cellStyle name="40% - Accent5 2 14 2" xfId="5253"/>
    <cellStyle name="40% - Accent5 2 14 2 2" xfId="11294"/>
    <cellStyle name="40% - Accent5 2 14 2 2 2" xfId="28341"/>
    <cellStyle name="40% - Accent5 2 14 2 2 2 2" xfId="57202"/>
    <cellStyle name="40% - Accent5 2 14 2 2 3" xfId="40155"/>
    <cellStyle name="40% - Accent5 2 14 2 3" xfId="22363"/>
    <cellStyle name="40% - Accent5 2 14 2 3 2" xfId="51224"/>
    <cellStyle name="40% - Accent5 2 14 2 4" xfId="34114"/>
    <cellStyle name="40% - Accent5 2 14 3" xfId="8408"/>
    <cellStyle name="40% - Accent5 2 14 3 2" xfId="25455"/>
    <cellStyle name="40% - Accent5 2 14 3 2 2" xfId="54316"/>
    <cellStyle name="40% - Accent5 2 14 3 3" xfId="37269"/>
    <cellStyle name="40% - Accent5 2 14 4" xfId="12349"/>
    <cellStyle name="40% - Accent5 2 14 4 2" xfId="19683"/>
    <cellStyle name="40% - Accent5 2 14 4 2 2" xfId="48544"/>
    <cellStyle name="40% - Accent5 2 14 4 3" xfId="41210"/>
    <cellStyle name="40% - Accent5 2 14 5" xfId="17003"/>
    <cellStyle name="40% - Accent5 2 14 5 2" xfId="45864"/>
    <cellStyle name="40% - Accent5 2 14 6" xfId="31228"/>
    <cellStyle name="40% - Accent5 2 15" xfId="2575"/>
    <cellStyle name="40% - Accent5 2 15 2" xfId="5461"/>
    <cellStyle name="40% - Accent5 2 15 2 2" xfId="11502"/>
    <cellStyle name="40% - Accent5 2 15 2 2 2" xfId="28549"/>
    <cellStyle name="40% - Accent5 2 15 2 2 2 2" xfId="57410"/>
    <cellStyle name="40% - Accent5 2 15 2 2 3" xfId="40363"/>
    <cellStyle name="40% - Accent5 2 15 2 3" xfId="22571"/>
    <cellStyle name="40% - Accent5 2 15 2 3 2" xfId="51432"/>
    <cellStyle name="40% - Accent5 2 15 2 4" xfId="34322"/>
    <cellStyle name="40% - Accent5 2 15 3" xfId="8616"/>
    <cellStyle name="40% - Accent5 2 15 3 2" xfId="25663"/>
    <cellStyle name="40% - Accent5 2 15 3 2 2" xfId="54524"/>
    <cellStyle name="40% - Accent5 2 15 3 3" xfId="37477"/>
    <cellStyle name="40% - Accent5 2 15 4" xfId="12205"/>
    <cellStyle name="40% - Accent5 2 15 4 2" xfId="19891"/>
    <cellStyle name="40% - Accent5 2 15 4 2 2" xfId="48752"/>
    <cellStyle name="40% - Accent5 2 15 4 3" xfId="41066"/>
    <cellStyle name="40% - Accent5 2 15 5" xfId="17211"/>
    <cellStyle name="40% - Accent5 2 15 5 2" xfId="46072"/>
    <cellStyle name="40% - Accent5 2 15 6" xfId="31436"/>
    <cellStyle name="40% - Accent5 2 16" xfId="2987"/>
    <cellStyle name="40% - Accent5 2 16 2" xfId="9028"/>
    <cellStyle name="40% - Accent5 2 16 2 2" xfId="26075"/>
    <cellStyle name="40% - Accent5 2 16 2 2 2" xfId="54936"/>
    <cellStyle name="40% - Accent5 2 16 2 3" xfId="37889"/>
    <cellStyle name="40% - Accent5 2 16 3" xfId="12319"/>
    <cellStyle name="40% - Accent5 2 16 3 2" xfId="20097"/>
    <cellStyle name="40% - Accent5 2 16 3 2 2" xfId="48958"/>
    <cellStyle name="40% - Accent5 2 16 3 3" xfId="41180"/>
    <cellStyle name="40% - Accent5 2 16 4" xfId="14737"/>
    <cellStyle name="40% - Accent5 2 16 4 2" xfId="43598"/>
    <cellStyle name="40% - Accent5 2 16 5" xfId="31848"/>
    <cellStyle name="40% - Accent5 2 17" xfId="2781"/>
    <cellStyle name="40% - Accent5 2 17 2" xfId="8822"/>
    <cellStyle name="40% - Accent5 2 17 2 2" xfId="25869"/>
    <cellStyle name="40% - Accent5 2 17 2 2 2" xfId="54730"/>
    <cellStyle name="40% - Accent5 2 17 2 3" xfId="37683"/>
    <cellStyle name="40% - Accent5 2 17 3" xfId="17417"/>
    <cellStyle name="40% - Accent5 2 17 3 2" xfId="46278"/>
    <cellStyle name="40% - Accent5 2 17 4" xfId="31642"/>
    <cellStyle name="40% - Accent5 2 18" xfId="5667"/>
    <cellStyle name="40% - Accent5 2 18 2" xfId="11708"/>
    <cellStyle name="40% - Accent5 2 18 2 2" xfId="28755"/>
    <cellStyle name="40% - Accent5 2 18 2 2 2" xfId="57616"/>
    <cellStyle name="40% - Accent5 2 18 2 3" xfId="40569"/>
    <cellStyle name="40% - Accent5 2 18 3" xfId="22777"/>
    <cellStyle name="40% - Accent5 2 18 3 2" xfId="51638"/>
    <cellStyle name="40% - Accent5 2 18 4" xfId="34528"/>
    <cellStyle name="40% - Accent5 2 19" xfId="5884"/>
    <cellStyle name="40% - Accent5 2 19 2" xfId="22983"/>
    <cellStyle name="40% - Accent5 2 19 2 2" xfId="51844"/>
    <cellStyle name="40% - Accent5 2 19 3" xfId="34745"/>
    <cellStyle name="40% - Accent5 2 2" xfId="126"/>
    <cellStyle name="40% - Accent5 2 2 10" xfId="1774"/>
    <cellStyle name="40% - Accent5 2 2 10 2" xfId="4661"/>
    <cellStyle name="40% - Accent5 2 2 10 2 2" xfId="10702"/>
    <cellStyle name="40% - Accent5 2 2 10 2 2 2" xfId="27749"/>
    <cellStyle name="40% - Accent5 2 2 10 2 2 2 2" xfId="56610"/>
    <cellStyle name="40% - Accent5 2 2 10 2 2 3" xfId="39563"/>
    <cellStyle name="40% - Accent5 2 2 10 2 3" xfId="21771"/>
    <cellStyle name="40% - Accent5 2 2 10 2 3 2" xfId="50632"/>
    <cellStyle name="40% - Accent5 2 2 10 2 4" xfId="33522"/>
    <cellStyle name="40% - Accent5 2 2 10 3" xfId="7816"/>
    <cellStyle name="40% - Accent5 2 2 10 3 2" xfId="24863"/>
    <cellStyle name="40% - Accent5 2 2 10 3 2 2" xfId="53724"/>
    <cellStyle name="40% - Accent5 2 2 10 3 3" xfId="36677"/>
    <cellStyle name="40% - Accent5 2 2 10 4" xfId="12878"/>
    <cellStyle name="40% - Accent5 2 2 10 4 2" xfId="19091"/>
    <cellStyle name="40% - Accent5 2 2 10 4 2 2" xfId="47952"/>
    <cellStyle name="40% - Accent5 2 2 10 4 3" xfId="41739"/>
    <cellStyle name="40% - Accent5 2 2 10 5" xfId="16411"/>
    <cellStyle name="40% - Accent5 2 2 10 5 2" xfId="45272"/>
    <cellStyle name="40% - Accent5 2 2 10 6" xfId="30636"/>
    <cellStyle name="40% - Accent5 2 2 11" xfId="1980"/>
    <cellStyle name="40% - Accent5 2 2 11 2" xfId="4867"/>
    <cellStyle name="40% - Accent5 2 2 11 2 2" xfId="10908"/>
    <cellStyle name="40% - Accent5 2 2 11 2 2 2" xfId="27955"/>
    <cellStyle name="40% - Accent5 2 2 11 2 2 2 2" xfId="56816"/>
    <cellStyle name="40% - Accent5 2 2 11 2 2 3" xfId="39769"/>
    <cellStyle name="40% - Accent5 2 2 11 2 3" xfId="21977"/>
    <cellStyle name="40% - Accent5 2 2 11 2 3 2" xfId="50838"/>
    <cellStyle name="40% - Accent5 2 2 11 2 4" xfId="33728"/>
    <cellStyle name="40% - Accent5 2 2 11 3" xfId="8022"/>
    <cellStyle name="40% - Accent5 2 2 11 3 2" xfId="25069"/>
    <cellStyle name="40% - Accent5 2 2 11 3 2 2" xfId="53930"/>
    <cellStyle name="40% - Accent5 2 2 11 3 3" xfId="36883"/>
    <cellStyle name="40% - Accent5 2 2 11 4" xfId="13952"/>
    <cellStyle name="40% - Accent5 2 2 11 4 2" xfId="19297"/>
    <cellStyle name="40% - Accent5 2 2 11 4 2 2" xfId="48158"/>
    <cellStyle name="40% - Accent5 2 2 11 4 3" xfId="42813"/>
    <cellStyle name="40% - Accent5 2 2 11 5" xfId="16617"/>
    <cellStyle name="40% - Accent5 2 2 11 5 2" xfId="45478"/>
    <cellStyle name="40% - Accent5 2 2 11 6" xfId="30842"/>
    <cellStyle name="40% - Accent5 2 2 12" xfId="2392"/>
    <cellStyle name="40% - Accent5 2 2 12 2" xfId="5279"/>
    <cellStyle name="40% - Accent5 2 2 12 2 2" xfId="11320"/>
    <cellStyle name="40% - Accent5 2 2 12 2 2 2" xfId="28367"/>
    <cellStyle name="40% - Accent5 2 2 12 2 2 2 2" xfId="57228"/>
    <cellStyle name="40% - Accent5 2 2 12 2 2 3" xfId="40181"/>
    <cellStyle name="40% - Accent5 2 2 12 2 3" xfId="22389"/>
    <cellStyle name="40% - Accent5 2 2 12 2 3 2" xfId="51250"/>
    <cellStyle name="40% - Accent5 2 2 12 2 4" xfId="34140"/>
    <cellStyle name="40% - Accent5 2 2 12 3" xfId="8434"/>
    <cellStyle name="40% - Accent5 2 2 12 3 2" xfId="25481"/>
    <cellStyle name="40% - Accent5 2 2 12 3 2 2" xfId="54342"/>
    <cellStyle name="40% - Accent5 2 2 12 3 3" xfId="37295"/>
    <cellStyle name="40% - Accent5 2 2 12 4" xfId="11915"/>
    <cellStyle name="40% - Accent5 2 2 12 4 2" xfId="19709"/>
    <cellStyle name="40% - Accent5 2 2 12 4 2 2" xfId="48570"/>
    <cellStyle name="40% - Accent5 2 2 12 4 3" xfId="40776"/>
    <cellStyle name="40% - Accent5 2 2 12 5" xfId="17029"/>
    <cellStyle name="40% - Accent5 2 2 12 5 2" xfId="45890"/>
    <cellStyle name="40% - Accent5 2 2 12 6" xfId="31254"/>
    <cellStyle name="40% - Accent5 2 2 13" xfId="2601"/>
    <cellStyle name="40% - Accent5 2 2 13 2" xfId="5487"/>
    <cellStyle name="40% - Accent5 2 2 13 2 2" xfId="11528"/>
    <cellStyle name="40% - Accent5 2 2 13 2 2 2" xfId="28575"/>
    <cellStyle name="40% - Accent5 2 2 13 2 2 2 2" xfId="57436"/>
    <cellStyle name="40% - Accent5 2 2 13 2 2 3" xfId="40389"/>
    <cellStyle name="40% - Accent5 2 2 13 2 3" xfId="22597"/>
    <cellStyle name="40% - Accent5 2 2 13 2 3 2" xfId="51458"/>
    <cellStyle name="40% - Accent5 2 2 13 2 4" xfId="34348"/>
    <cellStyle name="40% - Accent5 2 2 13 3" xfId="8642"/>
    <cellStyle name="40% - Accent5 2 2 13 3 2" xfId="25689"/>
    <cellStyle name="40% - Accent5 2 2 13 3 2 2" xfId="54550"/>
    <cellStyle name="40% - Accent5 2 2 13 3 3" xfId="37503"/>
    <cellStyle name="40% - Accent5 2 2 13 4" xfId="12811"/>
    <cellStyle name="40% - Accent5 2 2 13 4 2" xfId="19917"/>
    <cellStyle name="40% - Accent5 2 2 13 4 2 2" xfId="48778"/>
    <cellStyle name="40% - Accent5 2 2 13 4 3" xfId="41672"/>
    <cellStyle name="40% - Accent5 2 2 13 5" xfId="17237"/>
    <cellStyle name="40% - Accent5 2 2 13 5 2" xfId="46098"/>
    <cellStyle name="40% - Accent5 2 2 13 6" xfId="31462"/>
    <cellStyle name="40% - Accent5 2 2 14" xfId="3013"/>
    <cellStyle name="40% - Accent5 2 2 14 2" xfId="9054"/>
    <cellStyle name="40% - Accent5 2 2 14 2 2" xfId="26101"/>
    <cellStyle name="40% - Accent5 2 2 14 2 2 2" xfId="54962"/>
    <cellStyle name="40% - Accent5 2 2 14 2 3" xfId="37915"/>
    <cellStyle name="40% - Accent5 2 2 14 3" xfId="12030"/>
    <cellStyle name="40% - Accent5 2 2 14 3 2" xfId="20123"/>
    <cellStyle name="40% - Accent5 2 2 14 3 2 2" xfId="48984"/>
    <cellStyle name="40% - Accent5 2 2 14 3 3" xfId="40891"/>
    <cellStyle name="40% - Accent5 2 2 14 4" xfId="14763"/>
    <cellStyle name="40% - Accent5 2 2 14 4 2" xfId="43624"/>
    <cellStyle name="40% - Accent5 2 2 14 5" xfId="31874"/>
    <cellStyle name="40% - Accent5 2 2 15" xfId="2807"/>
    <cellStyle name="40% - Accent5 2 2 15 2" xfId="8848"/>
    <cellStyle name="40% - Accent5 2 2 15 2 2" xfId="25895"/>
    <cellStyle name="40% - Accent5 2 2 15 2 2 2" xfId="54756"/>
    <cellStyle name="40% - Accent5 2 2 15 2 3" xfId="37709"/>
    <cellStyle name="40% - Accent5 2 2 15 3" xfId="17443"/>
    <cellStyle name="40% - Accent5 2 2 15 3 2" xfId="46304"/>
    <cellStyle name="40% - Accent5 2 2 15 4" xfId="31668"/>
    <cellStyle name="40% - Accent5 2 2 16" xfId="5693"/>
    <cellStyle name="40% - Accent5 2 2 16 2" xfId="11734"/>
    <cellStyle name="40% - Accent5 2 2 16 2 2" xfId="28781"/>
    <cellStyle name="40% - Accent5 2 2 16 2 2 2" xfId="57642"/>
    <cellStyle name="40% - Accent5 2 2 16 2 3" xfId="40595"/>
    <cellStyle name="40% - Accent5 2 2 16 3" xfId="22803"/>
    <cellStyle name="40% - Accent5 2 2 16 3 2" xfId="51664"/>
    <cellStyle name="40% - Accent5 2 2 16 4" xfId="34554"/>
    <cellStyle name="40% - Accent5 2 2 17" xfId="5910"/>
    <cellStyle name="40% - Accent5 2 2 17 2" xfId="23009"/>
    <cellStyle name="40% - Accent5 2 2 17 2 2" xfId="51870"/>
    <cellStyle name="40% - Accent5 2 2 17 3" xfId="34771"/>
    <cellStyle name="40% - Accent5 2 2 18" xfId="6168"/>
    <cellStyle name="40% - Accent5 2 2 18 2" xfId="23215"/>
    <cellStyle name="40% - Accent5 2 2 18 2 2" xfId="52076"/>
    <cellStyle name="40% - Accent5 2 2 18 3" xfId="35029"/>
    <cellStyle name="40% - Accent5 2 2 19" xfId="14557"/>
    <cellStyle name="40% - Accent5 2 2 19 2" xfId="43418"/>
    <cellStyle name="40% - Accent5 2 2 2" xfId="332"/>
    <cellStyle name="40% - Accent5 2 2 2 10" xfId="2495"/>
    <cellStyle name="40% - Accent5 2 2 2 10 2" xfId="5382"/>
    <cellStyle name="40% - Accent5 2 2 2 10 2 2" xfId="11423"/>
    <cellStyle name="40% - Accent5 2 2 2 10 2 2 2" xfId="28470"/>
    <cellStyle name="40% - Accent5 2 2 2 10 2 2 2 2" xfId="57331"/>
    <cellStyle name="40% - Accent5 2 2 2 10 2 2 3" xfId="40284"/>
    <cellStyle name="40% - Accent5 2 2 2 10 2 3" xfId="22492"/>
    <cellStyle name="40% - Accent5 2 2 2 10 2 3 2" xfId="51353"/>
    <cellStyle name="40% - Accent5 2 2 2 10 2 4" xfId="34243"/>
    <cellStyle name="40% - Accent5 2 2 2 10 3" xfId="8537"/>
    <cellStyle name="40% - Accent5 2 2 2 10 3 2" xfId="25584"/>
    <cellStyle name="40% - Accent5 2 2 2 10 3 2 2" xfId="54445"/>
    <cellStyle name="40% - Accent5 2 2 2 10 3 3" xfId="37398"/>
    <cellStyle name="40% - Accent5 2 2 2 10 4" xfId="13181"/>
    <cellStyle name="40% - Accent5 2 2 2 10 4 2" xfId="19812"/>
    <cellStyle name="40% - Accent5 2 2 2 10 4 2 2" xfId="48673"/>
    <cellStyle name="40% - Accent5 2 2 2 10 4 3" xfId="42042"/>
    <cellStyle name="40% - Accent5 2 2 2 10 5" xfId="17132"/>
    <cellStyle name="40% - Accent5 2 2 2 10 5 2" xfId="45993"/>
    <cellStyle name="40% - Accent5 2 2 2 10 6" xfId="31357"/>
    <cellStyle name="40% - Accent5 2 2 2 11" xfId="2704"/>
    <cellStyle name="40% - Accent5 2 2 2 11 2" xfId="5590"/>
    <cellStyle name="40% - Accent5 2 2 2 11 2 2" xfId="11631"/>
    <cellStyle name="40% - Accent5 2 2 2 11 2 2 2" xfId="28678"/>
    <cellStyle name="40% - Accent5 2 2 2 11 2 2 2 2" xfId="57539"/>
    <cellStyle name="40% - Accent5 2 2 2 11 2 2 3" xfId="40492"/>
    <cellStyle name="40% - Accent5 2 2 2 11 2 3" xfId="22700"/>
    <cellStyle name="40% - Accent5 2 2 2 11 2 3 2" xfId="51561"/>
    <cellStyle name="40% - Accent5 2 2 2 11 2 4" xfId="34451"/>
    <cellStyle name="40% - Accent5 2 2 2 11 3" xfId="8745"/>
    <cellStyle name="40% - Accent5 2 2 2 11 3 2" xfId="25792"/>
    <cellStyle name="40% - Accent5 2 2 2 11 3 2 2" xfId="54653"/>
    <cellStyle name="40% - Accent5 2 2 2 11 3 3" xfId="37606"/>
    <cellStyle name="40% - Accent5 2 2 2 11 4" xfId="12452"/>
    <cellStyle name="40% - Accent5 2 2 2 11 4 2" xfId="20020"/>
    <cellStyle name="40% - Accent5 2 2 2 11 4 2 2" xfId="48881"/>
    <cellStyle name="40% - Accent5 2 2 2 11 4 3" xfId="41313"/>
    <cellStyle name="40% - Accent5 2 2 2 11 5" xfId="17340"/>
    <cellStyle name="40% - Accent5 2 2 2 11 5 2" xfId="46201"/>
    <cellStyle name="40% - Accent5 2 2 2 11 6" xfId="31565"/>
    <cellStyle name="40% - Accent5 2 2 2 12" xfId="3219"/>
    <cellStyle name="40% - Accent5 2 2 2 12 2" xfId="9260"/>
    <cellStyle name="40% - Accent5 2 2 2 12 2 2" xfId="26307"/>
    <cellStyle name="40% - Accent5 2 2 2 12 2 2 2" xfId="55168"/>
    <cellStyle name="40% - Accent5 2 2 2 12 2 3" xfId="38121"/>
    <cellStyle name="40% - Accent5 2 2 2 12 3" xfId="12179"/>
    <cellStyle name="40% - Accent5 2 2 2 12 3 2" xfId="20329"/>
    <cellStyle name="40% - Accent5 2 2 2 12 3 2 2" xfId="49190"/>
    <cellStyle name="40% - Accent5 2 2 2 12 3 3" xfId="41040"/>
    <cellStyle name="40% - Accent5 2 2 2 12 4" xfId="14969"/>
    <cellStyle name="40% - Accent5 2 2 2 12 4 2" xfId="43830"/>
    <cellStyle name="40% - Accent5 2 2 2 12 5" xfId="32080"/>
    <cellStyle name="40% - Accent5 2 2 2 13" xfId="2910"/>
    <cellStyle name="40% - Accent5 2 2 2 13 2" xfId="8951"/>
    <cellStyle name="40% - Accent5 2 2 2 13 2 2" xfId="25998"/>
    <cellStyle name="40% - Accent5 2 2 2 13 2 2 2" xfId="54859"/>
    <cellStyle name="40% - Accent5 2 2 2 13 2 3" xfId="37812"/>
    <cellStyle name="40% - Accent5 2 2 2 13 3" xfId="17546"/>
    <cellStyle name="40% - Accent5 2 2 2 13 3 2" xfId="46407"/>
    <cellStyle name="40% - Accent5 2 2 2 13 4" xfId="31771"/>
    <cellStyle name="40% - Accent5 2 2 2 14" xfId="5796"/>
    <cellStyle name="40% - Accent5 2 2 2 14 2" xfId="11837"/>
    <cellStyle name="40% - Accent5 2 2 2 14 2 2" xfId="28884"/>
    <cellStyle name="40% - Accent5 2 2 2 14 2 2 2" xfId="57745"/>
    <cellStyle name="40% - Accent5 2 2 2 14 2 3" xfId="40698"/>
    <cellStyle name="40% - Accent5 2 2 2 14 3" xfId="22906"/>
    <cellStyle name="40% - Accent5 2 2 2 14 3 2" xfId="51767"/>
    <cellStyle name="40% - Accent5 2 2 2 14 4" xfId="34657"/>
    <cellStyle name="40% - Accent5 2 2 2 15" xfId="6013"/>
    <cellStyle name="40% - Accent5 2 2 2 15 2" xfId="23112"/>
    <cellStyle name="40% - Accent5 2 2 2 15 2 2" xfId="51973"/>
    <cellStyle name="40% - Accent5 2 2 2 15 3" xfId="34874"/>
    <cellStyle name="40% - Accent5 2 2 2 16" xfId="6374"/>
    <cellStyle name="40% - Accent5 2 2 2 16 2" xfId="23421"/>
    <cellStyle name="40% - Accent5 2 2 2 16 2 2" xfId="52282"/>
    <cellStyle name="40% - Accent5 2 2 2 16 3" xfId="35235"/>
    <cellStyle name="40% - Accent5 2 2 2 17" xfId="14660"/>
    <cellStyle name="40% - Accent5 2 2 2 17 2" xfId="43521"/>
    <cellStyle name="40% - Accent5 2 2 2 18" xfId="29194"/>
    <cellStyle name="40% - Accent5 2 2 2 2" xfId="538"/>
    <cellStyle name="40% - Accent5 2 2 2 2 2" xfId="2289"/>
    <cellStyle name="40% - Accent5 2 2 2 2 2 2" xfId="5176"/>
    <cellStyle name="40% - Accent5 2 2 2 2 2 2 2" xfId="11217"/>
    <cellStyle name="40% - Accent5 2 2 2 2 2 2 2 2" xfId="28264"/>
    <cellStyle name="40% - Accent5 2 2 2 2 2 2 2 2 2" xfId="57125"/>
    <cellStyle name="40% - Accent5 2 2 2 2 2 2 2 3" xfId="40078"/>
    <cellStyle name="40% - Accent5 2 2 2 2 2 2 3" xfId="22286"/>
    <cellStyle name="40% - Accent5 2 2 2 2 2 2 3 2" xfId="51147"/>
    <cellStyle name="40% - Accent5 2 2 2 2 2 2 4" xfId="34037"/>
    <cellStyle name="40% - Accent5 2 2 2 2 2 3" xfId="8331"/>
    <cellStyle name="40% - Accent5 2 2 2 2 2 3 2" xfId="25378"/>
    <cellStyle name="40% - Accent5 2 2 2 2 2 3 2 2" xfId="54239"/>
    <cellStyle name="40% - Accent5 2 2 2 2 2 3 3" xfId="37192"/>
    <cellStyle name="40% - Accent5 2 2 2 2 2 4" xfId="13074"/>
    <cellStyle name="40% - Accent5 2 2 2 2 2 4 2" xfId="19606"/>
    <cellStyle name="40% - Accent5 2 2 2 2 2 4 2 2" xfId="48467"/>
    <cellStyle name="40% - Accent5 2 2 2 2 2 4 3" xfId="41935"/>
    <cellStyle name="40% - Accent5 2 2 2 2 2 5" xfId="16926"/>
    <cellStyle name="40% - Accent5 2 2 2 2 2 5 2" xfId="45787"/>
    <cellStyle name="40% - Accent5 2 2 2 2 2 6" xfId="31151"/>
    <cellStyle name="40% - Accent5 2 2 2 2 3" xfId="3425"/>
    <cellStyle name="40% - Accent5 2 2 2 2 3 2" xfId="9466"/>
    <cellStyle name="40% - Accent5 2 2 2 2 3 2 2" xfId="26513"/>
    <cellStyle name="40% - Accent5 2 2 2 2 3 2 2 2" xfId="55374"/>
    <cellStyle name="40% - Accent5 2 2 2 2 3 2 3" xfId="38327"/>
    <cellStyle name="40% - Accent5 2 2 2 2 3 3" xfId="20535"/>
    <cellStyle name="40% - Accent5 2 2 2 2 3 3 2" xfId="49396"/>
    <cellStyle name="40% - Accent5 2 2 2 2 3 4" xfId="32286"/>
    <cellStyle name="40% - Accent5 2 2 2 2 4" xfId="6580"/>
    <cellStyle name="40% - Accent5 2 2 2 2 4 2" xfId="23627"/>
    <cellStyle name="40% - Accent5 2 2 2 2 4 2 2" xfId="52488"/>
    <cellStyle name="40% - Accent5 2 2 2 2 4 3" xfId="35441"/>
    <cellStyle name="40% - Accent5 2 2 2 2 5" xfId="13220"/>
    <cellStyle name="40% - Accent5 2 2 2 2 5 2" xfId="17855"/>
    <cellStyle name="40% - Accent5 2 2 2 2 5 2 2" xfId="46716"/>
    <cellStyle name="40% - Accent5 2 2 2 2 5 3" xfId="42081"/>
    <cellStyle name="40% - Accent5 2 2 2 2 6" xfId="15175"/>
    <cellStyle name="40% - Accent5 2 2 2 2 6 2" xfId="44036"/>
    <cellStyle name="40% - Accent5 2 2 2 2 7" xfId="29400"/>
    <cellStyle name="40% - Accent5 2 2 2 3" xfId="847"/>
    <cellStyle name="40% - Accent5 2 2 2 3 2" xfId="3734"/>
    <cellStyle name="40% - Accent5 2 2 2 3 2 2" xfId="9775"/>
    <cellStyle name="40% - Accent5 2 2 2 3 2 2 2" xfId="26822"/>
    <cellStyle name="40% - Accent5 2 2 2 3 2 2 2 2" xfId="55683"/>
    <cellStyle name="40% - Accent5 2 2 2 3 2 2 3" xfId="38636"/>
    <cellStyle name="40% - Accent5 2 2 2 3 2 3" xfId="20844"/>
    <cellStyle name="40% - Accent5 2 2 2 3 2 3 2" xfId="49705"/>
    <cellStyle name="40% - Accent5 2 2 2 3 2 4" xfId="32595"/>
    <cellStyle name="40% - Accent5 2 2 2 3 3" xfId="6889"/>
    <cellStyle name="40% - Accent5 2 2 2 3 3 2" xfId="23936"/>
    <cellStyle name="40% - Accent5 2 2 2 3 3 2 2" xfId="52797"/>
    <cellStyle name="40% - Accent5 2 2 2 3 3 3" xfId="35750"/>
    <cellStyle name="40% - Accent5 2 2 2 3 4" xfId="12214"/>
    <cellStyle name="40% - Accent5 2 2 2 3 4 2" xfId="18164"/>
    <cellStyle name="40% - Accent5 2 2 2 3 4 2 2" xfId="47025"/>
    <cellStyle name="40% - Accent5 2 2 2 3 4 3" xfId="41075"/>
    <cellStyle name="40% - Accent5 2 2 2 3 5" xfId="15484"/>
    <cellStyle name="40% - Accent5 2 2 2 3 5 2" xfId="44345"/>
    <cellStyle name="40% - Accent5 2 2 2 3 6" xfId="29709"/>
    <cellStyle name="40% - Accent5 2 2 2 4" xfId="1053"/>
    <cellStyle name="40% - Accent5 2 2 2 4 2" xfId="3940"/>
    <cellStyle name="40% - Accent5 2 2 2 4 2 2" xfId="9981"/>
    <cellStyle name="40% - Accent5 2 2 2 4 2 2 2" xfId="27028"/>
    <cellStyle name="40% - Accent5 2 2 2 4 2 2 2 2" xfId="55889"/>
    <cellStyle name="40% - Accent5 2 2 2 4 2 2 3" xfId="38842"/>
    <cellStyle name="40% - Accent5 2 2 2 4 2 3" xfId="21050"/>
    <cellStyle name="40% - Accent5 2 2 2 4 2 3 2" xfId="49911"/>
    <cellStyle name="40% - Accent5 2 2 2 4 2 4" xfId="32801"/>
    <cellStyle name="40% - Accent5 2 2 2 4 3" xfId="7095"/>
    <cellStyle name="40% - Accent5 2 2 2 4 3 2" xfId="24142"/>
    <cellStyle name="40% - Accent5 2 2 2 4 3 2 2" xfId="53003"/>
    <cellStyle name="40% - Accent5 2 2 2 4 3 3" xfId="35956"/>
    <cellStyle name="40% - Accent5 2 2 2 4 4" xfId="12615"/>
    <cellStyle name="40% - Accent5 2 2 2 4 4 2" xfId="18370"/>
    <cellStyle name="40% - Accent5 2 2 2 4 4 2 2" xfId="47231"/>
    <cellStyle name="40% - Accent5 2 2 2 4 4 3" xfId="41476"/>
    <cellStyle name="40% - Accent5 2 2 2 4 5" xfId="15690"/>
    <cellStyle name="40% - Accent5 2 2 2 4 5 2" xfId="44551"/>
    <cellStyle name="40% - Accent5 2 2 2 4 6" xfId="29915"/>
    <cellStyle name="40% - Accent5 2 2 2 5" xfId="1259"/>
    <cellStyle name="40% - Accent5 2 2 2 5 2" xfId="4146"/>
    <cellStyle name="40% - Accent5 2 2 2 5 2 2" xfId="10187"/>
    <cellStyle name="40% - Accent5 2 2 2 5 2 2 2" xfId="27234"/>
    <cellStyle name="40% - Accent5 2 2 2 5 2 2 2 2" xfId="56095"/>
    <cellStyle name="40% - Accent5 2 2 2 5 2 2 3" xfId="39048"/>
    <cellStyle name="40% - Accent5 2 2 2 5 2 3" xfId="21256"/>
    <cellStyle name="40% - Accent5 2 2 2 5 2 3 2" xfId="50117"/>
    <cellStyle name="40% - Accent5 2 2 2 5 2 4" xfId="33007"/>
    <cellStyle name="40% - Accent5 2 2 2 5 3" xfId="7301"/>
    <cellStyle name="40% - Accent5 2 2 2 5 3 2" xfId="24348"/>
    <cellStyle name="40% - Accent5 2 2 2 5 3 2 2" xfId="53209"/>
    <cellStyle name="40% - Accent5 2 2 2 5 3 3" xfId="36162"/>
    <cellStyle name="40% - Accent5 2 2 2 5 4" xfId="12136"/>
    <cellStyle name="40% - Accent5 2 2 2 5 4 2" xfId="18576"/>
    <cellStyle name="40% - Accent5 2 2 2 5 4 2 2" xfId="47437"/>
    <cellStyle name="40% - Accent5 2 2 2 5 4 3" xfId="40997"/>
    <cellStyle name="40% - Accent5 2 2 2 5 5" xfId="15896"/>
    <cellStyle name="40% - Accent5 2 2 2 5 5 2" xfId="44757"/>
    <cellStyle name="40% - Accent5 2 2 2 5 6" xfId="30121"/>
    <cellStyle name="40% - Accent5 2 2 2 6" xfId="1465"/>
    <cellStyle name="40% - Accent5 2 2 2 6 2" xfId="4352"/>
    <cellStyle name="40% - Accent5 2 2 2 6 2 2" xfId="10393"/>
    <cellStyle name="40% - Accent5 2 2 2 6 2 2 2" xfId="27440"/>
    <cellStyle name="40% - Accent5 2 2 2 6 2 2 2 2" xfId="56301"/>
    <cellStyle name="40% - Accent5 2 2 2 6 2 2 3" xfId="39254"/>
    <cellStyle name="40% - Accent5 2 2 2 6 2 3" xfId="21462"/>
    <cellStyle name="40% - Accent5 2 2 2 6 2 3 2" xfId="50323"/>
    <cellStyle name="40% - Accent5 2 2 2 6 2 4" xfId="33213"/>
    <cellStyle name="40% - Accent5 2 2 2 6 3" xfId="7507"/>
    <cellStyle name="40% - Accent5 2 2 2 6 3 2" xfId="24554"/>
    <cellStyle name="40% - Accent5 2 2 2 6 3 2 2" xfId="53415"/>
    <cellStyle name="40% - Accent5 2 2 2 6 3 3" xfId="36368"/>
    <cellStyle name="40% - Accent5 2 2 2 6 4" xfId="14042"/>
    <cellStyle name="40% - Accent5 2 2 2 6 4 2" xfId="18782"/>
    <cellStyle name="40% - Accent5 2 2 2 6 4 2 2" xfId="47643"/>
    <cellStyle name="40% - Accent5 2 2 2 6 4 3" xfId="42903"/>
    <cellStyle name="40% - Accent5 2 2 2 6 5" xfId="16102"/>
    <cellStyle name="40% - Accent5 2 2 2 6 5 2" xfId="44963"/>
    <cellStyle name="40% - Accent5 2 2 2 6 6" xfId="30327"/>
    <cellStyle name="40% - Accent5 2 2 2 7" xfId="1671"/>
    <cellStyle name="40% - Accent5 2 2 2 7 2" xfId="4558"/>
    <cellStyle name="40% - Accent5 2 2 2 7 2 2" xfId="10599"/>
    <cellStyle name="40% - Accent5 2 2 2 7 2 2 2" xfId="27646"/>
    <cellStyle name="40% - Accent5 2 2 2 7 2 2 2 2" xfId="56507"/>
    <cellStyle name="40% - Accent5 2 2 2 7 2 2 3" xfId="39460"/>
    <cellStyle name="40% - Accent5 2 2 2 7 2 3" xfId="21668"/>
    <cellStyle name="40% - Accent5 2 2 2 7 2 3 2" xfId="50529"/>
    <cellStyle name="40% - Accent5 2 2 2 7 2 4" xfId="33419"/>
    <cellStyle name="40% - Accent5 2 2 2 7 3" xfId="7713"/>
    <cellStyle name="40% - Accent5 2 2 2 7 3 2" xfId="24760"/>
    <cellStyle name="40% - Accent5 2 2 2 7 3 2 2" xfId="53621"/>
    <cellStyle name="40% - Accent5 2 2 2 7 3 3" xfId="36574"/>
    <cellStyle name="40% - Accent5 2 2 2 7 4" xfId="13019"/>
    <cellStyle name="40% - Accent5 2 2 2 7 4 2" xfId="18988"/>
    <cellStyle name="40% - Accent5 2 2 2 7 4 2 2" xfId="47849"/>
    <cellStyle name="40% - Accent5 2 2 2 7 4 3" xfId="41880"/>
    <cellStyle name="40% - Accent5 2 2 2 7 5" xfId="16308"/>
    <cellStyle name="40% - Accent5 2 2 2 7 5 2" xfId="45169"/>
    <cellStyle name="40% - Accent5 2 2 2 7 6" xfId="30533"/>
    <cellStyle name="40% - Accent5 2 2 2 8" xfId="1877"/>
    <cellStyle name="40% - Accent5 2 2 2 8 2" xfId="4764"/>
    <cellStyle name="40% - Accent5 2 2 2 8 2 2" xfId="10805"/>
    <cellStyle name="40% - Accent5 2 2 2 8 2 2 2" xfId="27852"/>
    <cellStyle name="40% - Accent5 2 2 2 8 2 2 2 2" xfId="56713"/>
    <cellStyle name="40% - Accent5 2 2 2 8 2 2 3" xfId="39666"/>
    <cellStyle name="40% - Accent5 2 2 2 8 2 3" xfId="21874"/>
    <cellStyle name="40% - Accent5 2 2 2 8 2 3 2" xfId="50735"/>
    <cellStyle name="40% - Accent5 2 2 2 8 2 4" xfId="33625"/>
    <cellStyle name="40% - Accent5 2 2 2 8 3" xfId="7919"/>
    <cellStyle name="40% - Accent5 2 2 2 8 3 2" xfId="24966"/>
    <cellStyle name="40% - Accent5 2 2 2 8 3 2 2" xfId="53827"/>
    <cellStyle name="40% - Accent5 2 2 2 8 3 3" xfId="36780"/>
    <cellStyle name="40% - Accent5 2 2 2 8 4" xfId="13378"/>
    <cellStyle name="40% - Accent5 2 2 2 8 4 2" xfId="19194"/>
    <cellStyle name="40% - Accent5 2 2 2 8 4 2 2" xfId="48055"/>
    <cellStyle name="40% - Accent5 2 2 2 8 4 3" xfId="42239"/>
    <cellStyle name="40% - Accent5 2 2 2 8 5" xfId="16514"/>
    <cellStyle name="40% - Accent5 2 2 2 8 5 2" xfId="45375"/>
    <cellStyle name="40% - Accent5 2 2 2 8 6" xfId="30739"/>
    <cellStyle name="40% - Accent5 2 2 2 9" xfId="2083"/>
    <cellStyle name="40% - Accent5 2 2 2 9 2" xfId="4970"/>
    <cellStyle name="40% - Accent5 2 2 2 9 2 2" xfId="11011"/>
    <cellStyle name="40% - Accent5 2 2 2 9 2 2 2" xfId="28058"/>
    <cellStyle name="40% - Accent5 2 2 2 9 2 2 2 2" xfId="56919"/>
    <cellStyle name="40% - Accent5 2 2 2 9 2 2 3" xfId="39872"/>
    <cellStyle name="40% - Accent5 2 2 2 9 2 3" xfId="22080"/>
    <cellStyle name="40% - Accent5 2 2 2 9 2 3 2" xfId="50941"/>
    <cellStyle name="40% - Accent5 2 2 2 9 2 4" xfId="33831"/>
    <cellStyle name="40% - Accent5 2 2 2 9 3" xfId="8125"/>
    <cellStyle name="40% - Accent5 2 2 2 9 3 2" xfId="25172"/>
    <cellStyle name="40% - Accent5 2 2 2 9 3 2 2" xfId="54033"/>
    <cellStyle name="40% - Accent5 2 2 2 9 3 3" xfId="36986"/>
    <cellStyle name="40% - Accent5 2 2 2 9 4" xfId="14044"/>
    <cellStyle name="40% - Accent5 2 2 2 9 4 2" xfId="19400"/>
    <cellStyle name="40% - Accent5 2 2 2 9 4 2 2" xfId="48261"/>
    <cellStyle name="40% - Accent5 2 2 2 9 4 3" xfId="42905"/>
    <cellStyle name="40% - Accent5 2 2 2 9 5" xfId="16720"/>
    <cellStyle name="40% - Accent5 2 2 2 9 5 2" xfId="45581"/>
    <cellStyle name="40% - Accent5 2 2 2 9 6" xfId="30945"/>
    <cellStyle name="40% - Accent5 2 2 20" xfId="28988"/>
    <cellStyle name="40% - Accent5 2 2 3" xfId="229"/>
    <cellStyle name="40% - Accent5 2 2 3 2" xfId="641"/>
    <cellStyle name="40% - Accent5 2 2 3 2 2" xfId="3528"/>
    <cellStyle name="40% - Accent5 2 2 3 2 2 2" xfId="9569"/>
    <cellStyle name="40% - Accent5 2 2 3 2 2 2 2" xfId="26616"/>
    <cellStyle name="40% - Accent5 2 2 3 2 2 2 2 2" xfId="55477"/>
    <cellStyle name="40% - Accent5 2 2 3 2 2 2 3" xfId="38430"/>
    <cellStyle name="40% - Accent5 2 2 3 2 2 3" xfId="20638"/>
    <cellStyle name="40% - Accent5 2 2 3 2 2 3 2" xfId="49499"/>
    <cellStyle name="40% - Accent5 2 2 3 2 2 4" xfId="32389"/>
    <cellStyle name="40% - Accent5 2 2 3 2 3" xfId="6683"/>
    <cellStyle name="40% - Accent5 2 2 3 2 3 2" xfId="23730"/>
    <cellStyle name="40% - Accent5 2 2 3 2 3 2 2" xfId="52591"/>
    <cellStyle name="40% - Accent5 2 2 3 2 3 3" xfId="35544"/>
    <cellStyle name="40% - Accent5 2 2 3 2 4" xfId="12377"/>
    <cellStyle name="40% - Accent5 2 2 3 2 4 2" xfId="17958"/>
    <cellStyle name="40% - Accent5 2 2 3 2 4 2 2" xfId="46819"/>
    <cellStyle name="40% - Accent5 2 2 3 2 4 3" xfId="41238"/>
    <cellStyle name="40% - Accent5 2 2 3 2 5" xfId="15278"/>
    <cellStyle name="40% - Accent5 2 2 3 2 5 2" xfId="44139"/>
    <cellStyle name="40% - Accent5 2 2 3 2 6" xfId="29503"/>
    <cellStyle name="40% - Accent5 2 2 3 3" xfId="2186"/>
    <cellStyle name="40% - Accent5 2 2 3 3 2" xfId="5073"/>
    <cellStyle name="40% - Accent5 2 2 3 3 2 2" xfId="11114"/>
    <cellStyle name="40% - Accent5 2 2 3 3 2 2 2" xfId="28161"/>
    <cellStyle name="40% - Accent5 2 2 3 3 2 2 2 2" xfId="57022"/>
    <cellStyle name="40% - Accent5 2 2 3 3 2 2 3" xfId="39975"/>
    <cellStyle name="40% - Accent5 2 2 3 3 2 3" xfId="22183"/>
    <cellStyle name="40% - Accent5 2 2 3 3 2 3 2" xfId="51044"/>
    <cellStyle name="40% - Accent5 2 2 3 3 2 4" xfId="33934"/>
    <cellStyle name="40% - Accent5 2 2 3 3 3" xfId="8228"/>
    <cellStyle name="40% - Accent5 2 2 3 3 3 2" xfId="25275"/>
    <cellStyle name="40% - Accent5 2 2 3 3 3 2 2" xfId="54136"/>
    <cellStyle name="40% - Accent5 2 2 3 3 3 3" xfId="37089"/>
    <cellStyle name="40% - Accent5 2 2 3 3 4" xfId="12358"/>
    <cellStyle name="40% - Accent5 2 2 3 3 4 2" xfId="19503"/>
    <cellStyle name="40% - Accent5 2 2 3 3 4 2 2" xfId="48364"/>
    <cellStyle name="40% - Accent5 2 2 3 3 4 3" xfId="41219"/>
    <cellStyle name="40% - Accent5 2 2 3 3 5" xfId="16823"/>
    <cellStyle name="40% - Accent5 2 2 3 3 5 2" xfId="45684"/>
    <cellStyle name="40% - Accent5 2 2 3 3 6" xfId="31048"/>
    <cellStyle name="40% - Accent5 2 2 3 4" xfId="3116"/>
    <cellStyle name="40% - Accent5 2 2 3 4 2" xfId="9157"/>
    <cellStyle name="40% - Accent5 2 2 3 4 2 2" xfId="26204"/>
    <cellStyle name="40% - Accent5 2 2 3 4 2 2 2" xfId="55065"/>
    <cellStyle name="40% - Accent5 2 2 3 4 2 3" xfId="38018"/>
    <cellStyle name="40% - Accent5 2 2 3 4 3" xfId="20226"/>
    <cellStyle name="40% - Accent5 2 2 3 4 3 2" xfId="49087"/>
    <cellStyle name="40% - Accent5 2 2 3 4 4" xfId="31977"/>
    <cellStyle name="40% - Accent5 2 2 3 5" xfId="6271"/>
    <cellStyle name="40% - Accent5 2 2 3 5 2" xfId="23318"/>
    <cellStyle name="40% - Accent5 2 2 3 5 2 2" xfId="52179"/>
    <cellStyle name="40% - Accent5 2 2 3 5 3" xfId="35132"/>
    <cellStyle name="40% - Accent5 2 2 3 6" xfId="12326"/>
    <cellStyle name="40% - Accent5 2 2 3 6 2" xfId="17649"/>
    <cellStyle name="40% - Accent5 2 2 3 6 2 2" xfId="46510"/>
    <cellStyle name="40% - Accent5 2 2 3 6 3" xfId="41187"/>
    <cellStyle name="40% - Accent5 2 2 3 7" xfId="14866"/>
    <cellStyle name="40% - Accent5 2 2 3 7 2" xfId="43727"/>
    <cellStyle name="40% - Accent5 2 2 3 8" xfId="29091"/>
    <cellStyle name="40% - Accent5 2 2 4" xfId="435"/>
    <cellStyle name="40% - Accent5 2 2 4 2" xfId="3322"/>
    <cellStyle name="40% - Accent5 2 2 4 2 2" xfId="9363"/>
    <cellStyle name="40% - Accent5 2 2 4 2 2 2" xfId="26410"/>
    <cellStyle name="40% - Accent5 2 2 4 2 2 2 2" xfId="55271"/>
    <cellStyle name="40% - Accent5 2 2 4 2 2 3" xfId="38224"/>
    <cellStyle name="40% - Accent5 2 2 4 2 3" xfId="20432"/>
    <cellStyle name="40% - Accent5 2 2 4 2 3 2" xfId="49293"/>
    <cellStyle name="40% - Accent5 2 2 4 2 4" xfId="32183"/>
    <cellStyle name="40% - Accent5 2 2 4 3" xfId="6477"/>
    <cellStyle name="40% - Accent5 2 2 4 3 2" xfId="23524"/>
    <cellStyle name="40% - Accent5 2 2 4 3 2 2" xfId="52385"/>
    <cellStyle name="40% - Accent5 2 2 4 3 3" xfId="35338"/>
    <cellStyle name="40% - Accent5 2 2 4 4" xfId="13940"/>
    <cellStyle name="40% - Accent5 2 2 4 4 2" xfId="17752"/>
    <cellStyle name="40% - Accent5 2 2 4 4 2 2" xfId="46613"/>
    <cellStyle name="40% - Accent5 2 2 4 4 3" xfId="42801"/>
    <cellStyle name="40% - Accent5 2 2 4 5" xfId="15072"/>
    <cellStyle name="40% - Accent5 2 2 4 5 2" xfId="43933"/>
    <cellStyle name="40% - Accent5 2 2 4 6" xfId="29297"/>
    <cellStyle name="40% - Accent5 2 2 5" xfId="744"/>
    <cellStyle name="40% - Accent5 2 2 5 2" xfId="3631"/>
    <cellStyle name="40% - Accent5 2 2 5 2 2" xfId="9672"/>
    <cellStyle name="40% - Accent5 2 2 5 2 2 2" xfId="26719"/>
    <cellStyle name="40% - Accent5 2 2 5 2 2 2 2" xfId="55580"/>
    <cellStyle name="40% - Accent5 2 2 5 2 2 3" xfId="38533"/>
    <cellStyle name="40% - Accent5 2 2 5 2 3" xfId="20741"/>
    <cellStyle name="40% - Accent5 2 2 5 2 3 2" xfId="49602"/>
    <cellStyle name="40% - Accent5 2 2 5 2 4" xfId="32492"/>
    <cellStyle name="40% - Accent5 2 2 5 3" xfId="6786"/>
    <cellStyle name="40% - Accent5 2 2 5 3 2" xfId="23833"/>
    <cellStyle name="40% - Accent5 2 2 5 3 2 2" xfId="52694"/>
    <cellStyle name="40% - Accent5 2 2 5 3 3" xfId="35647"/>
    <cellStyle name="40% - Accent5 2 2 5 4" xfId="13164"/>
    <cellStyle name="40% - Accent5 2 2 5 4 2" xfId="18061"/>
    <cellStyle name="40% - Accent5 2 2 5 4 2 2" xfId="46922"/>
    <cellStyle name="40% - Accent5 2 2 5 4 3" xfId="42025"/>
    <cellStyle name="40% - Accent5 2 2 5 5" xfId="15381"/>
    <cellStyle name="40% - Accent5 2 2 5 5 2" xfId="44242"/>
    <cellStyle name="40% - Accent5 2 2 5 6" xfId="29606"/>
    <cellStyle name="40% - Accent5 2 2 6" xfId="950"/>
    <cellStyle name="40% - Accent5 2 2 6 2" xfId="3837"/>
    <cellStyle name="40% - Accent5 2 2 6 2 2" xfId="9878"/>
    <cellStyle name="40% - Accent5 2 2 6 2 2 2" xfId="26925"/>
    <cellStyle name="40% - Accent5 2 2 6 2 2 2 2" xfId="55786"/>
    <cellStyle name="40% - Accent5 2 2 6 2 2 3" xfId="38739"/>
    <cellStyle name="40% - Accent5 2 2 6 2 3" xfId="20947"/>
    <cellStyle name="40% - Accent5 2 2 6 2 3 2" xfId="49808"/>
    <cellStyle name="40% - Accent5 2 2 6 2 4" xfId="32698"/>
    <cellStyle name="40% - Accent5 2 2 6 3" xfId="6992"/>
    <cellStyle name="40% - Accent5 2 2 6 3 2" xfId="24039"/>
    <cellStyle name="40% - Accent5 2 2 6 3 2 2" xfId="52900"/>
    <cellStyle name="40% - Accent5 2 2 6 3 3" xfId="35853"/>
    <cellStyle name="40% - Accent5 2 2 6 4" xfId="6096"/>
    <cellStyle name="40% - Accent5 2 2 6 4 2" xfId="18267"/>
    <cellStyle name="40% - Accent5 2 2 6 4 2 2" xfId="47128"/>
    <cellStyle name="40% - Accent5 2 2 6 4 3" xfId="34957"/>
    <cellStyle name="40% - Accent5 2 2 6 5" xfId="15587"/>
    <cellStyle name="40% - Accent5 2 2 6 5 2" xfId="44448"/>
    <cellStyle name="40% - Accent5 2 2 6 6" xfId="29812"/>
    <cellStyle name="40% - Accent5 2 2 7" xfId="1156"/>
    <cellStyle name="40% - Accent5 2 2 7 2" xfId="4043"/>
    <cellStyle name="40% - Accent5 2 2 7 2 2" xfId="10084"/>
    <cellStyle name="40% - Accent5 2 2 7 2 2 2" xfId="27131"/>
    <cellStyle name="40% - Accent5 2 2 7 2 2 2 2" xfId="55992"/>
    <cellStyle name="40% - Accent5 2 2 7 2 2 3" xfId="38945"/>
    <cellStyle name="40% - Accent5 2 2 7 2 3" xfId="21153"/>
    <cellStyle name="40% - Accent5 2 2 7 2 3 2" xfId="50014"/>
    <cellStyle name="40% - Accent5 2 2 7 2 4" xfId="32904"/>
    <cellStyle name="40% - Accent5 2 2 7 3" xfId="7198"/>
    <cellStyle name="40% - Accent5 2 2 7 3 2" xfId="24245"/>
    <cellStyle name="40% - Accent5 2 2 7 3 2 2" xfId="53106"/>
    <cellStyle name="40% - Accent5 2 2 7 3 3" xfId="36059"/>
    <cellStyle name="40% - Accent5 2 2 7 4" xfId="12776"/>
    <cellStyle name="40% - Accent5 2 2 7 4 2" xfId="18473"/>
    <cellStyle name="40% - Accent5 2 2 7 4 2 2" xfId="47334"/>
    <cellStyle name="40% - Accent5 2 2 7 4 3" xfId="41637"/>
    <cellStyle name="40% - Accent5 2 2 7 5" xfId="15793"/>
    <cellStyle name="40% - Accent5 2 2 7 5 2" xfId="44654"/>
    <cellStyle name="40% - Accent5 2 2 7 6" xfId="30018"/>
    <cellStyle name="40% - Accent5 2 2 8" xfId="1362"/>
    <cellStyle name="40% - Accent5 2 2 8 2" xfId="4249"/>
    <cellStyle name="40% - Accent5 2 2 8 2 2" xfId="10290"/>
    <cellStyle name="40% - Accent5 2 2 8 2 2 2" xfId="27337"/>
    <cellStyle name="40% - Accent5 2 2 8 2 2 2 2" xfId="56198"/>
    <cellStyle name="40% - Accent5 2 2 8 2 2 3" xfId="39151"/>
    <cellStyle name="40% - Accent5 2 2 8 2 3" xfId="21359"/>
    <cellStyle name="40% - Accent5 2 2 8 2 3 2" xfId="50220"/>
    <cellStyle name="40% - Accent5 2 2 8 2 4" xfId="33110"/>
    <cellStyle name="40% - Accent5 2 2 8 3" xfId="7404"/>
    <cellStyle name="40% - Accent5 2 2 8 3 2" xfId="24451"/>
    <cellStyle name="40% - Accent5 2 2 8 3 2 2" xfId="53312"/>
    <cellStyle name="40% - Accent5 2 2 8 3 3" xfId="36265"/>
    <cellStyle name="40% - Accent5 2 2 8 4" xfId="13632"/>
    <cellStyle name="40% - Accent5 2 2 8 4 2" xfId="18679"/>
    <cellStyle name="40% - Accent5 2 2 8 4 2 2" xfId="47540"/>
    <cellStyle name="40% - Accent5 2 2 8 4 3" xfId="42493"/>
    <cellStyle name="40% - Accent5 2 2 8 5" xfId="15999"/>
    <cellStyle name="40% - Accent5 2 2 8 5 2" xfId="44860"/>
    <cellStyle name="40% - Accent5 2 2 8 6" xfId="30224"/>
    <cellStyle name="40% - Accent5 2 2 9" xfId="1568"/>
    <cellStyle name="40% - Accent5 2 2 9 2" xfId="4455"/>
    <cellStyle name="40% - Accent5 2 2 9 2 2" xfId="10496"/>
    <cellStyle name="40% - Accent5 2 2 9 2 2 2" xfId="27543"/>
    <cellStyle name="40% - Accent5 2 2 9 2 2 2 2" xfId="56404"/>
    <cellStyle name="40% - Accent5 2 2 9 2 2 3" xfId="39357"/>
    <cellStyle name="40% - Accent5 2 2 9 2 3" xfId="21565"/>
    <cellStyle name="40% - Accent5 2 2 9 2 3 2" xfId="50426"/>
    <cellStyle name="40% - Accent5 2 2 9 2 4" xfId="33316"/>
    <cellStyle name="40% - Accent5 2 2 9 3" xfId="7610"/>
    <cellStyle name="40% - Accent5 2 2 9 3 2" xfId="24657"/>
    <cellStyle name="40% - Accent5 2 2 9 3 2 2" xfId="53518"/>
    <cellStyle name="40% - Accent5 2 2 9 3 3" xfId="36471"/>
    <cellStyle name="40% - Accent5 2 2 9 4" xfId="13825"/>
    <cellStyle name="40% - Accent5 2 2 9 4 2" xfId="18885"/>
    <cellStyle name="40% - Accent5 2 2 9 4 2 2" xfId="47746"/>
    <cellStyle name="40% - Accent5 2 2 9 4 3" xfId="42686"/>
    <cellStyle name="40% - Accent5 2 2 9 5" xfId="16205"/>
    <cellStyle name="40% - Accent5 2 2 9 5 2" xfId="45066"/>
    <cellStyle name="40% - Accent5 2 2 9 6" xfId="30430"/>
    <cellStyle name="40% - Accent5 2 20" xfId="6142"/>
    <cellStyle name="40% - Accent5 2 20 2" xfId="23189"/>
    <cellStyle name="40% - Accent5 2 20 2 2" xfId="52050"/>
    <cellStyle name="40% - Accent5 2 20 3" xfId="35003"/>
    <cellStyle name="40% - Accent5 2 21" xfId="14531"/>
    <cellStyle name="40% - Accent5 2 21 2" xfId="43392"/>
    <cellStyle name="40% - Accent5 2 22" xfId="28962"/>
    <cellStyle name="40% - Accent5 2 3" xfId="152"/>
    <cellStyle name="40% - Accent5 2 3 10" xfId="1800"/>
    <cellStyle name="40% - Accent5 2 3 10 2" xfId="4687"/>
    <cellStyle name="40% - Accent5 2 3 10 2 2" xfId="10728"/>
    <cellStyle name="40% - Accent5 2 3 10 2 2 2" xfId="27775"/>
    <cellStyle name="40% - Accent5 2 3 10 2 2 2 2" xfId="56636"/>
    <cellStyle name="40% - Accent5 2 3 10 2 2 3" xfId="39589"/>
    <cellStyle name="40% - Accent5 2 3 10 2 3" xfId="21797"/>
    <cellStyle name="40% - Accent5 2 3 10 2 3 2" xfId="50658"/>
    <cellStyle name="40% - Accent5 2 3 10 2 4" xfId="33548"/>
    <cellStyle name="40% - Accent5 2 3 10 3" xfId="7842"/>
    <cellStyle name="40% - Accent5 2 3 10 3 2" xfId="24889"/>
    <cellStyle name="40% - Accent5 2 3 10 3 2 2" xfId="53750"/>
    <cellStyle name="40% - Accent5 2 3 10 3 3" xfId="36703"/>
    <cellStyle name="40% - Accent5 2 3 10 4" xfId="13881"/>
    <cellStyle name="40% - Accent5 2 3 10 4 2" xfId="19117"/>
    <cellStyle name="40% - Accent5 2 3 10 4 2 2" xfId="47978"/>
    <cellStyle name="40% - Accent5 2 3 10 4 3" xfId="42742"/>
    <cellStyle name="40% - Accent5 2 3 10 5" xfId="16437"/>
    <cellStyle name="40% - Accent5 2 3 10 5 2" xfId="45298"/>
    <cellStyle name="40% - Accent5 2 3 10 6" xfId="30662"/>
    <cellStyle name="40% - Accent5 2 3 11" xfId="2006"/>
    <cellStyle name="40% - Accent5 2 3 11 2" xfId="4893"/>
    <cellStyle name="40% - Accent5 2 3 11 2 2" xfId="10934"/>
    <cellStyle name="40% - Accent5 2 3 11 2 2 2" xfId="27981"/>
    <cellStyle name="40% - Accent5 2 3 11 2 2 2 2" xfId="56842"/>
    <cellStyle name="40% - Accent5 2 3 11 2 2 3" xfId="39795"/>
    <cellStyle name="40% - Accent5 2 3 11 2 3" xfId="22003"/>
    <cellStyle name="40% - Accent5 2 3 11 2 3 2" xfId="50864"/>
    <cellStyle name="40% - Accent5 2 3 11 2 4" xfId="33754"/>
    <cellStyle name="40% - Accent5 2 3 11 3" xfId="8048"/>
    <cellStyle name="40% - Accent5 2 3 11 3 2" xfId="25095"/>
    <cellStyle name="40% - Accent5 2 3 11 3 2 2" xfId="53956"/>
    <cellStyle name="40% - Accent5 2 3 11 3 3" xfId="36909"/>
    <cellStyle name="40% - Accent5 2 3 11 4" xfId="12918"/>
    <cellStyle name="40% - Accent5 2 3 11 4 2" xfId="19323"/>
    <cellStyle name="40% - Accent5 2 3 11 4 2 2" xfId="48184"/>
    <cellStyle name="40% - Accent5 2 3 11 4 3" xfId="41779"/>
    <cellStyle name="40% - Accent5 2 3 11 5" xfId="16643"/>
    <cellStyle name="40% - Accent5 2 3 11 5 2" xfId="45504"/>
    <cellStyle name="40% - Accent5 2 3 11 6" xfId="30868"/>
    <cellStyle name="40% - Accent5 2 3 12" xfId="2418"/>
    <cellStyle name="40% - Accent5 2 3 12 2" xfId="5305"/>
    <cellStyle name="40% - Accent5 2 3 12 2 2" xfId="11346"/>
    <cellStyle name="40% - Accent5 2 3 12 2 2 2" xfId="28393"/>
    <cellStyle name="40% - Accent5 2 3 12 2 2 2 2" xfId="57254"/>
    <cellStyle name="40% - Accent5 2 3 12 2 2 3" xfId="40207"/>
    <cellStyle name="40% - Accent5 2 3 12 2 3" xfId="22415"/>
    <cellStyle name="40% - Accent5 2 3 12 2 3 2" xfId="51276"/>
    <cellStyle name="40% - Accent5 2 3 12 2 4" xfId="34166"/>
    <cellStyle name="40% - Accent5 2 3 12 3" xfId="8460"/>
    <cellStyle name="40% - Accent5 2 3 12 3 2" xfId="25507"/>
    <cellStyle name="40% - Accent5 2 3 12 3 2 2" xfId="54368"/>
    <cellStyle name="40% - Accent5 2 3 12 3 3" xfId="37321"/>
    <cellStyle name="40% - Accent5 2 3 12 4" xfId="12514"/>
    <cellStyle name="40% - Accent5 2 3 12 4 2" xfId="19735"/>
    <cellStyle name="40% - Accent5 2 3 12 4 2 2" xfId="48596"/>
    <cellStyle name="40% - Accent5 2 3 12 4 3" xfId="41375"/>
    <cellStyle name="40% - Accent5 2 3 12 5" xfId="17055"/>
    <cellStyle name="40% - Accent5 2 3 12 5 2" xfId="45916"/>
    <cellStyle name="40% - Accent5 2 3 12 6" xfId="31280"/>
    <cellStyle name="40% - Accent5 2 3 13" xfId="2627"/>
    <cellStyle name="40% - Accent5 2 3 13 2" xfId="5513"/>
    <cellStyle name="40% - Accent5 2 3 13 2 2" xfId="11554"/>
    <cellStyle name="40% - Accent5 2 3 13 2 2 2" xfId="28601"/>
    <cellStyle name="40% - Accent5 2 3 13 2 2 2 2" xfId="57462"/>
    <cellStyle name="40% - Accent5 2 3 13 2 2 3" xfId="40415"/>
    <cellStyle name="40% - Accent5 2 3 13 2 3" xfId="22623"/>
    <cellStyle name="40% - Accent5 2 3 13 2 3 2" xfId="51484"/>
    <cellStyle name="40% - Accent5 2 3 13 2 4" xfId="34374"/>
    <cellStyle name="40% - Accent5 2 3 13 3" xfId="8668"/>
    <cellStyle name="40% - Accent5 2 3 13 3 2" xfId="25715"/>
    <cellStyle name="40% - Accent5 2 3 13 3 2 2" xfId="54576"/>
    <cellStyle name="40% - Accent5 2 3 13 3 3" xfId="37529"/>
    <cellStyle name="40% - Accent5 2 3 13 4" xfId="13254"/>
    <cellStyle name="40% - Accent5 2 3 13 4 2" xfId="19943"/>
    <cellStyle name="40% - Accent5 2 3 13 4 2 2" xfId="48804"/>
    <cellStyle name="40% - Accent5 2 3 13 4 3" xfId="42115"/>
    <cellStyle name="40% - Accent5 2 3 13 5" xfId="17263"/>
    <cellStyle name="40% - Accent5 2 3 13 5 2" xfId="46124"/>
    <cellStyle name="40% - Accent5 2 3 13 6" xfId="31488"/>
    <cellStyle name="40% - Accent5 2 3 14" xfId="3039"/>
    <cellStyle name="40% - Accent5 2 3 14 2" xfId="9080"/>
    <cellStyle name="40% - Accent5 2 3 14 2 2" xfId="26127"/>
    <cellStyle name="40% - Accent5 2 3 14 2 2 2" xfId="54988"/>
    <cellStyle name="40% - Accent5 2 3 14 2 3" xfId="37941"/>
    <cellStyle name="40% - Accent5 2 3 14 3" xfId="11908"/>
    <cellStyle name="40% - Accent5 2 3 14 3 2" xfId="20149"/>
    <cellStyle name="40% - Accent5 2 3 14 3 2 2" xfId="49010"/>
    <cellStyle name="40% - Accent5 2 3 14 3 3" xfId="40769"/>
    <cellStyle name="40% - Accent5 2 3 14 4" xfId="14789"/>
    <cellStyle name="40% - Accent5 2 3 14 4 2" xfId="43650"/>
    <cellStyle name="40% - Accent5 2 3 14 5" xfId="31900"/>
    <cellStyle name="40% - Accent5 2 3 15" xfId="2833"/>
    <cellStyle name="40% - Accent5 2 3 15 2" xfId="8874"/>
    <cellStyle name="40% - Accent5 2 3 15 2 2" xfId="25921"/>
    <cellStyle name="40% - Accent5 2 3 15 2 2 2" xfId="54782"/>
    <cellStyle name="40% - Accent5 2 3 15 2 3" xfId="37735"/>
    <cellStyle name="40% - Accent5 2 3 15 3" xfId="17469"/>
    <cellStyle name="40% - Accent5 2 3 15 3 2" xfId="46330"/>
    <cellStyle name="40% - Accent5 2 3 15 4" xfId="31694"/>
    <cellStyle name="40% - Accent5 2 3 16" xfId="5719"/>
    <cellStyle name="40% - Accent5 2 3 16 2" xfId="11760"/>
    <cellStyle name="40% - Accent5 2 3 16 2 2" xfId="28807"/>
    <cellStyle name="40% - Accent5 2 3 16 2 2 2" xfId="57668"/>
    <cellStyle name="40% - Accent5 2 3 16 2 3" xfId="40621"/>
    <cellStyle name="40% - Accent5 2 3 16 3" xfId="22829"/>
    <cellStyle name="40% - Accent5 2 3 16 3 2" xfId="51690"/>
    <cellStyle name="40% - Accent5 2 3 16 4" xfId="34580"/>
    <cellStyle name="40% - Accent5 2 3 17" xfId="5936"/>
    <cellStyle name="40% - Accent5 2 3 17 2" xfId="23035"/>
    <cellStyle name="40% - Accent5 2 3 17 2 2" xfId="51896"/>
    <cellStyle name="40% - Accent5 2 3 17 3" xfId="34797"/>
    <cellStyle name="40% - Accent5 2 3 18" xfId="6194"/>
    <cellStyle name="40% - Accent5 2 3 18 2" xfId="23241"/>
    <cellStyle name="40% - Accent5 2 3 18 2 2" xfId="52102"/>
    <cellStyle name="40% - Accent5 2 3 18 3" xfId="35055"/>
    <cellStyle name="40% - Accent5 2 3 19" xfId="14583"/>
    <cellStyle name="40% - Accent5 2 3 19 2" xfId="43444"/>
    <cellStyle name="40% - Accent5 2 3 2" xfId="358"/>
    <cellStyle name="40% - Accent5 2 3 2 10" xfId="2521"/>
    <cellStyle name="40% - Accent5 2 3 2 10 2" xfId="5408"/>
    <cellStyle name="40% - Accent5 2 3 2 10 2 2" xfId="11449"/>
    <cellStyle name="40% - Accent5 2 3 2 10 2 2 2" xfId="28496"/>
    <cellStyle name="40% - Accent5 2 3 2 10 2 2 2 2" xfId="57357"/>
    <cellStyle name="40% - Accent5 2 3 2 10 2 2 3" xfId="40310"/>
    <cellStyle name="40% - Accent5 2 3 2 10 2 3" xfId="22518"/>
    <cellStyle name="40% - Accent5 2 3 2 10 2 3 2" xfId="51379"/>
    <cellStyle name="40% - Accent5 2 3 2 10 2 4" xfId="34269"/>
    <cellStyle name="40% - Accent5 2 3 2 10 3" xfId="8563"/>
    <cellStyle name="40% - Accent5 2 3 2 10 3 2" xfId="25610"/>
    <cellStyle name="40% - Accent5 2 3 2 10 3 2 2" xfId="54471"/>
    <cellStyle name="40% - Accent5 2 3 2 10 3 3" xfId="37424"/>
    <cellStyle name="40% - Accent5 2 3 2 10 4" xfId="13034"/>
    <cellStyle name="40% - Accent5 2 3 2 10 4 2" xfId="19838"/>
    <cellStyle name="40% - Accent5 2 3 2 10 4 2 2" xfId="48699"/>
    <cellStyle name="40% - Accent5 2 3 2 10 4 3" xfId="41895"/>
    <cellStyle name="40% - Accent5 2 3 2 10 5" xfId="17158"/>
    <cellStyle name="40% - Accent5 2 3 2 10 5 2" xfId="46019"/>
    <cellStyle name="40% - Accent5 2 3 2 10 6" xfId="31383"/>
    <cellStyle name="40% - Accent5 2 3 2 11" xfId="2730"/>
    <cellStyle name="40% - Accent5 2 3 2 11 2" xfId="5616"/>
    <cellStyle name="40% - Accent5 2 3 2 11 2 2" xfId="11657"/>
    <cellStyle name="40% - Accent5 2 3 2 11 2 2 2" xfId="28704"/>
    <cellStyle name="40% - Accent5 2 3 2 11 2 2 2 2" xfId="57565"/>
    <cellStyle name="40% - Accent5 2 3 2 11 2 2 3" xfId="40518"/>
    <cellStyle name="40% - Accent5 2 3 2 11 2 3" xfId="22726"/>
    <cellStyle name="40% - Accent5 2 3 2 11 2 3 2" xfId="51587"/>
    <cellStyle name="40% - Accent5 2 3 2 11 2 4" xfId="34477"/>
    <cellStyle name="40% - Accent5 2 3 2 11 3" xfId="8771"/>
    <cellStyle name="40% - Accent5 2 3 2 11 3 2" xfId="25818"/>
    <cellStyle name="40% - Accent5 2 3 2 11 3 2 2" xfId="54679"/>
    <cellStyle name="40% - Accent5 2 3 2 11 3 3" xfId="37632"/>
    <cellStyle name="40% - Accent5 2 3 2 11 4" xfId="12240"/>
    <cellStyle name="40% - Accent5 2 3 2 11 4 2" xfId="20046"/>
    <cellStyle name="40% - Accent5 2 3 2 11 4 2 2" xfId="48907"/>
    <cellStyle name="40% - Accent5 2 3 2 11 4 3" xfId="41101"/>
    <cellStyle name="40% - Accent5 2 3 2 11 5" xfId="17366"/>
    <cellStyle name="40% - Accent5 2 3 2 11 5 2" xfId="46227"/>
    <cellStyle name="40% - Accent5 2 3 2 11 6" xfId="31591"/>
    <cellStyle name="40% - Accent5 2 3 2 12" xfId="3245"/>
    <cellStyle name="40% - Accent5 2 3 2 12 2" xfId="9286"/>
    <cellStyle name="40% - Accent5 2 3 2 12 2 2" xfId="26333"/>
    <cellStyle name="40% - Accent5 2 3 2 12 2 2 2" xfId="55194"/>
    <cellStyle name="40% - Accent5 2 3 2 12 2 3" xfId="38147"/>
    <cellStyle name="40% - Accent5 2 3 2 12 3" xfId="11958"/>
    <cellStyle name="40% - Accent5 2 3 2 12 3 2" xfId="20355"/>
    <cellStyle name="40% - Accent5 2 3 2 12 3 2 2" xfId="49216"/>
    <cellStyle name="40% - Accent5 2 3 2 12 3 3" xfId="40819"/>
    <cellStyle name="40% - Accent5 2 3 2 12 4" xfId="14995"/>
    <cellStyle name="40% - Accent5 2 3 2 12 4 2" xfId="43856"/>
    <cellStyle name="40% - Accent5 2 3 2 12 5" xfId="32106"/>
    <cellStyle name="40% - Accent5 2 3 2 13" xfId="2936"/>
    <cellStyle name="40% - Accent5 2 3 2 13 2" xfId="8977"/>
    <cellStyle name="40% - Accent5 2 3 2 13 2 2" xfId="26024"/>
    <cellStyle name="40% - Accent5 2 3 2 13 2 2 2" xfId="54885"/>
    <cellStyle name="40% - Accent5 2 3 2 13 2 3" xfId="37838"/>
    <cellStyle name="40% - Accent5 2 3 2 13 3" xfId="17572"/>
    <cellStyle name="40% - Accent5 2 3 2 13 3 2" xfId="46433"/>
    <cellStyle name="40% - Accent5 2 3 2 13 4" xfId="31797"/>
    <cellStyle name="40% - Accent5 2 3 2 14" xfId="5822"/>
    <cellStyle name="40% - Accent5 2 3 2 14 2" xfId="11863"/>
    <cellStyle name="40% - Accent5 2 3 2 14 2 2" xfId="28910"/>
    <cellStyle name="40% - Accent5 2 3 2 14 2 2 2" xfId="57771"/>
    <cellStyle name="40% - Accent5 2 3 2 14 2 3" xfId="40724"/>
    <cellStyle name="40% - Accent5 2 3 2 14 3" xfId="22932"/>
    <cellStyle name="40% - Accent5 2 3 2 14 3 2" xfId="51793"/>
    <cellStyle name="40% - Accent5 2 3 2 14 4" xfId="34683"/>
    <cellStyle name="40% - Accent5 2 3 2 15" xfId="6039"/>
    <cellStyle name="40% - Accent5 2 3 2 15 2" xfId="23138"/>
    <cellStyle name="40% - Accent5 2 3 2 15 2 2" xfId="51999"/>
    <cellStyle name="40% - Accent5 2 3 2 15 3" xfId="34900"/>
    <cellStyle name="40% - Accent5 2 3 2 16" xfId="6400"/>
    <cellStyle name="40% - Accent5 2 3 2 16 2" xfId="23447"/>
    <cellStyle name="40% - Accent5 2 3 2 16 2 2" xfId="52308"/>
    <cellStyle name="40% - Accent5 2 3 2 16 3" xfId="35261"/>
    <cellStyle name="40% - Accent5 2 3 2 17" xfId="14686"/>
    <cellStyle name="40% - Accent5 2 3 2 17 2" xfId="43547"/>
    <cellStyle name="40% - Accent5 2 3 2 18" xfId="29220"/>
    <cellStyle name="40% - Accent5 2 3 2 2" xfId="564"/>
    <cellStyle name="40% - Accent5 2 3 2 2 2" xfId="2315"/>
    <cellStyle name="40% - Accent5 2 3 2 2 2 2" xfId="5202"/>
    <cellStyle name="40% - Accent5 2 3 2 2 2 2 2" xfId="11243"/>
    <cellStyle name="40% - Accent5 2 3 2 2 2 2 2 2" xfId="28290"/>
    <cellStyle name="40% - Accent5 2 3 2 2 2 2 2 2 2" xfId="57151"/>
    <cellStyle name="40% - Accent5 2 3 2 2 2 2 2 3" xfId="40104"/>
    <cellStyle name="40% - Accent5 2 3 2 2 2 2 3" xfId="22312"/>
    <cellStyle name="40% - Accent5 2 3 2 2 2 2 3 2" xfId="51173"/>
    <cellStyle name="40% - Accent5 2 3 2 2 2 2 4" xfId="34063"/>
    <cellStyle name="40% - Accent5 2 3 2 2 2 3" xfId="8357"/>
    <cellStyle name="40% - Accent5 2 3 2 2 2 3 2" xfId="25404"/>
    <cellStyle name="40% - Accent5 2 3 2 2 2 3 2 2" xfId="54265"/>
    <cellStyle name="40% - Accent5 2 3 2 2 2 3 3" xfId="37218"/>
    <cellStyle name="40% - Accent5 2 3 2 2 2 4" xfId="13546"/>
    <cellStyle name="40% - Accent5 2 3 2 2 2 4 2" xfId="19632"/>
    <cellStyle name="40% - Accent5 2 3 2 2 2 4 2 2" xfId="48493"/>
    <cellStyle name="40% - Accent5 2 3 2 2 2 4 3" xfId="42407"/>
    <cellStyle name="40% - Accent5 2 3 2 2 2 5" xfId="16952"/>
    <cellStyle name="40% - Accent5 2 3 2 2 2 5 2" xfId="45813"/>
    <cellStyle name="40% - Accent5 2 3 2 2 2 6" xfId="31177"/>
    <cellStyle name="40% - Accent5 2 3 2 2 3" xfId="3451"/>
    <cellStyle name="40% - Accent5 2 3 2 2 3 2" xfId="9492"/>
    <cellStyle name="40% - Accent5 2 3 2 2 3 2 2" xfId="26539"/>
    <cellStyle name="40% - Accent5 2 3 2 2 3 2 2 2" xfId="55400"/>
    <cellStyle name="40% - Accent5 2 3 2 2 3 2 3" xfId="38353"/>
    <cellStyle name="40% - Accent5 2 3 2 2 3 3" xfId="20561"/>
    <cellStyle name="40% - Accent5 2 3 2 2 3 3 2" xfId="49422"/>
    <cellStyle name="40% - Accent5 2 3 2 2 3 4" xfId="32312"/>
    <cellStyle name="40% - Accent5 2 3 2 2 4" xfId="6606"/>
    <cellStyle name="40% - Accent5 2 3 2 2 4 2" xfId="23653"/>
    <cellStyle name="40% - Accent5 2 3 2 2 4 2 2" xfId="52514"/>
    <cellStyle name="40% - Accent5 2 3 2 2 4 3" xfId="35467"/>
    <cellStyle name="40% - Accent5 2 3 2 2 5" xfId="12449"/>
    <cellStyle name="40% - Accent5 2 3 2 2 5 2" xfId="17881"/>
    <cellStyle name="40% - Accent5 2 3 2 2 5 2 2" xfId="46742"/>
    <cellStyle name="40% - Accent5 2 3 2 2 5 3" xfId="41310"/>
    <cellStyle name="40% - Accent5 2 3 2 2 6" xfId="15201"/>
    <cellStyle name="40% - Accent5 2 3 2 2 6 2" xfId="44062"/>
    <cellStyle name="40% - Accent5 2 3 2 2 7" xfId="29426"/>
    <cellStyle name="40% - Accent5 2 3 2 3" xfId="873"/>
    <cellStyle name="40% - Accent5 2 3 2 3 2" xfId="3760"/>
    <cellStyle name="40% - Accent5 2 3 2 3 2 2" xfId="9801"/>
    <cellStyle name="40% - Accent5 2 3 2 3 2 2 2" xfId="26848"/>
    <cellStyle name="40% - Accent5 2 3 2 3 2 2 2 2" xfId="55709"/>
    <cellStyle name="40% - Accent5 2 3 2 3 2 2 3" xfId="38662"/>
    <cellStyle name="40% - Accent5 2 3 2 3 2 3" xfId="20870"/>
    <cellStyle name="40% - Accent5 2 3 2 3 2 3 2" xfId="49731"/>
    <cellStyle name="40% - Accent5 2 3 2 3 2 4" xfId="32621"/>
    <cellStyle name="40% - Accent5 2 3 2 3 3" xfId="6915"/>
    <cellStyle name="40% - Accent5 2 3 2 3 3 2" xfId="23962"/>
    <cellStyle name="40% - Accent5 2 3 2 3 3 2 2" xfId="52823"/>
    <cellStyle name="40% - Accent5 2 3 2 3 3 3" xfId="35776"/>
    <cellStyle name="40% - Accent5 2 3 2 3 4" xfId="12121"/>
    <cellStyle name="40% - Accent5 2 3 2 3 4 2" xfId="18190"/>
    <cellStyle name="40% - Accent5 2 3 2 3 4 2 2" xfId="47051"/>
    <cellStyle name="40% - Accent5 2 3 2 3 4 3" xfId="40982"/>
    <cellStyle name="40% - Accent5 2 3 2 3 5" xfId="15510"/>
    <cellStyle name="40% - Accent5 2 3 2 3 5 2" xfId="44371"/>
    <cellStyle name="40% - Accent5 2 3 2 3 6" xfId="29735"/>
    <cellStyle name="40% - Accent5 2 3 2 4" xfId="1079"/>
    <cellStyle name="40% - Accent5 2 3 2 4 2" xfId="3966"/>
    <cellStyle name="40% - Accent5 2 3 2 4 2 2" xfId="10007"/>
    <cellStyle name="40% - Accent5 2 3 2 4 2 2 2" xfId="27054"/>
    <cellStyle name="40% - Accent5 2 3 2 4 2 2 2 2" xfId="55915"/>
    <cellStyle name="40% - Accent5 2 3 2 4 2 2 3" xfId="38868"/>
    <cellStyle name="40% - Accent5 2 3 2 4 2 3" xfId="21076"/>
    <cellStyle name="40% - Accent5 2 3 2 4 2 3 2" xfId="49937"/>
    <cellStyle name="40% - Accent5 2 3 2 4 2 4" xfId="32827"/>
    <cellStyle name="40% - Accent5 2 3 2 4 3" xfId="7121"/>
    <cellStyle name="40% - Accent5 2 3 2 4 3 2" xfId="24168"/>
    <cellStyle name="40% - Accent5 2 3 2 4 3 2 2" xfId="53029"/>
    <cellStyle name="40% - Accent5 2 3 2 4 3 3" xfId="35982"/>
    <cellStyle name="40% - Accent5 2 3 2 4 4" xfId="12943"/>
    <cellStyle name="40% - Accent5 2 3 2 4 4 2" xfId="18396"/>
    <cellStyle name="40% - Accent5 2 3 2 4 4 2 2" xfId="47257"/>
    <cellStyle name="40% - Accent5 2 3 2 4 4 3" xfId="41804"/>
    <cellStyle name="40% - Accent5 2 3 2 4 5" xfId="15716"/>
    <cellStyle name="40% - Accent5 2 3 2 4 5 2" xfId="44577"/>
    <cellStyle name="40% - Accent5 2 3 2 4 6" xfId="29941"/>
    <cellStyle name="40% - Accent5 2 3 2 5" xfId="1285"/>
    <cellStyle name="40% - Accent5 2 3 2 5 2" xfId="4172"/>
    <cellStyle name="40% - Accent5 2 3 2 5 2 2" xfId="10213"/>
    <cellStyle name="40% - Accent5 2 3 2 5 2 2 2" xfId="27260"/>
    <cellStyle name="40% - Accent5 2 3 2 5 2 2 2 2" xfId="56121"/>
    <cellStyle name="40% - Accent5 2 3 2 5 2 2 3" xfId="39074"/>
    <cellStyle name="40% - Accent5 2 3 2 5 2 3" xfId="21282"/>
    <cellStyle name="40% - Accent5 2 3 2 5 2 3 2" xfId="50143"/>
    <cellStyle name="40% - Accent5 2 3 2 5 2 4" xfId="33033"/>
    <cellStyle name="40% - Accent5 2 3 2 5 3" xfId="7327"/>
    <cellStyle name="40% - Accent5 2 3 2 5 3 2" xfId="24374"/>
    <cellStyle name="40% - Accent5 2 3 2 5 3 2 2" xfId="53235"/>
    <cellStyle name="40% - Accent5 2 3 2 5 3 3" xfId="36188"/>
    <cellStyle name="40% - Accent5 2 3 2 5 4" xfId="13372"/>
    <cellStyle name="40% - Accent5 2 3 2 5 4 2" xfId="18602"/>
    <cellStyle name="40% - Accent5 2 3 2 5 4 2 2" xfId="47463"/>
    <cellStyle name="40% - Accent5 2 3 2 5 4 3" xfId="42233"/>
    <cellStyle name="40% - Accent5 2 3 2 5 5" xfId="15922"/>
    <cellStyle name="40% - Accent5 2 3 2 5 5 2" xfId="44783"/>
    <cellStyle name="40% - Accent5 2 3 2 5 6" xfId="30147"/>
    <cellStyle name="40% - Accent5 2 3 2 6" xfId="1491"/>
    <cellStyle name="40% - Accent5 2 3 2 6 2" xfId="4378"/>
    <cellStyle name="40% - Accent5 2 3 2 6 2 2" xfId="10419"/>
    <cellStyle name="40% - Accent5 2 3 2 6 2 2 2" xfId="27466"/>
    <cellStyle name="40% - Accent5 2 3 2 6 2 2 2 2" xfId="56327"/>
    <cellStyle name="40% - Accent5 2 3 2 6 2 2 3" xfId="39280"/>
    <cellStyle name="40% - Accent5 2 3 2 6 2 3" xfId="21488"/>
    <cellStyle name="40% - Accent5 2 3 2 6 2 3 2" xfId="50349"/>
    <cellStyle name="40% - Accent5 2 3 2 6 2 4" xfId="33239"/>
    <cellStyle name="40% - Accent5 2 3 2 6 3" xfId="7533"/>
    <cellStyle name="40% - Accent5 2 3 2 6 3 2" xfId="24580"/>
    <cellStyle name="40% - Accent5 2 3 2 6 3 2 2" xfId="53441"/>
    <cellStyle name="40% - Accent5 2 3 2 6 3 3" xfId="36394"/>
    <cellStyle name="40% - Accent5 2 3 2 6 4" xfId="13850"/>
    <cellStyle name="40% - Accent5 2 3 2 6 4 2" xfId="18808"/>
    <cellStyle name="40% - Accent5 2 3 2 6 4 2 2" xfId="47669"/>
    <cellStyle name="40% - Accent5 2 3 2 6 4 3" xfId="42711"/>
    <cellStyle name="40% - Accent5 2 3 2 6 5" xfId="16128"/>
    <cellStyle name="40% - Accent5 2 3 2 6 5 2" xfId="44989"/>
    <cellStyle name="40% - Accent5 2 3 2 6 6" xfId="30353"/>
    <cellStyle name="40% - Accent5 2 3 2 7" xfId="1697"/>
    <cellStyle name="40% - Accent5 2 3 2 7 2" xfId="4584"/>
    <cellStyle name="40% - Accent5 2 3 2 7 2 2" xfId="10625"/>
    <cellStyle name="40% - Accent5 2 3 2 7 2 2 2" xfId="27672"/>
    <cellStyle name="40% - Accent5 2 3 2 7 2 2 2 2" xfId="56533"/>
    <cellStyle name="40% - Accent5 2 3 2 7 2 2 3" xfId="39486"/>
    <cellStyle name="40% - Accent5 2 3 2 7 2 3" xfId="21694"/>
    <cellStyle name="40% - Accent5 2 3 2 7 2 3 2" xfId="50555"/>
    <cellStyle name="40% - Accent5 2 3 2 7 2 4" xfId="33445"/>
    <cellStyle name="40% - Accent5 2 3 2 7 3" xfId="7739"/>
    <cellStyle name="40% - Accent5 2 3 2 7 3 2" xfId="24786"/>
    <cellStyle name="40% - Accent5 2 3 2 7 3 2 2" xfId="53647"/>
    <cellStyle name="40% - Accent5 2 3 2 7 3 3" xfId="36600"/>
    <cellStyle name="40% - Accent5 2 3 2 7 4" xfId="13528"/>
    <cellStyle name="40% - Accent5 2 3 2 7 4 2" xfId="19014"/>
    <cellStyle name="40% - Accent5 2 3 2 7 4 2 2" xfId="47875"/>
    <cellStyle name="40% - Accent5 2 3 2 7 4 3" xfId="42389"/>
    <cellStyle name="40% - Accent5 2 3 2 7 5" xfId="16334"/>
    <cellStyle name="40% - Accent5 2 3 2 7 5 2" xfId="45195"/>
    <cellStyle name="40% - Accent5 2 3 2 7 6" xfId="30559"/>
    <cellStyle name="40% - Accent5 2 3 2 8" xfId="1903"/>
    <cellStyle name="40% - Accent5 2 3 2 8 2" xfId="4790"/>
    <cellStyle name="40% - Accent5 2 3 2 8 2 2" xfId="10831"/>
    <cellStyle name="40% - Accent5 2 3 2 8 2 2 2" xfId="27878"/>
    <cellStyle name="40% - Accent5 2 3 2 8 2 2 2 2" xfId="56739"/>
    <cellStyle name="40% - Accent5 2 3 2 8 2 2 3" xfId="39692"/>
    <cellStyle name="40% - Accent5 2 3 2 8 2 3" xfId="21900"/>
    <cellStyle name="40% - Accent5 2 3 2 8 2 3 2" xfId="50761"/>
    <cellStyle name="40% - Accent5 2 3 2 8 2 4" xfId="33651"/>
    <cellStyle name="40% - Accent5 2 3 2 8 3" xfId="7945"/>
    <cellStyle name="40% - Accent5 2 3 2 8 3 2" xfId="24992"/>
    <cellStyle name="40% - Accent5 2 3 2 8 3 2 2" xfId="53853"/>
    <cellStyle name="40% - Accent5 2 3 2 8 3 3" xfId="36806"/>
    <cellStyle name="40% - Accent5 2 3 2 8 4" xfId="13012"/>
    <cellStyle name="40% - Accent5 2 3 2 8 4 2" xfId="19220"/>
    <cellStyle name="40% - Accent5 2 3 2 8 4 2 2" xfId="48081"/>
    <cellStyle name="40% - Accent5 2 3 2 8 4 3" xfId="41873"/>
    <cellStyle name="40% - Accent5 2 3 2 8 5" xfId="16540"/>
    <cellStyle name="40% - Accent5 2 3 2 8 5 2" xfId="45401"/>
    <cellStyle name="40% - Accent5 2 3 2 8 6" xfId="30765"/>
    <cellStyle name="40% - Accent5 2 3 2 9" xfId="2109"/>
    <cellStyle name="40% - Accent5 2 3 2 9 2" xfId="4996"/>
    <cellStyle name="40% - Accent5 2 3 2 9 2 2" xfId="11037"/>
    <cellStyle name="40% - Accent5 2 3 2 9 2 2 2" xfId="28084"/>
    <cellStyle name="40% - Accent5 2 3 2 9 2 2 2 2" xfId="56945"/>
    <cellStyle name="40% - Accent5 2 3 2 9 2 2 3" xfId="39898"/>
    <cellStyle name="40% - Accent5 2 3 2 9 2 3" xfId="22106"/>
    <cellStyle name="40% - Accent5 2 3 2 9 2 3 2" xfId="50967"/>
    <cellStyle name="40% - Accent5 2 3 2 9 2 4" xfId="33857"/>
    <cellStyle name="40% - Accent5 2 3 2 9 3" xfId="8151"/>
    <cellStyle name="40% - Accent5 2 3 2 9 3 2" xfId="25198"/>
    <cellStyle name="40% - Accent5 2 3 2 9 3 2 2" xfId="54059"/>
    <cellStyle name="40% - Accent5 2 3 2 9 3 3" xfId="37012"/>
    <cellStyle name="40% - Accent5 2 3 2 9 4" xfId="12456"/>
    <cellStyle name="40% - Accent5 2 3 2 9 4 2" xfId="19426"/>
    <cellStyle name="40% - Accent5 2 3 2 9 4 2 2" xfId="48287"/>
    <cellStyle name="40% - Accent5 2 3 2 9 4 3" xfId="41317"/>
    <cellStyle name="40% - Accent5 2 3 2 9 5" xfId="16746"/>
    <cellStyle name="40% - Accent5 2 3 2 9 5 2" xfId="45607"/>
    <cellStyle name="40% - Accent5 2 3 2 9 6" xfId="30971"/>
    <cellStyle name="40% - Accent5 2 3 20" xfId="29014"/>
    <cellStyle name="40% - Accent5 2 3 3" xfId="255"/>
    <cellStyle name="40% - Accent5 2 3 3 2" xfId="667"/>
    <cellStyle name="40% - Accent5 2 3 3 2 2" xfId="3554"/>
    <cellStyle name="40% - Accent5 2 3 3 2 2 2" xfId="9595"/>
    <cellStyle name="40% - Accent5 2 3 3 2 2 2 2" xfId="26642"/>
    <cellStyle name="40% - Accent5 2 3 3 2 2 2 2 2" xfId="55503"/>
    <cellStyle name="40% - Accent5 2 3 3 2 2 2 3" xfId="38456"/>
    <cellStyle name="40% - Accent5 2 3 3 2 2 3" xfId="20664"/>
    <cellStyle name="40% - Accent5 2 3 3 2 2 3 2" xfId="49525"/>
    <cellStyle name="40% - Accent5 2 3 3 2 2 4" xfId="32415"/>
    <cellStyle name="40% - Accent5 2 3 3 2 3" xfId="6709"/>
    <cellStyle name="40% - Accent5 2 3 3 2 3 2" xfId="23756"/>
    <cellStyle name="40% - Accent5 2 3 3 2 3 2 2" xfId="52617"/>
    <cellStyle name="40% - Accent5 2 3 3 2 3 3" xfId="35570"/>
    <cellStyle name="40% - Accent5 2 3 3 2 4" xfId="11963"/>
    <cellStyle name="40% - Accent5 2 3 3 2 4 2" xfId="17984"/>
    <cellStyle name="40% - Accent5 2 3 3 2 4 2 2" xfId="46845"/>
    <cellStyle name="40% - Accent5 2 3 3 2 4 3" xfId="40824"/>
    <cellStyle name="40% - Accent5 2 3 3 2 5" xfId="15304"/>
    <cellStyle name="40% - Accent5 2 3 3 2 5 2" xfId="44165"/>
    <cellStyle name="40% - Accent5 2 3 3 2 6" xfId="29529"/>
    <cellStyle name="40% - Accent5 2 3 3 3" xfId="2212"/>
    <cellStyle name="40% - Accent5 2 3 3 3 2" xfId="5099"/>
    <cellStyle name="40% - Accent5 2 3 3 3 2 2" xfId="11140"/>
    <cellStyle name="40% - Accent5 2 3 3 3 2 2 2" xfId="28187"/>
    <cellStyle name="40% - Accent5 2 3 3 3 2 2 2 2" xfId="57048"/>
    <cellStyle name="40% - Accent5 2 3 3 3 2 2 3" xfId="40001"/>
    <cellStyle name="40% - Accent5 2 3 3 3 2 3" xfId="22209"/>
    <cellStyle name="40% - Accent5 2 3 3 3 2 3 2" xfId="51070"/>
    <cellStyle name="40% - Accent5 2 3 3 3 2 4" xfId="33960"/>
    <cellStyle name="40% - Accent5 2 3 3 3 3" xfId="8254"/>
    <cellStyle name="40% - Accent5 2 3 3 3 3 2" xfId="25301"/>
    <cellStyle name="40% - Accent5 2 3 3 3 3 2 2" xfId="54162"/>
    <cellStyle name="40% - Accent5 2 3 3 3 3 3" xfId="37115"/>
    <cellStyle name="40% - Accent5 2 3 3 3 4" xfId="13077"/>
    <cellStyle name="40% - Accent5 2 3 3 3 4 2" xfId="19529"/>
    <cellStyle name="40% - Accent5 2 3 3 3 4 2 2" xfId="48390"/>
    <cellStyle name="40% - Accent5 2 3 3 3 4 3" xfId="41938"/>
    <cellStyle name="40% - Accent5 2 3 3 3 5" xfId="16849"/>
    <cellStyle name="40% - Accent5 2 3 3 3 5 2" xfId="45710"/>
    <cellStyle name="40% - Accent5 2 3 3 3 6" xfId="31074"/>
    <cellStyle name="40% - Accent5 2 3 3 4" xfId="3142"/>
    <cellStyle name="40% - Accent5 2 3 3 4 2" xfId="9183"/>
    <cellStyle name="40% - Accent5 2 3 3 4 2 2" xfId="26230"/>
    <cellStyle name="40% - Accent5 2 3 3 4 2 2 2" xfId="55091"/>
    <cellStyle name="40% - Accent5 2 3 3 4 2 3" xfId="38044"/>
    <cellStyle name="40% - Accent5 2 3 3 4 3" xfId="20252"/>
    <cellStyle name="40% - Accent5 2 3 3 4 3 2" xfId="49113"/>
    <cellStyle name="40% - Accent5 2 3 3 4 4" xfId="32003"/>
    <cellStyle name="40% - Accent5 2 3 3 5" xfId="6297"/>
    <cellStyle name="40% - Accent5 2 3 3 5 2" xfId="23344"/>
    <cellStyle name="40% - Accent5 2 3 3 5 2 2" xfId="52205"/>
    <cellStyle name="40% - Accent5 2 3 3 5 3" xfId="35158"/>
    <cellStyle name="40% - Accent5 2 3 3 6" xfId="12345"/>
    <cellStyle name="40% - Accent5 2 3 3 6 2" xfId="17675"/>
    <cellStyle name="40% - Accent5 2 3 3 6 2 2" xfId="46536"/>
    <cellStyle name="40% - Accent5 2 3 3 6 3" xfId="41206"/>
    <cellStyle name="40% - Accent5 2 3 3 7" xfId="14892"/>
    <cellStyle name="40% - Accent5 2 3 3 7 2" xfId="43753"/>
    <cellStyle name="40% - Accent5 2 3 3 8" xfId="29117"/>
    <cellStyle name="40% - Accent5 2 3 4" xfId="461"/>
    <cellStyle name="40% - Accent5 2 3 4 2" xfId="3348"/>
    <cellStyle name="40% - Accent5 2 3 4 2 2" xfId="9389"/>
    <cellStyle name="40% - Accent5 2 3 4 2 2 2" xfId="26436"/>
    <cellStyle name="40% - Accent5 2 3 4 2 2 2 2" xfId="55297"/>
    <cellStyle name="40% - Accent5 2 3 4 2 2 3" xfId="38250"/>
    <cellStyle name="40% - Accent5 2 3 4 2 3" xfId="20458"/>
    <cellStyle name="40% - Accent5 2 3 4 2 3 2" xfId="49319"/>
    <cellStyle name="40% - Accent5 2 3 4 2 4" xfId="32209"/>
    <cellStyle name="40% - Accent5 2 3 4 3" xfId="6503"/>
    <cellStyle name="40% - Accent5 2 3 4 3 2" xfId="23550"/>
    <cellStyle name="40% - Accent5 2 3 4 3 2 2" xfId="52411"/>
    <cellStyle name="40% - Accent5 2 3 4 3 3" xfId="35364"/>
    <cellStyle name="40% - Accent5 2 3 4 4" xfId="13880"/>
    <cellStyle name="40% - Accent5 2 3 4 4 2" xfId="17778"/>
    <cellStyle name="40% - Accent5 2 3 4 4 2 2" xfId="46639"/>
    <cellStyle name="40% - Accent5 2 3 4 4 3" xfId="42741"/>
    <cellStyle name="40% - Accent5 2 3 4 5" xfId="15098"/>
    <cellStyle name="40% - Accent5 2 3 4 5 2" xfId="43959"/>
    <cellStyle name="40% - Accent5 2 3 4 6" xfId="29323"/>
    <cellStyle name="40% - Accent5 2 3 5" xfId="770"/>
    <cellStyle name="40% - Accent5 2 3 5 2" xfId="3657"/>
    <cellStyle name="40% - Accent5 2 3 5 2 2" xfId="9698"/>
    <cellStyle name="40% - Accent5 2 3 5 2 2 2" xfId="26745"/>
    <cellStyle name="40% - Accent5 2 3 5 2 2 2 2" xfId="55606"/>
    <cellStyle name="40% - Accent5 2 3 5 2 2 3" xfId="38559"/>
    <cellStyle name="40% - Accent5 2 3 5 2 3" xfId="20767"/>
    <cellStyle name="40% - Accent5 2 3 5 2 3 2" xfId="49628"/>
    <cellStyle name="40% - Accent5 2 3 5 2 4" xfId="32518"/>
    <cellStyle name="40% - Accent5 2 3 5 3" xfId="6812"/>
    <cellStyle name="40% - Accent5 2 3 5 3 2" xfId="23859"/>
    <cellStyle name="40% - Accent5 2 3 5 3 2 2" xfId="52720"/>
    <cellStyle name="40% - Accent5 2 3 5 3 3" xfId="35673"/>
    <cellStyle name="40% - Accent5 2 3 5 4" xfId="13851"/>
    <cellStyle name="40% - Accent5 2 3 5 4 2" xfId="18087"/>
    <cellStyle name="40% - Accent5 2 3 5 4 2 2" xfId="46948"/>
    <cellStyle name="40% - Accent5 2 3 5 4 3" xfId="42712"/>
    <cellStyle name="40% - Accent5 2 3 5 5" xfId="15407"/>
    <cellStyle name="40% - Accent5 2 3 5 5 2" xfId="44268"/>
    <cellStyle name="40% - Accent5 2 3 5 6" xfId="29632"/>
    <cellStyle name="40% - Accent5 2 3 6" xfId="976"/>
    <cellStyle name="40% - Accent5 2 3 6 2" xfId="3863"/>
    <cellStyle name="40% - Accent5 2 3 6 2 2" xfId="9904"/>
    <cellStyle name="40% - Accent5 2 3 6 2 2 2" xfId="26951"/>
    <cellStyle name="40% - Accent5 2 3 6 2 2 2 2" xfId="55812"/>
    <cellStyle name="40% - Accent5 2 3 6 2 2 3" xfId="38765"/>
    <cellStyle name="40% - Accent5 2 3 6 2 3" xfId="20973"/>
    <cellStyle name="40% - Accent5 2 3 6 2 3 2" xfId="49834"/>
    <cellStyle name="40% - Accent5 2 3 6 2 4" xfId="32724"/>
    <cellStyle name="40% - Accent5 2 3 6 3" xfId="7018"/>
    <cellStyle name="40% - Accent5 2 3 6 3 2" xfId="24065"/>
    <cellStyle name="40% - Accent5 2 3 6 3 2 2" xfId="52926"/>
    <cellStyle name="40% - Accent5 2 3 6 3 3" xfId="35879"/>
    <cellStyle name="40% - Accent5 2 3 6 4" xfId="14270"/>
    <cellStyle name="40% - Accent5 2 3 6 4 2" xfId="18293"/>
    <cellStyle name="40% - Accent5 2 3 6 4 2 2" xfId="47154"/>
    <cellStyle name="40% - Accent5 2 3 6 4 3" xfId="43131"/>
    <cellStyle name="40% - Accent5 2 3 6 5" xfId="15613"/>
    <cellStyle name="40% - Accent5 2 3 6 5 2" xfId="44474"/>
    <cellStyle name="40% - Accent5 2 3 6 6" xfId="29838"/>
    <cellStyle name="40% - Accent5 2 3 7" xfId="1182"/>
    <cellStyle name="40% - Accent5 2 3 7 2" xfId="4069"/>
    <cellStyle name="40% - Accent5 2 3 7 2 2" xfId="10110"/>
    <cellStyle name="40% - Accent5 2 3 7 2 2 2" xfId="27157"/>
    <cellStyle name="40% - Accent5 2 3 7 2 2 2 2" xfId="56018"/>
    <cellStyle name="40% - Accent5 2 3 7 2 2 3" xfId="38971"/>
    <cellStyle name="40% - Accent5 2 3 7 2 3" xfId="21179"/>
    <cellStyle name="40% - Accent5 2 3 7 2 3 2" xfId="50040"/>
    <cellStyle name="40% - Accent5 2 3 7 2 4" xfId="32930"/>
    <cellStyle name="40% - Accent5 2 3 7 3" xfId="7224"/>
    <cellStyle name="40% - Accent5 2 3 7 3 2" xfId="24271"/>
    <cellStyle name="40% - Accent5 2 3 7 3 2 2" xfId="53132"/>
    <cellStyle name="40% - Accent5 2 3 7 3 3" xfId="36085"/>
    <cellStyle name="40% - Accent5 2 3 7 4" xfId="12990"/>
    <cellStyle name="40% - Accent5 2 3 7 4 2" xfId="18499"/>
    <cellStyle name="40% - Accent5 2 3 7 4 2 2" xfId="47360"/>
    <cellStyle name="40% - Accent5 2 3 7 4 3" xfId="41851"/>
    <cellStyle name="40% - Accent5 2 3 7 5" xfId="15819"/>
    <cellStyle name="40% - Accent5 2 3 7 5 2" xfId="44680"/>
    <cellStyle name="40% - Accent5 2 3 7 6" xfId="30044"/>
    <cellStyle name="40% - Accent5 2 3 8" xfId="1388"/>
    <cellStyle name="40% - Accent5 2 3 8 2" xfId="4275"/>
    <cellStyle name="40% - Accent5 2 3 8 2 2" xfId="10316"/>
    <cellStyle name="40% - Accent5 2 3 8 2 2 2" xfId="27363"/>
    <cellStyle name="40% - Accent5 2 3 8 2 2 2 2" xfId="56224"/>
    <cellStyle name="40% - Accent5 2 3 8 2 2 3" xfId="39177"/>
    <cellStyle name="40% - Accent5 2 3 8 2 3" xfId="21385"/>
    <cellStyle name="40% - Accent5 2 3 8 2 3 2" xfId="50246"/>
    <cellStyle name="40% - Accent5 2 3 8 2 4" xfId="33136"/>
    <cellStyle name="40% - Accent5 2 3 8 3" xfId="7430"/>
    <cellStyle name="40% - Accent5 2 3 8 3 2" xfId="24477"/>
    <cellStyle name="40% - Accent5 2 3 8 3 2 2" xfId="53338"/>
    <cellStyle name="40% - Accent5 2 3 8 3 3" xfId="36291"/>
    <cellStyle name="40% - Accent5 2 3 8 4" xfId="12272"/>
    <cellStyle name="40% - Accent5 2 3 8 4 2" xfId="18705"/>
    <cellStyle name="40% - Accent5 2 3 8 4 2 2" xfId="47566"/>
    <cellStyle name="40% - Accent5 2 3 8 4 3" xfId="41133"/>
    <cellStyle name="40% - Accent5 2 3 8 5" xfId="16025"/>
    <cellStyle name="40% - Accent5 2 3 8 5 2" xfId="44886"/>
    <cellStyle name="40% - Accent5 2 3 8 6" xfId="30250"/>
    <cellStyle name="40% - Accent5 2 3 9" xfId="1594"/>
    <cellStyle name="40% - Accent5 2 3 9 2" xfId="4481"/>
    <cellStyle name="40% - Accent5 2 3 9 2 2" xfId="10522"/>
    <cellStyle name="40% - Accent5 2 3 9 2 2 2" xfId="27569"/>
    <cellStyle name="40% - Accent5 2 3 9 2 2 2 2" xfId="56430"/>
    <cellStyle name="40% - Accent5 2 3 9 2 2 3" xfId="39383"/>
    <cellStyle name="40% - Accent5 2 3 9 2 3" xfId="21591"/>
    <cellStyle name="40% - Accent5 2 3 9 2 3 2" xfId="50452"/>
    <cellStyle name="40% - Accent5 2 3 9 2 4" xfId="33342"/>
    <cellStyle name="40% - Accent5 2 3 9 3" xfId="7636"/>
    <cellStyle name="40% - Accent5 2 3 9 3 2" xfId="24683"/>
    <cellStyle name="40% - Accent5 2 3 9 3 2 2" xfId="53544"/>
    <cellStyle name="40% - Accent5 2 3 9 3 3" xfId="36497"/>
    <cellStyle name="40% - Accent5 2 3 9 4" xfId="12668"/>
    <cellStyle name="40% - Accent5 2 3 9 4 2" xfId="18911"/>
    <cellStyle name="40% - Accent5 2 3 9 4 2 2" xfId="47772"/>
    <cellStyle name="40% - Accent5 2 3 9 4 3" xfId="41529"/>
    <cellStyle name="40% - Accent5 2 3 9 5" xfId="16231"/>
    <cellStyle name="40% - Accent5 2 3 9 5 2" xfId="45092"/>
    <cellStyle name="40% - Accent5 2 3 9 6" xfId="30456"/>
    <cellStyle name="40% - Accent5 2 4" xfId="306"/>
    <cellStyle name="40% - Accent5 2 4 10" xfId="2469"/>
    <cellStyle name="40% - Accent5 2 4 10 2" xfId="5356"/>
    <cellStyle name="40% - Accent5 2 4 10 2 2" xfId="11397"/>
    <cellStyle name="40% - Accent5 2 4 10 2 2 2" xfId="28444"/>
    <cellStyle name="40% - Accent5 2 4 10 2 2 2 2" xfId="57305"/>
    <cellStyle name="40% - Accent5 2 4 10 2 2 3" xfId="40258"/>
    <cellStyle name="40% - Accent5 2 4 10 2 3" xfId="22466"/>
    <cellStyle name="40% - Accent5 2 4 10 2 3 2" xfId="51327"/>
    <cellStyle name="40% - Accent5 2 4 10 2 4" xfId="34217"/>
    <cellStyle name="40% - Accent5 2 4 10 3" xfId="8511"/>
    <cellStyle name="40% - Accent5 2 4 10 3 2" xfId="25558"/>
    <cellStyle name="40% - Accent5 2 4 10 3 2 2" xfId="54419"/>
    <cellStyle name="40% - Accent5 2 4 10 3 3" xfId="37372"/>
    <cellStyle name="40% - Accent5 2 4 10 4" xfId="12220"/>
    <cellStyle name="40% - Accent5 2 4 10 4 2" xfId="19786"/>
    <cellStyle name="40% - Accent5 2 4 10 4 2 2" xfId="48647"/>
    <cellStyle name="40% - Accent5 2 4 10 4 3" xfId="41081"/>
    <cellStyle name="40% - Accent5 2 4 10 5" xfId="17106"/>
    <cellStyle name="40% - Accent5 2 4 10 5 2" xfId="45967"/>
    <cellStyle name="40% - Accent5 2 4 10 6" xfId="31331"/>
    <cellStyle name="40% - Accent5 2 4 11" xfId="2678"/>
    <cellStyle name="40% - Accent5 2 4 11 2" xfId="5564"/>
    <cellStyle name="40% - Accent5 2 4 11 2 2" xfId="11605"/>
    <cellStyle name="40% - Accent5 2 4 11 2 2 2" xfId="28652"/>
    <cellStyle name="40% - Accent5 2 4 11 2 2 2 2" xfId="57513"/>
    <cellStyle name="40% - Accent5 2 4 11 2 2 3" xfId="40466"/>
    <cellStyle name="40% - Accent5 2 4 11 2 3" xfId="22674"/>
    <cellStyle name="40% - Accent5 2 4 11 2 3 2" xfId="51535"/>
    <cellStyle name="40% - Accent5 2 4 11 2 4" xfId="34425"/>
    <cellStyle name="40% - Accent5 2 4 11 3" xfId="8719"/>
    <cellStyle name="40% - Accent5 2 4 11 3 2" xfId="25766"/>
    <cellStyle name="40% - Accent5 2 4 11 3 2 2" xfId="54627"/>
    <cellStyle name="40% - Accent5 2 4 11 3 3" xfId="37580"/>
    <cellStyle name="40% - Accent5 2 4 11 4" xfId="13336"/>
    <cellStyle name="40% - Accent5 2 4 11 4 2" xfId="19994"/>
    <cellStyle name="40% - Accent5 2 4 11 4 2 2" xfId="48855"/>
    <cellStyle name="40% - Accent5 2 4 11 4 3" xfId="42197"/>
    <cellStyle name="40% - Accent5 2 4 11 5" xfId="17314"/>
    <cellStyle name="40% - Accent5 2 4 11 5 2" xfId="46175"/>
    <cellStyle name="40% - Accent5 2 4 11 6" xfId="31539"/>
    <cellStyle name="40% - Accent5 2 4 12" xfId="3193"/>
    <cellStyle name="40% - Accent5 2 4 12 2" xfId="9234"/>
    <cellStyle name="40% - Accent5 2 4 12 2 2" xfId="26281"/>
    <cellStyle name="40% - Accent5 2 4 12 2 2 2" xfId="55142"/>
    <cellStyle name="40% - Accent5 2 4 12 2 3" xfId="38095"/>
    <cellStyle name="40% - Accent5 2 4 12 3" xfId="13205"/>
    <cellStyle name="40% - Accent5 2 4 12 3 2" xfId="20303"/>
    <cellStyle name="40% - Accent5 2 4 12 3 2 2" xfId="49164"/>
    <cellStyle name="40% - Accent5 2 4 12 3 3" xfId="42066"/>
    <cellStyle name="40% - Accent5 2 4 12 4" xfId="14943"/>
    <cellStyle name="40% - Accent5 2 4 12 4 2" xfId="43804"/>
    <cellStyle name="40% - Accent5 2 4 12 5" xfId="32054"/>
    <cellStyle name="40% - Accent5 2 4 13" xfId="2884"/>
    <cellStyle name="40% - Accent5 2 4 13 2" xfId="8925"/>
    <cellStyle name="40% - Accent5 2 4 13 2 2" xfId="25972"/>
    <cellStyle name="40% - Accent5 2 4 13 2 2 2" xfId="54833"/>
    <cellStyle name="40% - Accent5 2 4 13 2 3" xfId="37786"/>
    <cellStyle name="40% - Accent5 2 4 13 3" xfId="17520"/>
    <cellStyle name="40% - Accent5 2 4 13 3 2" xfId="46381"/>
    <cellStyle name="40% - Accent5 2 4 13 4" xfId="31745"/>
    <cellStyle name="40% - Accent5 2 4 14" xfId="5770"/>
    <cellStyle name="40% - Accent5 2 4 14 2" xfId="11811"/>
    <cellStyle name="40% - Accent5 2 4 14 2 2" xfId="28858"/>
    <cellStyle name="40% - Accent5 2 4 14 2 2 2" xfId="57719"/>
    <cellStyle name="40% - Accent5 2 4 14 2 3" xfId="40672"/>
    <cellStyle name="40% - Accent5 2 4 14 3" xfId="22880"/>
    <cellStyle name="40% - Accent5 2 4 14 3 2" xfId="51741"/>
    <cellStyle name="40% - Accent5 2 4 14 4" xfId="34631"/>
    <cellStyle name="40% - Accent5 2 4 15" xfId="5987"/>
    <cellStyle name="40% - Accent5 2 4 15 2" xfId="23086"/>
    <cellStyle name="40% - Accent5 2 4 15 2 2" xfId="51947"/>
    <cellStyle name="40% - Accent5 2 4 15 3" xfId="34848"/>
    <cellStyle name="40% - Accent5 2 4 16" xfId="6348"/>
    <cellStyle name="40% - Accent5 2 4 16 2" xfId="23395"/>
    <cellStyle name="40% - Accent5 2 4 16 2 2" xfId="52256"/>
    <cellStyle name="40% - Accent5 2 4 16 3" xfId="35209"/>
    <cellStyle name="40% - Accent5 2 4 17" xfId="14634"/>
    <cellStyle name="40% - Accent5 2 4 17 2" xfId="43495"/>
    <cellStyle name="40% - Accent5 2 4 18" xfId="29168"/>
    <cellStyle name="40% - Accent5 2 4 2" xfId="512"/>
    <cellStyle name="40% - Accent5 2 4 2 2" xfId="2263"/>
    <cellStyle name="40% - Accent5 2 4 2 2 2" xfId="5150"/>
    <cellStyle name="40% - Accent5 2 4 2 2 2 2" xfId="11191"/>
    <cellStyle name="40% - Accent5 2 4 2 2 2 2 2" xfId="28238"/>
    <cellStyle name="40% - Accent5 2 4 2 2 2 2 2 2" xfId="57099"/>
    <cellStyle name="40% - Accent5 2 4 2 2 2 2 3" xfId="40052"/>
    <cellStyle name="40% - Accent5 2 4 2 2 2 3" xfId="22260"/>
    <cellStyle name="40% - Accent5 2 4 2 2 2 3 2" xfId="51121"/>
    <cellStyle name="40% - Accent5 2 4 2 2 2 4" xfId="34011"/>
    <cellStyle name="40% - Accent5 2 4 2 2 3" xfId="8305"/>
    <cellStyle name="40% - Accent5 2 4 2 2 3 2" xfId="25352"/>
    <cellStyle name="40% - Accent5 2 4 2 2 3 2 2" xfId="54213"/>
    <cellStyle name="40% - Accent5 2 4 2 2 3 3" xfId="37166"/>
    <cellStyle name="40% - Accent5 2 4 2 2 4" xfId="13994"/>
    <cellStyle name="40% - Accent5 2 4 2 2 4 2" xfId="19580"/>
    <cellStyle name="40% - Accent5 2 4 2 2 4 2 2" xfId="48441"/>
    <cellStyle name="40% - Accent5 2 4 2 2 4 3" xfId="42855"/>
    <cellStyle name="40% - Accent5 2 4 2 2 5" xfId="16900"/>
    <cellStyle name="40% - Accent5 2 4 2 2 5 2" xfId="45761"/>
    <cellStyle name="40% - Accent5 2 4 2 2 6" xfId="31125"/>
    <cellStyle name="40% - Accent5 2 4 2 3" xfId="3399"/>
    <cellStyle name="40% - Accent5 2 4 2 3 2" xfId="9440"/>
    <cellStyle name="40% - Accent5 2 4 2 3 2 2" xfId="26487"/>
    <cellStyle name="40% - Accent5 2 4 2 3 2 2 2" xfId="55348"/>
    <cellStyle name="40% - Accent5 2 4 2 3 2 3" xfId="38301"/>
    <cellStyle name="40% - Accent5 2 4 2 3 3" xfId="20509"/>
    <cellStyle name="40% - Accent5 2 4 2 3 3 2" xfId="49370"/>
    <cellStyle name="40% - Accent5 2 4 2 3 4" xfId="32260"/>
    <cellStyle name="40% - Accent5 2 4 2 4" xfId="6554"/>
    <cellStyle name="40% - Accent5 2 4 2 4 2" xfId="23601"/>
    <cellStyle name="40% - Accent5 2 4 2 4 2 2" xfId="52462"/>
    <cellStyle name="40% - Accent5 2 4 2 4 3" xfId="35415"/>
    <cellStyle name="40% - Accent5 2 4 2 5" xfId="12678"/>
    <cellStyle name="40% - Accent5 2 4 2 5 2" xfId="17829"/>
    <cellStyle name="40% - Accent5 2 4 2 5 2 2" xfId="46690"/>
    <cellStyle name="40% - Accent5 2 4 2 5 3" xfId="41539"/>
    <cellStyle name="40% - Accent5 2 4 2 6" xfId="15149"/>
    <cellStyle name="40% - Accent5 2 4 2 6 2" xfId="44010"/>
    <cellStyle name="40% - Accent5 2 4 2 7" xfId="29374"/>
    <cellStyle name="40% - Accent5 2 4 3" xfId="821"/>
    <cellStyle name="40% - Accent5 2 4 3 2" xfId="3708"/>
    <cellStyle name="40% - Accent5 2 4 3 2 2" xfId="9749"/>
    <cellStyle name="40% - Accent5 2 4 3 2 2 2" xfId="26796"/>
    <cellStyle name="40% - Accent5 2 4 3 2 2 2 2" xfId="55657"/>
    <cellStyle name="40% - Accent5 2 4 3 2 2 3" xfId="38610"/>
    <cellStyle name="40% - Accent5 2 4 3 2 3" xfId="20818"/>
    <cellStyle name="40% - Accent5 2 4 3 2 3 2" xfId="49679"/>
    <cellStyle name="40% - Accent5 2 4 3 2 4" xfId="32569"/>
    <cellStyle name="40% - Accent5 2 4 3 3" xfId="6863"/>
    <cellStyle name="40% - Accent5 2 4 3 3 2" xfId="23910"/>
    <cellStyle name="40% - Accent5 2 4 3 3 2 2" xfId="52771"/>
    <cellStyle name="40% - Accent5 2 4 3 3 3" xfId="35724"/>
    <cellStyle name="40% - Accent5 2 4 3 4" xfId="12693"/>
    <cellStyle name="40% - Accent5 2 4 3 4 2" xfId="18138"/>
    <cellStyle name="40% - Accent5 2 4 3 4 2 2" xfId="46999"/>
    <cellStyle name="40% - Accent5 2 4 3 4 3" xfId="41554"/>
    <cellStyle name="40% - Accent5 2 4 3 5" xfId="15458"/>
    <cellStyle name="40% - Accent5 2 4 3 5 2" xfId="44319"/>
    <cellStyle name="40% - Accent5 2 4 3 6" xfId="29683"/>
    <cellStyle name="40% - Accent5 2 4 4" xfId="1027"/>
    <cellStyle name="40% - Accent5 2 4 4 2" xfId="3914"/>
    <cellStyle name="40% - Accent5 2 4 4 2 2" xfId="9955"/>
    <cellStyle name="40% - Accent5 2 4 4 2 2 2" xfId="27002"/>
    <cellStyle name="40% - Accent5 2 4 4 2 2 2 2" xfId="55863"/>
    <cellStyle name="40% - Accent5 2 4 4 2 2 3" xfId="38816"/>
    <cellStyle name="40% - Accent5 2 4 4 2 3" xfId="21024"/>
    <cellStyle name="40% - Accent5 2 4 4 2 3 2" xfId="49885"/>
    <cellStyle name="40% - Accent5 2 4 4 2 4" xfId="32775"/>
    <cellStyle name="40% - Accent5 2 4 4 3" xfId="7069"/>
    <cellStyle name="40% - Accent5 2 4 4 3 2" xfId="24116"/>
    <cellStyle name="40% - Accent5 2 4 4 3 2 2" xfId="52977"/>
    <cellStyle name="40% - Accent5 2 4 4 3 3" xfId="35930"/>
    <cellStyle name="40% - Accent5 2 4 4 4" xfId="12402"/>
    <cellStyle name="40% - Accent5 2 4 4 4 2" xfId="18344"/>
    <cellStyle name="40% - Accent5 2 4 4 4 2 2" xfId="47205"/>
    <cellStyle name="40% - Accent5 2 4 4 4 3" xfId="41263"/>
    <cellStyle name="40% - Accent5 2 4 4 5" xfId="15664"/>
    <cellStyle name="40% - Accent5 2 4 4 5 2" xfId="44525"/>
    <cellStyle name="40% - Accent5 2 4 4 6" xfId="29889"/>
    <cellStyle name="40% - Accent5 2 4 5" xfId="1233"/>
    <cellStyle name="40% - Accent5 2 4 5 2" xfId="4120"/>
    <cellStyle name="40% - Accent5 2 4 5 2 2" xfId="10161"/>
    <cellStyle name="40% - Accent5 2 4 5 2 2 2" xfId="27208"/>
    <cellStyle name="40% - Accent5 2 4 5 2 2 2 2" xfId="56069"/>
    <cellStyle name="40% - Accent5 2 4 5 2 2 3" xfId="39022"/>
    <cellStyle name="40% - Accent5 2 4 5 2 3" xfId="21230"/>
    <cellStyle name="40% - Accent5 2 4 5 2 3 2" xfId="50091"/>
    <cellStyle name="40% - Accent5 2 4 5 2 4" xfId="32981"/>
    <cellStyle name="40% - Accent5 2 4 5 3" xfId="7275"/>
    <cellStyle name="40% - Accent5 2 4 5 3 2" xfId="24322"/>
    <cellStyle name="40% - Accent5 2 4 5 3 2 2" xfId="53183"/>
    <cellStyle name="40% - Accent5 2 4 5 3 3" xfId="36136"/>
    <cellStyle name="40% - Accent5 2 4 5 4" xfId="13459"/>
    <cellStyle name="40% - Accent5 2 4 5 4 2" xfId="18550"/>
    <cellStyle name="40% - Accent5 2 4 5 4 2 2" xfId="47411"/>
    <cellStyle name="40% - Accent5 2 4 5 4 3" xfId="42320"/>
    <cellStyle name="40% - Accent5 2 4 5 5" xfId="15870"/>
    <cellStyle name="40% - Accent5 2 4 5 5 2" xfId="44731"/>
    <cellStyle name="40% - Accent5 2 4 5 6" xfId="30095"/>
    <cellStyle name="40% - Accent5 2 4 6" xfId="1439"/>
    <cellStyle name="40% - Accent5 2 4 6 2" xfId="4326"/>
    <cellStyle name="40% - Accent5 2 4 6 2 2" xfId="10367"/>
    <cellStyle name="40% - Accent5 2 4 6 2 2 2" xfId="27414"/>
    <cellStyle name="40% - Accent5 2 4 6 2 2 2 2" xfId="56275"/>
    <cellStyle name="40% - Accent5 2 4 6 2 2 3" xfId="39228"/>
    <cellStyle name="40% - Accent5 2 4 6 2 3" xfId="21436"/>
    <cellStyle name="40% - Accent5 2 4 6 2 3 2" xfId="50297"/>
    <cellStyle name="40% - Accent5 2 4 6 2 4" xfId="33187"/>
    <cellStyle name="40% - Accent5 2 4 6 3" xfId="7481"/>
    <cellStyle name="40% - Accent5 2 4 6 3 2" xfId="24528"/>
    <cellStyle name="40% - Accent5 2 4 6 3 2 2" xfId="53389"/>
    <cellStyle name="40% - Accent5 2 4 6 3 3" xfId="36342"/>
    <cellStyle name="40% - Accent5 2 4 6 4" xfId="12465"/>
    <cellStyle name="40% - Accent5 2 4 6 4 2" xfId="18756"/>
    <cellStyle name="40% - Accent5 2 4 6 4 2 2" xfId="47617"/>
    <cellStyle name="40% - Accent5 2 4 6 4 3" xfId="41326"/>
    <cellStyle name="40% - Accent5 2 4 6 5" xfId="16076"/>
    <cellStyle name="40% - Accent5 2 4 6 5 2" xfId="44937"/>
    <cellStyle name="40% - Accent5 2 4 6 6" xfId="30301"/>
    <cellStyle name="40% - Accent5 2 4 7" xfId="1645"/>
    <cellStyle name="40% - Accent5 2 4 7 2" xfId="4532"/>
    <cellStyle name="40% - Accent5 2 4 7 2 2" xfId="10573"/>
    <cellStyle name="40% - Accent5 2 4 7 2 2 2" xfId="27620"/>
    <cellStyle name="40% - Accent5 2 4 7 2 2 2 2" xfId="56481"/>
    <cellStyle name="40% - Accent5 2 4 7 2 2 3" xfId="39434"/>
    <cellStyle name="40% - Accent5 2 4 7 2 3" xfId="21642"/>
    <cellStyle name="40% - Accent5 2 4 7 2 3 2" xfId="50503"/>
    <cellStyle name="40% - Accent5 2 4 7 2 4" xfId="33393"/>
    <cellStyle name="40% - Accent5 2 4 7 3" xfId="7687"/>
    <cellStyle name="40% - Accent5 2 4 7 3 2" xfId="24734"/>
    <cellStyle name="40% - Accent5 2 4 7 3 2 2" xfId="53595"/>
    <cellStyle name="40% - Accent5 2 4 7 3 3" xfId="36548"/>
    <cellStyle name="40% - Accent5 2 4 7 4" xfId="13014"/>
    <cellStyle name="40% - Accent5 2 4 7 4 2" xfId="18962"/>
    <cellStyle name="40% - Accent5 2 4 7 4 2 2" xfId="47823"/>
    <cellStyle name="40% - Accent5 2 4 7 4 3" xfId="41875"/>
    <cellStyle name="40% - Accent5 2 4 7 5" xfId="16282"/>
    <cellStyle name="40% - Accent5 2 4 7 5 2" xfId="45143"/>
    <cellStyle name="40% - Accent5 2 4 7 6" xfId="30507"/>
    <cellStyle name="40% - Accent5 2 4 8" xfId="1851"/>
    <cellStyle name="40% - Accent5 2 4 8 2" xfId="4738"/>
    <cellStyle name="40% - Accent5 2 4 8 2 2" xfId="10779"/>
    <cellStyle name="40% - Accent5 2 4 8 2 2 2" xfId="27826"/>
    <cellStyle name="40% - Accent5 2 4 8 2 2 2 2" xfId="56687"/>
    <cellStyle name="40% - Accent5 2 4 8 2 2 3" xfId="39640"/>
    <cellStyle name="40% - Accent5 2 4 8 2 3" xfId="21848"/>
    <cellStyle name="40% - Accent5 2 4 8 2 3 2" xfId="50709"/>
    <cellStyle name="40% - Accent5 2 4 8 2 4" xfId="33599"/>
    <cellStyle name="40% - Accent5 2 4 8 3" xfId="7893"/>
    <cellStyle name="40% - Accent5 2 4 8 3 2" xfId="24940"/>
    <cellStyle name="40% - Accent5 2 4 8 3 2 2" xfId="53801"/>
    <cellStyle name="40% - Accent5 2 4 8 3 3" xfId="36754"/>
    <cellStyle name="40% - Accent5 2 4 8 4" xfId="13843"/>
    <cellStyle name="40% - Accent5 2 4 8 4 2" xfId="19168"/>
    <cellStyle name="40% - Accent5 2 4 8 4 2 2" xfId="48029"/>
    <cellStyle name="40% - Accent5 2 4 8 4 3" xfId="42704"/>
    <cellStyle name="40% - Accent5 2 4 8 5" xfId="16488"/>
    <cellStyle name="40% - Accent5 2 4 8 5 2" xfId="45349"/>
    <cellStyle name="40% - Accent5 2 4 8 6" xfId="30713"/>
    <cellStyle name="40% - Accent5 2 4 9" xfId="2057"/>
    <cellStyle name="40% - Accent5 2 4 9 2" xfId="4944"/>
    <cellStyle name="40% - Accent5 2 4 9 2 2" xfId="10985"/>
    <cellStyle name="40% - Accent5 2 4 9 2 2 2" xfId="28032"/>
    <cellStyle name="40% - Accent5 2 4 9 2 2 2 2" xfId="56893"/>
    <cellStyle name="40% - Accent5 2 4 9 2 2 3" xfId="39846"/>
    <cellStyle name="40% - Accent5 2 4 9 2 3" xfId="22054"/>
    <cellStyle name="40% - Accent5 2 4 9 2 3 2" xfId="50915"/>
    <cellStyle name="40% - Accent5 2 4 9 2 4" xfId="33805"/>
    <cellStyle name="40% - Accent5 2 4 9 3" xfId="8099"/>
    <cellStyle name="40% - Accent5 2 4 9 3 2" xfId="25146"/>
    <cellStyle name="40% - Accent5 2 4 9 3 2 2" xfId="54007"/>
    <cellStyle name="40% - Accent5 2 4 9 3 3" xfId="36960"/>
    <cellStyle name="40% - Accent5 2 4 9 4" xfId="13569"/>
    <cellStyle name="40% - Accent5 2 4 9 4 2" xfId="19374"/>
    <cellStyle name="40% - Accent5 2 4 9 4 2 2" xfId="48235"/>
    <cellStyle name="40% - Accent5 2 4 9 4 3" xfId="42430"/>
    <cellStyle name="40% - Accent5 2 4 9 5" xfId="16694"/>
    <cellStyle name="40% - Accent5 2 4 9 5 2" xfId="45555"/>
    <cellStyle name="40% - Accent5 2 4 9 6" xfId="30919"/>
    <cellStyle name="40% - Accent5 2 5" xfId="203"/>
    <cellStyle name="40% - Accent5 2 5 2" xfId="615"/>
    <cellStyle name="40% - Accent5 2 5 2 2" xfId="3502"/>
    <cellStyle name="40% - Accent5 2 5 2 2 2" xfId="9543"/>
    <cellStyle name="40% - Accent5 2 5 2 2 2 2" xfId="26590"/>
    <cellStyle name="40% - Accent5 2 5 2 2 2 2 2" xfId="55451"/>
    <cellStyle name="40% - Accent5 2 5 2 2 2 3" xfId="38404"/>
    <cellStyle name="40% - Accent5 2 5 2 2 3" xfId="20612"/>
    <cellStyle name="40% - Accent5 2 5 2 2 3 2" xfId="49473"/>
    <cellStyle name="40% - Accent5 2 5 2 2 4" xfId="32363"/>
    <cellStyle name="40% - Accent5 2 5 2 3" xfId="6657"/>
    <cellStyle name="40% - Accent5 2 5 2 3 2" xfId="23704"/>
    <cellStyle name="40% - Accent5 2 5 2 3 2 2" xfId="52565"/>
    <cellStyle name="40% - Accent5 2 5 2 3 3" xfId="35518"/>
    <cellStyle name="40% - Accent5 2 5 2 4" xfId="12850"/>
    <cellStyle name="40% - Accent5 2 5 2 4 2" xfId="17932"/>
    <cellStyle name="40% - Accent5 2 5 2 4 2 2" xfId="46793"/>
    <cellStyle name="40% - Accent5 2 5 2 4 3" xfId="41711"/>
    <cellStyle name="40% - Accent5 2 5 2 5" xfId="15252"/>
    <cellStyle name="40% - Accent5 2 5 2 5 2" xfId="44113"/>
    <cellStyle name="40% - Accent5 2 5 2 6" xfId="29477"/>
    <cellStyle name="40% - Accent5 2 5 3" xfId="2160"/>
    <cellStyle name="40% - Accent5 2 5 3 2" xfId="5047"/>
    <cellStyle name="40% - Accent5 2 5 3 2 2" xfId="11088"/>
    <cellStyle name="40% - Accent5 2 5 3 2 2 2" xfId="28135"/>
    <cellStyle name="40% - Accent5 2 5 3 2 2 2 2" xfId="56996"/>
    <cellStyle name="40% - Accent5 2 5 3 2 2 3" xfId="39949"/>
    <cellStyle name="40% - Accent5 2 5 3 2 3" xfId="22157"/>
    <cellStyle name="40% - Accent5 2 5 3 2 3 2" xfId="51018"/>
    <cellStyle name="40% - Accent5 2 5 3 2 4" xfId="33908"/>
    <cellStyle name="40% - Accent5 2 5 3 3" xfId="8202"/>
    <cellStyle name="40% - Accent5 2 5 3 3 2" xfId="25249"/>
    <cellStyle name="40% - Accent5 2 5 3 3 2 2" xfId="54110"/>
    <cellStyle name="40% - Accent5 2 5 3 3 3" xfId="37063"/>
    <cellStyle name="40% - Accent5 2 5 3 4" xfId="14401"/>
    <cellStyle name="40% - Accent5 2 5 3 4 2" xfId="19477"/>
    <cellStyle name="40% - Accent5 2 5 3 4 2 2" xfId="48338"/>
    <cellStyle name="40% - Accent5 2 5 3 4 3" xfId="43262"/>
    <cellStyle name="40% - Accent5 2 5 3 5" xfId="16797"/>
    <cellStyle name="40% - Accent5 2 5 3 5 2" xfId="45658"/>
    <cellStyle name="40% - Accent5 2 5 3 6" xfId="31022"/>
    <cellStyle name="40% - Accent5 2 5 4" xfId="3090"/>
    <cellStyle name="40% - Accent5 2 5 4 2" xfId="9131"/>
    <cellStyle name="40% - Accent5 2 5 4 2 2" xfId="26178"/>
    <cellStyle name="40% - Accent5 2 5 4 2 2 2" xfId="55039"/>
    <cellStyle name="40% - Accent5 2 5 4 2 3" xfId="37992"/>
    <cellStyle name="40% - Accent5 2 5 4 3" xfId="20200"/>
    <cellStyle name="40% - Accent5 2 5 4 3 2" xfId="49061"/>
    <cellStyle name="40% - Accent5 2 5 4 4" xfId="31951"/>
    <cellStyle name="40% - Accent5 2 5 5" xfId="6245"/>
    <cellStyle name="40% - Accent5 2 5 5 2" xfId="23292"/>
    <cellStyle name="40% - Accent5 2 5 5 2 2" xfId="52153"/>
    <cellStyle name="40% - Accent5 2 5 5 3" xfId="35106"/>
    <cellStyle name="40% - Accent5 2 5 6" xfId="13595"/>
    <cellStyle name="40% - Accent5 2 5 6 2" xfId="17623"/>
    <cellStyle name="40% - Accent5 2 5 6 2 2" xfId="46484"/>
    <cellStyle name="40% - Accent5 2 5 6 3" xfId="42456"/>
    <cellStyle name="40% - Accent5 2 5 7" xfId="14840"/>
    <cellStyle name="40% - Accent5 2 5 7 2" xfId="43701"/>
    <cellStyle name="40% - Accent5 2 5 8" xfId="29065"/>
    <cellStyle name="40% - Accent5 2 6" xfId="409"/>
    <cellStyle name="40% - Accent5 2 6 2" xfId="3296"/>
    <cellStyle name="40% - Accent5 2 6 2 2" xfId="9337"/>
    <cellStyle name="40% - Accent5 2 6 2 2 2" xfId="26384"/>
    <cellStyle name="40% - Accent5 2 6 2 2 2 2" xfId="55245"/>
    <cellStyle name="40% - Accent5 2 6 2 2 3" xfId="38198"/>
    <cellStyle name="40% - Accent5 2 6 2 3" xfId="20406"/>
    <cellStyle name="40% - Accent5 2 6 2 3 2" xfId="49267"/>
    <cellStyle name="40% - Accent5 2 6 2 4" xfId="32157"/>
    <cellStyle name="40% - Accent5 2 6 3" xfId="6451"/>
    <cellStyle name="40% - Accent5 2 6 3 2" xfId="23498"/>
    <cellStyle name="40% - Accent5 2 6 3 2 2" xfId="52359"/>
    <cellStyle name="40% - Accent5 2 6 3 3" xfId="35312"/>
    <cellStyle name="40% - Accent5 2 6 4" xfId="12713"/>
    <cellStyle name="40% - Accent5 2 6 4 2" xfId="17726"/>
    <cellStyle name="40% - Accent5 2 6 4 2 2" xfId="46587"/>
    <cellStyle name="40% - Accent5 2 6 4 3" xfId="41574"/>
    <cellStyle name="40% - Accent5 2 6 5" xfId="15046"/>
    <cellStyle name="40% - Accent5 2 6 5 2" xfId="43907"/>
    <cellStyle name="40% - Accent5 2 6 6" xfId="29271"/>
    <cellStyle name="40% - Accent5 2 7" xfId="718"/>
    <cellStyle name="40% - Accent5 2 7 2" xfId="3605"/>
    <cellStyle name="40% - Accent5 2 7 2 2" xfId="9646"/>
    <cellStyle name="40% - Accent5 2 7 2 2 2" xfId="26693"/>
    <cellStyle name="40% - Accent5 2 7 2 2 2 2" xfId="55554"/>
    <cellStyle name="40% - Accent5 2 7 2 2 3" xfId="38507"/>
    <cellStyle name="40% - Accent5 2 7 2 3" xfId="20715"/>
    <cellStyle name="40% - Accent5 2 7 2 3 2" xfId="49576"/>
    <cellStyle name="40% - Accent5 2 7 2 4" xfId="32466"/>
    <cellStyle name="40% - Accent5 2 7 3" xfId="6760"/>
    <cellStyle name="40% - Accent5 2 7 3 2" xfId="23807"/>
    <cellStyle name="40% - Accent5 2 7 3 2 2" xfId="52668"/>
    <cellStyle name="40% - Accent5 2 7 3 3" xfId="35621"/>
    <cellStyle name="40% - Accent5 2 7 4" xfId="12800"/>
    <cellStyle name="40% - Accent5 2 7 4 2" xfId="18035"/>
    <cellStyle name="40% - Accent5 2 7 4 2 2" xfId="46896"/>
    <cellStyle name="40% - Accent5 2 7 4 3" xfId="41661"/>
    <cellStyle name="40% - Accent5 2 7 5" xfId="15355"/>
    <cellStyle name="40% - Accent5 2 7 5 2" xfId="44216"/>
    <cellStyle name="40% - Accent5 2 7 6" xfId="29580"/>
    <cellStyle name="40% - Accent5 2 8" xfId="924"/>
    <cellStyle name="40% - Accent5 2 8 2" xfId="3811"/>
    <cellStyle name="40% - Accent5 2 8 2 2" xfId="9852"/>
    <cellStyle name="40% - Accent5 2 8 2 2 2" xfId="26899"/>
    <cellStyle name="40% - Accent5 2 8 2 2 2 2" xfId="55760"/>
    <cellStyle name="40% - Accent5 2 8 2 2 3" xfId="38713"/>
    <cellStyle name="40% - Accent5 2 8 2 3" xfId="20921"/>
    <cellStyle name="40% - Accent5 2 8 2 3 2" xfId="49782"/>
    <cellStyle name="40% - Accent5 2 8 2 4" xfId="32672"/>
    <cellStyle name="40% - Accent5 2 8 3" xfId="6966"/>
    <cellStyle name="40% - Accent5 2 8 3 2" xfId="24013"/>
    <cellStyle name="40% - Accent5 2 8 3 2 2" xfId="52874"/>
    <cellStyle name="40% - Accent5 2 8 3 3" xfId="35827"/>
    <cellStyle name="40% - Accent5 2 8 4" xfId="12535"/>
    <cellStyle name="40% - Accent5 2 8 4 2" xfId="18241"/>
    <cellStyle name="40% - Accent5 2 8 4 2 2" xfId="47102"/>
    <cellStyle name="40% - Accent5 2 8 4 3" xfId="41396"/>
    <cellStyle name="40% - Accent5 2 8 5" xfId="15561"/>
    <cellStyle name="40% - Accent5 2 8 5 2" xfId="44422"/>
    <cellStyle name="40% - Accent5 2 8 6" xfId="29786"/>
    <cellStyle name="40% - Accent5 2 9" xfId="1130"/>
    <cellStyle name="40% - Accent5 2 9 2" xfId="4017"/>
    <cellStyle name="40% - Accent5 2 9 2 2" xfId="10058"/>
    <cellStyle name="40% - Accent5 2 9 2 2 2" xfId="27105"/>
    <cellStyle name="40% - Accent5 2 9 2 2 2 2" xfId="55966"/>
    <cellStyle name="40% - Accent5 2 9 2 2 3" xfId="38919"/>
    <cellStyle name="40% - Accent5 2 9 2 3" xfId="21127"/>
    <cellStyle name="40% - Accent5 2 9 2 3 2" xfId="49988"/>
    <cellStyle name="40% - Accent5 2 9 2 4" xfId="32878"/>
    <cellStyle name="40% - Accent5 2 9 3" xfId="7172"/>
    <cellStyle name="40% - Accent5 2 9 3 2" xfId="24219"/>
    <cellStyle name="40% - Accent5 2 9 3 2 2" xfId="53080"/>
    <cellStyle name="40% - Accent5 2 9 3 3" xfId="36033"/>
    <cellStyle name="40% - Accent5 2 9 4" xfId="13200"/>
    <cellStyle name="40% - Accent5 2 9 4 2" xfId="18447"/>
    <cellStyle name="40% - Accent5 2 9 4 2 2" xfId="47308"/>
    <cellStyle name="40% - Accent5 2 9 4 3" xfId="42061"/>
    <cellStyle name="40% - Accent5 2 9 5" xfId="15767"/>
    <cellStyle name="40% - Accent5 2 9 5 2" xfId="44628"/>
    <cellStyle name="40% - Accent5 2 9 6" xfId="29992"/>
    <cellStyle name="40% - Accent5 20" xfId="5870"/>
    <cellStyle name="40% - Accent5 20 2" xfId="22969"/>
    <cellStyle name="40% - Accent5 20 2 2" xfId="51830"/>
    <cellStyle name="40% - Accent5 20 3" xfId="34731"/>
    <cellStyle name="40% - Accent5 21" xfId="6128"/>
    <cellStyle name="40% - Accent5 21 2" xfId="23175"/>
    <cellStyle name="40% - Accent5 21 2 2" xfId="52036"/>
    <cellStyle name="40% - Accent5 21 3" xfId="34989"/>
    <cellStyle name="40% - Accent5 22" xfId="14517"/>
    <cellStyle name="40% - Accent5 22 2" xfId="43378"/>
    <cellStyle name="40% - Accent5 23" xfId="28948"/>
    <cellStyle name="40% - Accent5 3" xfId="113"/>
    <cellStyle name="40% - Accent5 3 10" xfId="1761"/>
    <cellStyle name="40% - Accent5 3 10 2" xfId="4648"/>
    <cellStyle name="40% - Accent5 3 10 2 2" xfId="10689"/>
    <cellStyle name="40% - Accent5 3 10 2 2 2" xfId="27736"/>
    <cellStyle name="40% - Accent5 3 10 2 2 2 2" xfId="56597"/>
    <cellStyle name="40% - Accent5 3 10 2 2 3" xfId="39550"/>
    <cellStyle name="40% - Accent5 3 10 2 3" xfId="21758"/>
    <cellStyle name="40% - Accent5 3 10 2 3 2" xfId="50619"/>
    <cellStyle name="40% - Accent5 3 10 2 4" xfId="33509"/>
    <cellStyle name="40% - Accent5 3 10 3" xfId="7803"/>
    <cellStyle name="40% - Accent5 3 10 3 2" xfId="24850"/>
    <cellStyle name="40% - Accent5 3 10 3 2 2" xfId="53711"/>
    <cellStyle name="40% - Accent5 3 10 3 3" xfId="36664"/>
    <cellStyle name="40% - Accent5 3 10 4" xfId="14174"/>
    <cellStyle name="40% - Accent5 3 10 4 2" xfId="19078"/>
    <cellStyle name="40% - Accent5 3 10 4 2 2" xfId="47939"/>
    <cellStyle name="40% - Accent5 3 10 4 3" xfId="43035"/>
    <cellStyle name="40% - Accent5 3 10 5" xfId="16398"/>
    <cellStyle name="40% - Accent5 3 10 5 2" xfId="45259"/>
    <cellStyle name="40% - Accent5 3 10 6" xfId="30623"/>
    <cellStyle name="40% - Accent5 3 11" xfId="1967"/>
    <cellStyle name="40% - Accent5 3 11 2" xfId="4854"/>
    <cellStyle name="40% - Accent5 3 11 2 2" xfId="10895"/>
    <cellStyle name="40% - Accent5 3 11 2 2 2" xfId="27942"/>
    <cellStyle name="40% - Accent5 3 11 2 2 2 2" xfId="56803"/>
    <cellStyle name="40% - Accent5 3 11 2 2 3" xfId="39756"/>
    <cellStyle name="40% - Accent5 3 11 2 3" xfId="21964"/>
    <cellStyle name="40% - Accent5 3 11 2 3 2" xfId="50825"/>
    <cellStyle name="40% - Accent5 3 11 2 4" xfId="33715"/>
    <cellStyle name="40% - Accent5 3 11 3" xfId="8009"/>
    <cellStyle name="40% - Accent5 3 11 3 2" xfId="25056"/>
    <cellStyle name="40% - Accent5 3 11 3 2 2" xfId="53917"/>
    <cellStyle name="40% - Accent5 3 11 3 3" xfId="36870"/>
    <cellStyle name="40% - Accent5 3 11 4" xfId="14278"/>
    <cellStyle name="40% - Accent5 3 11 4 2" xfId="19284"/>
    <cellStyle name="40% - Accent5 3 11 4 2 2" xfId="48145"/>
    <cellStyle name="40% - Accent5 3 11 4 3" xfId="43139"/>
    <cellStyle name="40% - Accent5 3 11 5" xfId="16604"/>
    <cellStyle name="40% - Accent5 3 11 5 2" xfId="45465"/>
    <cellStyle name="40% - Accent5 3 11 6" xfId="30829"/>
    <cellStyle name="40% - Accent5 3 12" xfId="2379"/>
    <cellStyle name="40% - Accent5 3 12 2" xfId="5266"/>
    <cellStyle name="40% - Accent5 3 12 2 2" xfId="11307"/>
    <cellStyle name="40% - Accent5 3 12 2 2 2" xfId="28354"/>
    <cellStyle name="40% - Accent5 3 12 2 2 2 2" xfId="57215"/>
    <cellStyle name="40% - Accent5 3 12 2 2 3" xfId="40168"/>
    <cellStyle name="40% - Accent5 3 12 2 3" xfId="22376"/>
    <cellStyle name="40% - Accent5 3 12 2 3 2" xfId="51237"/>
    <cellStyle name="40% - Accent5 3 12 2 4" xfId="34127"/>
    <cellStyle name="40% - Accent5 3 12 3" xfId="8421"/>
    <cellStyle name="40% - Accent5 3 12 3 2" xfId="25468"/>
    <cellStyle name="40% - Accent5 3 12 3 2 2" xfId="54329"/>
    <cellStyle name="40% - Accent5 3 12 3 3" xfId="37282"/>
    <cellStyle name="40% - Accent5 3 12 4" xfId="13222"/>
    <cellStyle name="40% - Accent5 3 12 4 2" xfId="19696"/>
    <cellStyle name="40% - Accent5 3 12 4 2 2" xfId="48557"/>
    <cellStyle name="40% - Accent5 3 12 4 3" xfId="42083"/>
    <cellStyle name="40% - Accent5 3 12 5" xfId="17016"/>
    <cellStyle name="40% - Accent5 3 12 5 2" xfId="45877"/>
    <cellStyle name="40% - Accent5 3 12 6" xfId="31241"/>
    <cellStyle name="40% - Accent5 3 13" xfId="2588"/>
    <cellStyle name="40% - Accent5 3 13 2" xfId="5474"/>
    <cellStyle name="40% - Accent5 3 13 2 2" xfId="11515"/>
    <cellStyle name="40% - Accent5 3 13 2 2 2" xfId="28562"/>
    <cellStyle name="40% - Accent5 3 13 2 2 2 2" xfId="57423"/>
    <cellStyle name="40% - Accent5 3 13 2 2 3" xfId="40376"/>
    <cellStyle name="40% - Accent5 3 13 2 3" xfId="22584"/>
    <cellStyle name="40% - Accent5 3 13 2 3 2" xfId="51445"/>
    <cellStyle name="40% - Accent5 3 13 2 4" xfId="34335"/>
    <cellStyle name="40% - Accent5 3 13 3" xfId="8629"/>
    <cellStyle name="40% - Accent5 3 13 3 2" xfId="25676"/>
    <cellStyle name="40% - Accent5 3 13 3 2 2" xfId="54537"/>
    <cellStyle name="40% - Accent5 3 13 3 3" xfId="37490"/>
    <cellStyle name="40% - Accent5 3 13 4" xfId="14451"/>
    <cellStyle name="40% - Accent5 3 13 4 2" xfId="19904"/>
    <cellStyle name="40% - Accent5 3 13 4 2 2" xfId="48765"/>
    <cellStyle name="40% - Accent5 3 13 4 3" xfId="43312"/>
    <cellStyle name="40% - Accent5 3 13 5" xfId="17224"/>
    <cellStyle name="40% - Accent5 3 13 5 2" xfId="46085"/>
    <cellStyle name="40% - Accent5 3 13 6" xfId="31449"/>
    <cellStyle name="40% - Accent5 3 14" xfId="3000"/>
    <cellStyle name="40% - Accent5 3 14 2" xfId="9041"/>
    <cellStyle name="40% - Accent5 3 14 2 2" xfId="26088"/>
    <cellStyle name="40% - Accent5 3 14 2 2 2" xfId="54949"/>
    <cellStyle name="40% - Accent5 3 14 2 3" xfId="37902"/>
    <cellStyle name="40% - Accent5 3 14 3" xfId="14402"/>
    <cellStyle name="40% - Accent5 3 14 3 2" xfId="20110"/>
    <cellStyle name="40% - Accent5 3 14 3 2 2" xfId="48971"/>
    <cellStyle name="40% - Accent5 3 14 3 3" xfId="43263"/>
    <cellStyle name="40% - Accent5 3 14 4" xfId="14750"/>
    <cellStyle name="40% - Accent5 3 14 4 2" xfId="43611"/>
    <cellStyle name="40% - Accent5 3 14 5" xfId="31861"/>
    <cellStyle name="40% - Accent5 3 15" xfId="2794"/>
    <cellStyle name="40% - Accent5 3 15 2" xfId="8835"/>
    <cellStyle name="40% - Accent5 3 15 2 2" xfId="25882"/>
    <cellStyle name="40% - Accent5 3 15 2 2 2" xfId="54743"/>
    <cellStyle name="40% - Accent5 3 15 2 3" xfId="37696"/>
    <cellStyle name="40% - Accent5 3 15 3" xfId="17430"/>
    <cellStyle name="40% - Accent5 3 15 3 2" xfId="46291"/>
    <cellStyle name="40% - Accent5 3 15 4" xfId="31655"/>
    <cellStyle name="40% - Accent5 3 16" xfId="5680"/>
    <cellStyle name="40% - Accent5 3 16 2" xfId="11721"/>
    <cellStyle name="40% - Accent5 3 16 2 2" xfId="28768"/>
    <cellStyle name="40% - Accent5 3 16 2 2 2" xfId="57629"/>
    <cellStyle name="40% - Accent5 3 16 2 3" xfId="40582"/>
    <cellStyle name="40% - Accent5 3 16 3" xfId="22790"/>
    <cellStyle name="40% - Accent5 3 16 3 2" xfId="51651"/>
    <cellStyle name="40% - Accent5 3 16 4" xfId="34541"/>
    <cellStyle name="40% - Accent5 3 17" xfId="5897"/>
    <cellStyle name="40% - Accent5 3 17 2" xfId="22996"/>
    <cellStyle name="40% - Accent5 3 17 2 2" xfId="51857"/>
    <cellStyle name="40% - Accent5 3 17 3" xfId="34758"/>
    <cellStyle name="40% - Accent5 3 18" xfId="6155"/>
    <cellStyle name="40% - Accent5 3 18 2" xfId="23202"/>
    <cellStyle name="40% - Accent5 3 18 2 2" xfId="52063"/>
    <cellStyle name="40% - Accent5 3 18 3" xfId="35016"/>
    <cellStyle name="40% - Accent5 3 19" xfId="14544"/>
    <cellStyle name="40% - Accent5 3 19 2" xfId="43405"/>
    <cellStyle name="40% - Accent5 3 2" xfId="319"/>
    <cellStyle name="40% - Accent5 3 2 10" xfId="2482"/>
    <cellStyle name="40% - Accent5 3 2 10 2" xfId="5369"/>
    <cellStyle name="40% - Accent5 3 2 10 2 2" xfId="11410"/>
    <cellStyle name="40% - Accent5 3 2 10 2 2 2" xfId="28457"/>
    <cellStyle name="40% - Accent5 3 2 10 2 2 2 2" xfId="57318"/>
    <cellStyle name="40% - Accent5 3 2 10 2 2 3" xfId="40271"/>
    <cellStyle name="40% - Accent5 3 2 10 2 3" xfId="22479"/>
    <cellStyle name="40% - Accent5 3 2 10 2 3 2" xfId="51340"/>
    <cellStyle name="40% - Accent5 3 2 10 2 4" xfId="34230"/>
    <cellStyle name="40% - Accent5 3 2 10 3" xfId="8524"/>
    <cellStyle name="40% - Accent5 3 2 10 3 2" xfId="25571"/>
    <cellStyle name="40% - Accent5 3 2 10 3 2 2" xfId="54432"/>
    <cellStyle name="40% - Accent5 3 2 10 3 3" xfId="37385"/>
    <cellStyle name="40% - Accent5 3 2 10 4" xfId="12260"/>
    <cellStyle name="40% - Accent5 3 2 10 4 2" xfId="19799"/>
    <cellStyle name="40% - Accent5 3 2 10 4 2 2" xfId="48660"/>
    <cellStyle name="40% - Accent5 3 2 10 4 3" xfId="41121"/>
    <cellStyle name="40% - Accent5 3 2 10 5" xfId="17119"/>
    <cellStyle name="40% - Accent5 3 2 10 5 2" xfId="45980"/>
    <cellStyle name="40% - Accent5 3 2 10 6" xfId="31344"/>
    <cellStyle name="40% - Accent5 3 2 11" xfId="2691"/>
    <cellStyle name="40% - Accent5 3 2 11 2" xfId="5577"/>
    <cellStyle name="40% - Accent5 3 2 11 2 2" xfId="11618"/>
    <cellStyle name="40% - Accent5 3 2 11 2 2 2" xfId="28665"/>
    <cellStyle name="40% - Accent5 3 2 11 2 2 2 2" xfId="57526"/>
    <cellStyle name="40% - Accent5 3 2 11 2 2 3" xfId="40479"/>
    <cellStyle name="40% - Accent5 3 2 11 2 3" xfId="22687"/>
    <cellStyle name="40% - Accent5 3 2 11 2 3 2" xfId="51548"/>
    <cellStyle name="40% - Accent5 3 2 11 2 4" xfId="34438"/>
    <cellStyle name="40% - Accent5 3 2 11 3" xfId="8732"/>
    <cellStyle name="40% - Accent5 3 2 11 3 2" xfId="25779"/>
    <cellStyle name="40% - Accent5 3 2 11 3 2 2" xfId="54640"/>
    <cellStyle name="40% - Accent5 3 2 11 3 3" xfId="37593"/>
    <cellStyle name="40% - Accent5 3 2 11 4" xfId="13959"/>
    <cellStyle name="40% - Accent5 3 2 11 4 2" xfId="20007"/>
    <cellStyle name="40% - Accent5 3 2 11 4 2 2" xfId="48868"/>
    <cellStyle name="40% - Accent5 3 2 11 4 3" xfId="42820"/>
    <cellStyle name="40% - Accent5 3 2 11 5" xfId="17327"/>
    <cellStyle name="40% - Accent5 3 2 11 5 2" xfId="46188"/>
    <cellStyle name="40% - Accent5 3 2 11 6" xfId="31552"/>
    <cellStyle name="40% - Accent5 3 2 12" xfId="3206"/>
    <cellStyle name="40% - Accent5 3 2 12 2" xfId="9247"/>
    <cellStyle name="40% - Accent5 3 2 12 2 2" xfId="26294"/>
    <cellStyle name="40% - Accent5 3 2 12 2 2 2" xfId="55155"/>
    <cellStyle name="40% - Accent5 3 2 12 2 3" xfId="38108"/>
    <cellStyle name="40% - Accent5 3 2 12 3" xfId="6090"/>
    <cellStyle name="40% - Accent5 3 2 12 3 2" xfId="20316"/>
    <cellStyle name="40% - Accent5 3 2 12 3 2 2" xfId="49177"/>
    <cellStyle name="40% - Accent5 3 2 12 3 3" xfId="34951"/>
    <cellStyle name="40% - Accent5 3 2 12 4" xfId="14956"/>
    <cellStyle name="40% - Accent5 3 2 12 4 2" xfId="43817"/>
    <cellStyle name="40% - Accent5 3 2 12 5" xfId="32067"/>
    <cellStyle name="40% - Accent5 3 2 13" xfId="2897"/>
    <cellStyle name="40% - Accent5 3 2 13 2" xfId="8938"/>
    <cellStyle name="40% - Accent5 3 2 13 2 2" xfId="25985"/>
    <cellStyle name="40% - Accent5 3 2 13 2 2 2" xfId="54846"/>
    <cellStyle name="40% - Accent5 3 2 13 2 3" xfId="37799"/>
    <cellStyle name="40% - Accent5 3 2 13 3" xfId="17533"/>
    <cellStyle name="40% - Accent5 3 2 13 3 2" xfId="46394"/>
    <cellStyle name="40% - Accent5 3 2 13 4" xfId="31758"/>
    <cellStyle name="40% - Accent5 3 2 14" xfId="5783"/>
    <cellStyle name="40% - Accent5 3 2 14 2" xfId="11824"/>
    <cellStyle name="40% - Accent5 3 2 14 2 2" xfId="28871"/>
    <cellStyle name="40% - Accent5 3 2 14 2 2 2" xfId="57732"/>
    <cellStyle name="40% - Accent5 3 2 14 2 3" xfId="40685"/>
    <cellStyle name="40% - Accent5 3 2 14 3" xfId="22893"/>
    <cellStyle name="40% - Accent5 3 2 14 3 2" xfId="51754"/>
    <cellStyle name="40% - Accent5 3 2 14 4" xfId="34644"/>
    <cellStyle name="40% - Accent5 3 2 15" xfId="6000"/>
    <cellStyle name="40% - Accent5 3 2 15 2" xfId="23099"/>
    <cellStyle name="40% - Accent5 3 2 15 2 2" xfId="51960"/>
    <cellStyle name="40% - Accent5 3 2 15 3" xfId="34861"/>
    <cellStyle name="40% - Accent5 3 2 16" xfId="6361"/>
    <cellStyle name="40% - Accent5 3 2 16 2" xfId="23408"/>
    <cellStyle name="40% - Accent5 3 2 16 2 2" xfId="52269"/>
    <cellStyle name="40% - Accent5 3 2 16 3" xfId="35222"/>
    <cellStyle name="40% - Accent5 3 2 17" xfId="14647"/>
    <cellStyle name="40% - Accent5 3 2 17 2" xfId="43508"/>
    <cellStyle name="40% - Accent5 3 2 18" xfId="29181"/>
    <cellStyle name="40% - Accent5 3 2 2" xfId="525"/>
    <cellStyle name="40% - Accent5 3 2 2 2" xfId="2276"/>
    <cellStyle name="40% - Accent5 3 2 2 2 2" xfId="5163"/>
    <cellStyle name="40% - Accent5 3 2 2 2 2 2" xfId="11204"/>
    <cellStyle name="40% - Accent5 3 2 2 2 2 2 2" xfId="28251"/>
    <cellStyle name="40% - Accent5 3 2 2 2 2 2 2 2" xfId="57112"/>
    <cellStyle name="40% - Accent5 3 2 2 2 2 2 3" xfId="40065"/>
    <cellStyle name="40% - Accent5 3 2 2 2 2 3" xfId="22273"/>
    <cellStyle name="40% - Accent5 3 2 2 2 2 3 2" xfId="51134"/>
    <cellStyle name="40% - Accent5 3 2 2 2 2 4" xfId="34024"/>
    <cellStyle name="40% - Accent5 3 2 2 2 3" xfId="8318"/>
    <cellStyle name="40% - Accent5 3 2 2 2 3 2" xfId="25365"/>
    <cellStyle name="40% - Accent5 3 2 2 2 3 2 2" xfId="54226"/>
    <cellStyle name="40% - Accent5 3 2 2 2 3 3" xfId="37179"/>
    <cellStyle name="40% - Accent5 3 2 2 2 4" xfId="13421"/>
    <cellStyle name="40% - Accent5 3 2 2 2 4 2" xfId="19593"/>
    <cellStyle name="40% - Accent5 3 2 2 2 4 2 2" xfId="48454"/>
    <cellStyle name="40% - Accent5 3 2 2 2 4 3" xfId="42282"/>
    <cellStyle name="40% - Accent5 3 2 2 2 5" xfId="16913"/>
    <cellStyle name="40% - Accent5 3 2 2 2 5 2" xfId="45774"/>
    <cellStyle name="40% - Accent5 3 2 2 2 6" xfId="31138"/>
    <cellStyle name="40% - Accent5 3 2 2 3" xfId="3412"/>
    <cellStyle name="40% - Accent5 3 2 2 3 2" xfId="9453"/>
    <cellStyle name="40% - Accent5 3 2 2 3 2 2" xfId="26500"/>
    <cellStyle name="40% - Accent5 3 2 2 3 2 2 2" xfId="55361"/>
    <cellStyle name="40% - Accent5 3 2 2 3 2 3" xfId="38314"/>
    <cellStyle name="40% - Accent5 3 2 2 3 3" xfId="20522"/>
    <cellStyle name="40% - Accent5 3 2 2 3 3 2" xfId="49383"/>
    <cellStyle name="40% - Accent5 3 2 2 3 4" xfId="32273"/>
    <cellStyle name="40% - Accent5 3 2 2 4" xfId="6567"/>
    <cellStyle name="40% - Accent5 3 2 2 4 2" xfId="23614"/>
    <cellStyle name="40% - Accent5 3 2 2 4 2 2" xfId="52475"/>
    <cellStyle name="40% - Accent5 3 2 2 4 3" xfId="35428"/>
    <cellStyle name="40% - Accent5 3 2 2 5" xfId="12353"/>
    <cellStyle name="40% - Accent5 3 2 2 5 2" xfId="17842"/>
    <cellStyle name="40% - Accent5 3 2 2 5 2 2" xfId="46703"/>
    <cellStyle name="40% - Accent5 3 2 2 5 3" xfId="41214"/>
    <cellStyle name="40% - Accent5 3 2 2 6" xfId="15162"/>
    <cellStyle name="40% - Accent5 3 2 2 6 2" xfId="44023"/>
    <cellStyle name="40% - Accent5 3 2 2 7" xfId="29387"/>
    <cellStyle name="40% - Accent5 3 2 3" xfId="834"/>
    <cellStyle name="40% - Accent5 3 2 3 2" xfId="3721"/>
    <cellStyle name="40% - Accent5 3 2 3 2 2" xfId="9762"/>
    <cellStyle name="40% - Accent5 3 2 3 2 2 2" xfId="26809"/>
    <cellStyle name="40% - Accent5 3 2 3 2 2 2 2" xfId="55670"/>
    <cellStyle name="40% - Accent5 3 2 3 2 2 3" xfId="38623"/>
    <cellStyle name="40% - Accent5 3 2 3 2 3" xfId="20831"/>
    <cellStyle name="40% - Accent5 3 2 3 2 3 2" xfId="49692"/>
    <cellStyle name="40% - Accent5 3 2 3 2 4" xfId="32582"/>
    <cellStyle name="40% - Accent5 3 2 3 3" xfId="6876"/>
    <cellStyle name="40% - Accent5 3 2 3 3 2" xfId="23923"/>
    <cellStyle name="40% - Accent5 3 2 3 3 2 2" xfId="52784"/>
    <cellStyle name="40% - Accent5 3 2 3 3 3" xfId="35737"/>
    <cellStyle name="40% - Accent5 3 2 3 4" xfId="14487"/>
    <cellStyle name="40% - Accent5 3 2 3 4 2" xfId="18151"/>
    <cellStyle name="40% - Accent5 3 2 3 4 2 2" xfId="47012"/>
    <cellStyle name="40% - Accent5 3 2 3 4 3" xfId="43348"/>
    <cellStyle name="40% - Accent5 3 2 3 5" xfId="15471"/>
    <cellStyle name="40% - Accent5 3 2 3 5 2" xfId="44332"/>
    <cellStyle name="40% - Accent5 3 2 3 6" xfId="29696"/>
    <cellStyle name="40% - Accent5 3 2 4" xfId="1040"/>
    <cellStyle name="40% - Accent5 3 2 4 2" xfId="3927"/>
    <cellStyle name="40% - Accent5 3 2 4 2 2" xfId="9968"/>
    <cellStyle name="40% - Accent5 3 2 4 2 2 2" xfId="27015"/>
    <cellStyle name="40% - Accent5 3 2 4 2 2 2 2" xfId="55876"/>
    <cellStyle name="40% - Accent5 3 2 4 2 2 3" xfId="38829"/>
    <cellStyle name="40% - Accent5 3 2 4 2 3" xfId="21037"/>
    <cellStyle name="40% - Accent5 3 2 4 2 3 2" xfId="49898"/>
    <cellStyle name="40% - Accent5 3 2 4 2 4" xfId="32788"/>
    <cellStyle name="40% - Accent5 3 2 4 3" xfId="7082"/>
    <cellStyle name="40% - Accent5 3 2 4 3 2" xfId="24129"/>
    <cellStyle name="40% - Accent5 3 2 4 3 2 2" xfId="52990"/>
    <cellStyle name="40% - Accent5 3 2 4 3 3" xfId="35943"/>
    <cellStyle name="40% - Accent5 3 2 4 4" xfId="12253"/>
    <cellStyle name="40% - Accent5 3 2 4 4 2" xfId="18357"/>
    <cellStyle name="40% - Accent5 3 2 4 4 2 2" xfId="47218"/>
    <cellStyle name="40% - Accent5 3 2 4 4 3" xfId="41114"/>
    <cellStyle name="40% - Accent5 3 2 4 5" xfId="15677"/>
    <cellStyle name="40% - Accent5 3 2 4 5 2" xfId="44538"/>
    <cellStyle name="40% - Accent5 3 2 4 6" xfId="29902"/>
    <cellStyle name="40% - Accent5 3 2 5" xfId="1246"/>
    <cellStyle name="40% - Accent5 3 2 5 2" xfId="4133"/>
    <cellStyle name="40% - Accent5 3 2 5 2 2" xfId="10174"/>
    <cellStyle name="40% - Accent5 3 2 5 2 2 2" xfId="27221"/>
    <cellStyle name="40% - Accent5 3 2 5 2 2 2 2" xfId="56082"/>
    <cellStyle name="40% - Accent5 3 2 5 2 2 3" xfId="39035"/>
    <cellStyle name="40% - Accent5 3 2 5 2 3" xfId="21243"/>
    <cellStyle name="40% - Accent5 3 2 5 2 3 2" xfId="50104"/>
    <cellStyle name="40% - Accent5 3 2 5 2 4" xfId="32994"/>
    <cellStyle name="40% - Accent5 3 2 5 3" xfId="7288"/>
    <cellStyle name="40% - Accent5 3 2 5 3 2" xfId="24335"/>
    <cellStyle name="40% - Accent5 3 2 5 3 2 2" xfId="53196"/>
    <cellStyle name="40% - Accent5 3 2 5 3 3" xfId="36149"/>
    <cellStyle name="40% - Accent5 3 2 5 4" xfId="12020"/>
    <cellStyle name="40% - Accent5 3 2 5 4 2" xfId="18563"/>
    <cellStyle name="40% - Accent5 3 2 5 4 2 2" xfId="47424"/>
    <cellStyle name="40% - Accent5 3 2 5 4 3" xfId="40881"/>
    <cellStyle name="40% - Accent5 3 2 5 5" xfId="15883"/>
    <cellStyle name="40% - Accent5 3 2 5 5 2" xfId="44744"/>
    <cellStyle name="40% - Accent5 3 2 5 6" xfId="30108"/>
    <cellStyle name="40% - Accent5 3 2 6" xfId="1452"/>
    <cellStyle name="40% - Accent5 3 2 6 2" xfId="4339"/>
    <cellStyle name="40% - Accent5 3 2 6 2 2" xfId="10380"/>
    <cellStyle name="40% - Accent5 3 2 6 2 2 2" xfId="27427"/>
    <cellStyle name="40% - Accent5 3 2 6 2 2 2 2" xfId="56288"/>
    <cellStyle name="40% - Accent5 3 2 6 2 2 3" xfId="39241"/>
    <cellStyle name="40% - Accent5 3 2 6 2 3" xfId="21449"/>
    <cellStyle name="40% - Accent5 3 2 6 2 3 2" xfId="50310"/>
    <cellStyle name="40% - Accent5 3 2 6 2 4" xfId="33200"/>
    <cellStyle name="40% - Accent5 3 2 6 3" xfId="7494"/>
    <cellStyle name="40% - Accent5 3 2 6 3 2" xfId="24541"/>
    <cellStyle name="40% - Accent5 3 2 6 3 2 2" xfId="53402"/>
    <cellStyle name="40% - Accent5 3 2 6 3 3" xfId="36355"/>
    <cellStyle name="40% - Accent5 3 2 6 4" xfId="12203"/>
    <cellStyle name="40% - Accent5 3 2 6 4 2" xfId="18769"/>
    <cellStyle name="40% - Accent5 3 2 6 4 2 2" xfId="47630"/>
    <cellStyle name="40% - Accent5 3 2 6 4 3" xfId="41064"/>
    <cellStyle name="40% - Accent5 3 2 6 5" xfId="16089"/>
    <cellStyle name="40% - Accent5 3 2 6 5 2" xfId="44950"/>
    <cellStyle name="40% - Accent5 3 2 6 6" xfId="30314"/>
    <cellStyle name="40% - Accent5 3 2 7" xfId="1658"/>
    <cellStyle name="40% - Accent5 3 2 7 2" xfId="4545"/>
    <cellStyle name="40% - Accent5 3 2 7 2 2" xfId="10586"/>
    <cellStyle name="40% - Accent5 3 2 7 2 2 2" xfId="27633"/>
    <cellStyle name="40% - Accent5 3 2 7 2 2 2 2" xfId="56494"/>
    <cellStyle name="40% - Accent5 3 2 7 2 2 3" xfId="39447"/>
    <cellStyle name="40% - Accent5 3 2 7 2 3" xfId="21655"/>
    <cellStyle name="40% - Accent5 3 2 7 2 3 2" xfId="50516"/>
    <cellStyle name="40% - Accent5 3 2 7 2 4" xfId="33406"/>
    <cellStyle name="40% - Accent5 3 2 7 3" xfId="7700"/>
    <cellStyle name="40% - Accent5 3 2 7 3 2" xfId="24747"/>
    <cellStyle name="40% - Accent5 3 2 7 3 2 2" xfId="53608"/>
    <cellStyle name="40% - Accent5 3 2 7 3 3" xfId="36561"/>
    <cellStyle name="40% - Accent5 3 2 7 4" xfId="12059"/>
    <cellStyle name="40% - Accent5 3 2 7 4 2" xfId="18975"/>
    <cellStyle name="40% - Accent5 3 2 7 4 2 2" xfId="47836"/>
    <cellStyle name="40% - Accent5 3 2 7 4 3" xfId="40920"/>
    <cellStyle name="40% - Accent5 3 2 7 5" xfId="16295"/>
    <cellStyle name="40% - Accent5 3 2 7 5 2" xfId="45156"/>
    <cellStyle name="40% - Accent5 3 2 7 6" xfId="30520"/>
    <cellStyle name="40% - Accent5 3 2 8" xfId="1864"/>
    <cellStyle name="40% - Accent5 3 2 8 2" xfId="4751"/>
    <cellStyle name="40% - Accent5 3 2 8 2 2" xfId="10792"/>
    <cellStyle name="40% - Accent5 3 2 8 2 2 2" xfId="27839"/>
    <cellStyle name="40% - Accent5 3 2 8 2 2 2 2" xfId="56700"/>
    <cellStyle name="40% - Accent5 3 2 8 2 2 3" xfId="39653"/>
    <cellStyle name="40% - Accent5 3 2 8 2 3" xfId="21861"/>
    <cellStyle name="40% - Accent5 3 2 8 2 3 2" xfId="50722"/>
    <cellStyle name="40% - Accent5 3 2 8 2 4" xfId="33612"/>
    <cellStyle name="40% - Accent5 3 2 8 3" xfId="7906"/>
    <cellStyle name="40% - Accent5 3 2 8 3 2" xfId="24953"/>
    <cellStyle name="40% - Accent5 3 2 8 3 2 2" xfId="53814"/>
    <cellStyle name="40% - Accent5 3 2 8 3 3" xfId="36767"/>
    <cellStyle name="40% - Accent5 3 2 8 4" xfId="14312"/>
    <cellStyle name="40% - Accent5 3 2 8 4 2" xfId="19181"/>
    <cellStyle name="40% - Accent5 3 2 8 4 2 2" xfId="48042"/>
    <cellStyle name="40% - Accent5 3 2 8 4 3" xfId="43173"/>
    <cellStyle name="40% - Accent5 3 2 8 5" xfId="16501"/>
    <cellStyle name="40% - Accent5 3 2 8 5 2" xfId="45362"/>
    <cellStyle name="40% - Accent5 3 2 8 6" xfId="30726"/>
    <cellStyle name="40% - Accent5 3 2 9" xfId="2070"/>
    <cellStyle name="40% - Accent5 3 2 9 2" xfId="4957"/>
    <cellStyle name="40% - Accent5 3 2 9 2 2" xfId="10998"/>
    <cellStyle name="40% - Accent5 3 2 9 2 2 2" xfId="28045"/>
    <cellStyle name="40% - Accent5 3 2 9 2 2 2 2" xfId="56906"/>
    <cellStyle name="40% - Accent5 3 2 9 2 2 3" xfId="39859"/>
    <cellStyle name="40% - Accent5 3 2 9 2 3" xfId="22067"/>
    <cellStyle name="40% - Accent5 3 2 9 2 3 2" xfId="50928"/>
    <cellStyle name="40% - Accent5 3 2 9 2 4" xfId="33818"/>
    <cellStyle name="40% - Accent5 3 2 9 3" xfId="8112"/>
    <cellStyle name="40% - Accent5 3 2 9 3 2" xfId="25159"/>
    <cellStyle name="40% - Accent5 3 2 9 3 2 2" xfId="54020"/>
    <cellStyle name="40% - Accent5 3 2 9 3 3" xfId="36973"/>
    <cellStyle name="40% - Accent5 3 2 9 4" xfId="12089"/>
    <cellStyle name="40% - Accent5 3 2 9 4 2" xfId="19387"/>
    <cellStyle name="40% - Accent5 3 2 9 4 2 2" xfId="48248"/>
    <cellStyle name="40% - Accent5 3 2 9 4 3" xfId="40950"/>
    <cellStyle name="40% - Accent5 3 2 9 5" xfId="16707"/>
    <cellStyle name="40% - Accent5 3 2 9 5 2" xfId="45568"/>
    <cellStyle name="40% - Accent5 3 2 9 6" xfId="30932"/>
    <cellStyle name="40% - Accent5 3 20" xfId="28975"/>
    <cellStyle name="40% - Accent5 3 3" xfId="216"/>
    <cellStyle name="40% - Accent5 3 3 2" xfId="628"/>
    <cellStyle name="40% - Accent5 3 3 2 2" xfId="3515"/>
    <cellStyle name="40% - Accent5 3 3 2 2 2" xfId="9556"/>
    <cellStyle name="40% - Accent5 3 3 2 2 2 2" xfId="26603"/>
    <cellStyle name="40% - Accent5 3 3 2 2 2 2 2" xfId="55464"/>
    <cellStyle name="40% - Accent5 3 3 2 2 2 3" xfId="38417"/>
    <cellStyle name="40% - Accent5 3 3 2 2 3" xfId="20625"/>
    <cellStyle name="40% - Accent5 3 3 2 2 3 2" xfId="49486"/>
    <cellStyle name="40% - Accent5 3 3 2 2 4" xfId="32376"/>
    <cellStyle name="40% - Accent5 3 3 2 3" xfId="6670"/>
    <cellStyle name="40% - Accent5 3 3 2 3 2" xfId="23717"/>
    <cellStyle name="40% - Accent5 3 3 2 3 2 2" xfId="52578"/>
    <cellStyle name="40% - Accent5 3 3 2 3 3" xfId="35531"/>
    <cellStyle name="40% - Accent5 3 3 2 4" xfId="13798"/>
    <cellStyle name="40% - Accent5 3 3 2 4 2" xfId="17945"/>
    <cellStyle name="40% - Accent5 3 3 2 4 2 2" xfId="46806"/>
    <cellStyle name="40% - Accent5 3 3 2 4 3" xfId="42659"/>
    <cellStyle name="40% - Accent5 3 3 2 5" xfId="15265"/>
    <cellStyle name="40% - Accent5 3 3 2 5 2" xfId="44126"/>
    <cellStyle name="40% - Accent5 3 3 2 6" xfId="29490"/>
    <cellStyle name="40% - Accent5 3 3 3" xfId="2173"/>
    <cellStyle name="40% - Accent5 3 3 3 2" xfId="5060"/>
    <cellStyle name="40% - Accent5 3 3 3 2 2" xfId="11101"/>
    <cellStyle name="40% - Accent5 3 3 3 2 2 2" xfId="28148"/>
    <cellStyle name="40% - Accent5 3 3 3 2 2 2 2" xfId="57009"/>
    <cellStyle name="40% - Accent5 3 3 3 2 2 3" xfId="39962"/>
    <cellStyle name="40% - Accent5 3 3 3 2 3" xfId="22170"/>
    <cellStyle name="40% - Accent5 3 3 3 2 3 2" xfId="51031"/>
    <cellStyle name="40% - Accent5 3 3 3 2 4" xfId="33921"/>
    <cellStyle name="40% - Accent5 3 3 3 3" xfId="8215"/>
    <cellStyle name="40% - Accent5 3 3 3 3 2" xfId="25262"/>
    <cellStyle name="40% - Accent5 3 3 3 3 2 2" xfId="54123"/>
    <cellStyle name="40% - Accent5 3 3 3 3 3" xfId="37076"/>
    <cellStyle name="40% - Accent5 3 3 3 4" xfId="11928"/>
    <cellStyle name="40% - Accent5 3 3 3 4 2" xfId="19490"/>
    <cellStyle name="40% - Accent5 3 3 3 4 2 2" xfId="48351"/>
    <cellStyle name="40% - Accent5 3 3 3 4 3" xfId="40789"/>
    <cellStyle name="40% - Accent5 3 3 3 5" xfId="16810"/>
    <cellStyle name="40% - Accent5 3 3 3 5 2" xfId="45671"/>
    <cellStyle name="40% - Accent5 3 3 3 6" xfId="31035"/>
    <cellStyle name="40% - Accent5 3 3 4" xfId="3103"/>
    <cellStyle name="40% - Accent5 3 3 4 2" xfId="9144"/>
    <cellStyle name="40% - Accent5 3 3 4 2 2" xfId="26191"/>
    <cellStyle name="40% - Accent5 3 3 4 2 2 2" xfId="55052"/>
    <cellStyle name="40% - Accent5 3 3 4 2 3" xfId="38005"/>
    <cellStyle name="40% - Accent5 3 3 4 3" xfId="20213"/>
    <cellStyle name="40% - Accent5 3 3 4 3 2" xfId="49074"/>
    <cellStyle name="40% - Accent5 3 3 4 4" xfId="31964"/>
    <cellStyle name="40% - Accent5 3 3 5" xfId="6258"/>
    <cellStyle name="40% - Accent5 3 3 5 2" xfId="23305"/>
    <cellStyle name="40% - Accent5 3 3 5 2 2" xfId="52166"/>
    <cellStyle name="40% - Accent5 3 3 5 3" xfId="35119"/>
    <cellStyle name="40% - Accent5 3 3 6" xfId="13531"/>
    <cellStyle name="40% - Accent5 3 3 6 2" xfId="17636"/>
    <cellStyle name="40% - Accent5 3 3 6 2 2" xfId="46497"/>
    <cellStyle name="40% - Accent5 3 3 6 3" xfId="42392"/>
    <cellStyle name="40% - Accent5 3 3 7" xfId="14853"/>
    <cellStyle name="40% - Accent5 3 3 7 2" xfId="43714"/>
    <cellStyle name="40% - Accent5 3 3 8" xfId="29078"/>
    <cellStyle name="40% - Accent5 3 4" xfId="422"/>
    <cellStyle name="40% - Accent5 3 4 2" xfId="3309"/>
    <cellStyle name="40% - Accent5 3 4 2 2" xfId="9350"/>
    <cellStyle name="40% - Accent5 3 4 2 2 2" xfId="26397"/>
    <cellStyle name="40% - Accent5 3 4 2 2 2 2" xfId="55258"/>
    <cellStyle name="40% - Accent5 3 4 2 2 3" xfId="38211"/>
    <cellStyle name="40% - Accent5 3 4 2 3" xfId="20419"/>
    <cellStyle name="40% - Accent5 3 4 2 3 2" xfId="49280"/>
    <cellStyle name="40% - Accent5 3 4 2 4" xfId="32170"/>
    <cellStyle name="40% - Accent5 3 4 3" xfId="6464"/>
    <cellStyle name="40% - Accent5 3 4 3 2" xfId="23511"/>
    <cellStyle name="40% - Accent5 3 4 3 2 2" xfId="52372"/>
    <cellStyle name="40% - Accent5 3 4 3 3" xfId="35325"/>
    <cellStyle name="40% - Accent5 3 4 4" xfId="13898"/>
    <cellStyle name="40% - Accent5 3 4 4 2" xfId="17739"/>
    <cellStyle name="40% - Accent5 3 4 4 2 2" xfId="46600"/>
    <cellStyle name="40% - Accent5 3 4 4 3" xfId="42759"/>
    <cellStyle name="40% - Accent5 3 4 5" xfId="15059"/>
    <cellStyle name="40% - Accent5 3 4 5 2" xfId="43920"/>
    <cellStyle name="40% - Accent5 3 4 6" xfId="29284"/>
    <cellStyle name="40% - Accent5 3 5" xfId="731"/>
    <cellStyle name="40% - Accent5 3 5 2" xfId="3618"/>
    <cellStyle name="40% - Accent5 3 5 2 2" xfId="9659"/>
    <cellStyle name="40% - Accent5 3 5 2 2 2" xfId="26706"/>
    <cellStyle name="40% - Accent5 3 5 2 2 2 2" xfId="55567"/>
    <cellStyle name="40% - Accent5 3 5 2 2 3" xfId="38520"/>
    <cellStyle name="40% - Accent5 3 5 2 3" xfId="20728"/>
    <cellStyle name="40% - Accent5 3 5 2 3 2" xfId="49589"/>
    <cellStyle name="40% - Accent5 3 5 2 4" xfId="32479"/>
    <cellStyle name="40% - Accent5 3 5 3" xfId="6773"/>
    <cellStyle name="40% - Accent5 3 5 3 2" xfId="23820"/>
    <cellStyle name="40% - Accent5 3 5 3 2 2" xfId="52681"/>
    <cellStyle name="40% - Accent5 3 5 3 3" xfId="35634"/>
    <cellStyle name="40% - Accent5 3 5 4" xfId="11979"/>
    <cellStyle name="40% - Accent5 3 5 4 2" xfId="18048"/>
    <cellStyle name="40% - Accent5 3 5 4 2 2" xfId="46909"/>
    <cellStyle name="40% - Accent5 3 5 4 3" xfId="40840"/>
    <cellStyle name="40% - Accent5 3 5 5" xfId="15368"/>
    <cellStyle name="40% - Accent5 3 5 5 2" xfId="44229"/>
    <cellStyle name="40% - Accent5 3 5 6" xfId="29593"/>
    <cellStyle name="40% - Accent5 3 6" xfId="937"/>
    <cellStyle name="40% - Accent5 3 6 2" xfId="3824"/>
    <cellStyle name="40% - Accent5 3 6 2 2" xfId="9865"/>
    <cellStyle name="40% - Accent5 3 6 2 2 2" xfId="26912"/>
    <cellStyle name="40% - Accent5 3 6 2 2 2 2" xfId="55773"/>
    <cellStyle name="40% - Accent5 3 6 2 2 3" xfId="38726"/>
    <cellStyle name="40% - Accent5 3 6 2 3" xfId="20934"/>
    <cellStyle name="40% - Accent5 3 6 2 3 2" xfId="49795"/>
    <cellStyle name="40% - Accent5 3 6 2 4" xfId="32685"/>
    <cellStyle name="40% - Accent5 3 6 3" xfId="6979"/>
    <cellStyle name="40% - Accent5 3 6 3 2" xfId="24026"/>
    <cellStyle name="40% - Accent5 3 6 3 2 2" xfId="52887"/>
    <cellStyle name="40% - Accent5 3 6 3 3" xfId="35840"/>
    <cellStyle name="40% - Accent5 3 6 4" xfId="13126"/>
    <cellStyle name="40% - Accent5 3 6 4 2" xfId="18254"/>
    <cellStyle name="40% - Accent5 3 6 4 2 2" xfId="47115"/>
    <cellStyle name="40% - Accent5 3 6 4 3" xfId="41987"/>
    <cellStyle name="40% - Accent5 3 6 5" xfId="15574"/>
    <cellStyle name="40% - Accent5 3 6 5 2" xfId="44435"/>
    <cellStyle name="40% - Accent5 3 6 6" xfId="29799"/>
    <cellStyle name="40% - Accent5 3 7" xfId="1143"/>
    <cellStyle name="40% - Accent5 3 7 2" xfId="4030"/>
    <cellStyle name="40% - Accent5 3 7 2 2" xfId="10071"/>
    <cellStyle name="40% - Accent5 3 7 2 2 2" xfId="27118"/>
    <cellStyle name="40% - Accent5 3 7 2 2 2 2" xfId="55979"/>
    <cellStyle name="40% - Accent5 3 7 2 2 3" xfId="38932"/>
    <cellStyle name="40% - Accent5 3 7 2 3" xfId="21140"/>
    <cellStyle name="40% - Accent5 3 7 2 3 2" xfId="50001"/>
    <cellStyle name="40% - Accent5 3 7 2 4" xfId="32891"/>
    <cellStyle name="40% - Accent5 3 7 3" xfId="7185"/>
    <cellStyle name="40% - Accent5 3 7 3 2" xfId="24232"/>
    <cellStyle name="40% - Accent5 3 7 3 2 2" xfId="53093"/>
    <cellStyle name="40% - Accent5 3 7 3 3" xfId="36046"/>
    <cellStyle name="40% - Accent5 3 7 4" xfId="14334"/>
    <cellStyle name="40% - Accent5 3 7 4 2" xfId="18460"/>
    <cellStyle name="40% - Accent5 3 7 4 2 2" xfId="47321"/>
    <cellStyle name="40% - Accent5 3 7 4 3" xfId="43195"/>
    <cellStyle name="40% - Accent5 3 7 5" xfId="15780"/>
    <cellStyle name="40% - Accent5 3 7 5 2" xfId="44641"/>
    <cellStyle name="40% - Accent5 3 7 6" xfId="30005"/>
    <cellStyle name="40% - Accent5 3 8" xfId="1349"/>
    <cellStyle name="40% - Accent5 3 8 2" xfId="4236"/>
    <cellStyle name="40% - Accent5 3 8 2 2" xfId="10277"/>
    <cellStyle name="40% - Accent5 3 8 2 2 2" xfId="27324"/>
    <cellStyle name="40% - Accent5 3 8 2 2 2 2" xfId="56185"/>
    <cellStyle name="40% - Accent5 3 8 2 2 3" xfId="39138"/>
    <cellStyle name="40% - Accent5 3 8 2 3" xfId="21346"/>
    <cellStyle name="40% - Accent5 3 8 2 3 2" xfId="50207"/>
    <cellStyle name="40% - Accent5 3 8 2 4" xfId="33097"/>
    <cellStyle name="40% - Accent5 3 8 3" xfId="7391"/>
    <cellStyle name="40% - Accent5 3 8 3 2" xfId="24438"/>
    <cellStyle name="40% - Accent5 3 8 3 2 2" xfId="53299"/>
    <cellStyle name="40% - Accent5 3 8 3 3" xfId="36252"/>
    <cellStyle name="40% - Accent5 3 8 4" xfId="14410"/>
    <cellStyle name="40% - Accent5 3 8 4 2" xfId="18666"/>
    <cellStyle name="40% - Accent5 3 8 4 2 2" xfId="47527"/>
    <cellStyle name="40% - Accent5 3 8 4 3" xfId="43271"/>
    <cellStyle name="40% - Accent5 3 8 5" xfId="15986"/>
    <cellStyle name="40% - Accent5 3 8 5 2" xfId="44847"/>
    <cellStyle name="40% - Accent5 3 8 6" xfId="30211"/>
    <cellStyle name="40% - Accent5 3 9" xfId="1555"/>
    <cellStyle name="40% - Accent5 3 9 2" xfId="4442"/>
    <cellStyle name="40% - Accent5 3 9 2 2" xfId="10483"/>
    <cellStyle name="40% - Accent5 3 9 2 2 2" xfId="27530"/>
    <cellStyle name="40% - Accent5 3 9 2 2 2 2" xfId="56391"/>
    <cellStyle name="40% - Accent5 3 9 2 2 3" xfId="39344"/>
    <cellStyle name="40% - Accent5 3 9 2 3" xfId="21552"/>
    <cellStyle name="40% - Accent5 3 9 2 3 2" xfId="50413"/>
    <cellStyle name="40% - Accent5 3 9 2 4" xfId="33303"/>
    <cellStyle name="40% - Accent5 3 9 3" xfId="7597"/>
    <cellStyle name="40% - Accent5 3 9 3 2" xfId="24644"/>
    <cellStyle name="40% - Accent5 3 9 3 2 2" xfId="53505"/>
    <cellStyle name="40% - Accent5 3 9 3 3" xfId="36458"/>
    <cellStyle name="40% - Accent5 3 9 4" xfId="14219"/>
    <cellStyle name="40% - Accent5 3 9 4 2" xfId="18872"/>
    <cellStyle name="40% - Accent5 3 9 4 2 2" xfId="47733"/>
    <cellStyle name="40% - Accent5 3 9 4 3" xfId="43080"/>
    <cellStyle name="40% - Accent5 3 9 5" xfId="16192"/>
    <cellStyle name="40% - Accent5 3 9 5 2" xfId="45053"/>
    <cellStyle name="40% - Accent5 3 9 6" xfId="30417"/>
    <cellStyle name="40% - Accent5 4" xfId="139"/>
    <cellStyle name="40% - Accent5 4 10" xfId="1787"/>
    <cellStyle name="40% - Accent5 4 10 2" xfId="4674"/>
    <cellStyle name="40% - Accent5 4 10 2 2" xfId="10715"/>
    <cellStyle name="40% - Accent5 4 10 2 2 2" xfId="27762"/>
    <cellStyle name="40% - Accent5 4 10 2 2 2 2" xfId="56623"/>
    <cellStyle name="40% - Accent5 4 10 2 2 3" xfId="39576"/>
    <cellStyle name="40% - Accent5 4 10 2 3" xfId="21784"/>
    <cellStyle name="40% - Accent5 4 10 2 3 2" xfId="50645"/>
    <cellStyle name="40% - Accent5 4 10 2 4" xfId="33535"/>
    <cellStyle name="40% - Accent5 4 10 3" xfId="7829"/>
    <cellStyle name="40% - Accent5 4 10 3 2" xfId="24876"/>
    <cellStyle name="40% - Accent5 4 10 3 2 2" xfId="53737"/>
    <cellStyle name="40% - Accent5 4 10 3 3" xfId="36690"/>
    <cellStyle name="40% - Accent5 4 10 4" xfId="11938"/>
    <cellStyle name="40% - Accent5 4 10 4 2" xfId="19104"/>
    <cellStyle name="40% - Accent5 4 10 4 2 2" xfId="47965"/>
    <cellStyle name="40% - Accent5 4 10 4 3" xfId="40799"/>
    <cellStyle name="40% - Accent5 4 10 5" xfId="16424"/>
    <cellStyle name="40% - Accent5 4 10 5 2" xfId="45285"/>
    <cellStyle name="40% - Accent5 4 10 6" xfId="30649"/>
    <cellStyle name="40% - Accent5 4 11" xfId="1993"/>
    <cellStyle name="40% - Accent5 4 11 2" xfId="4880"/>
    <cellStyle name="40% - Accent5 4 11 2 2" xfId="10921"/>
    <cellStyle name="40% - Accent5 4 11 2 2 2" xfId="27968"/>
    <cellStyle name="40% - Accent5 4 11 2 2 2 2" xfId="56829"/>
    <cellStyle name="40% - Accent5 4 11 2 2 3" xfId="39782"/>
    <cellStyle name="40% - Accent5 4 11 2 3" xfId="21990"/>
    <cellStyle name="40% - Accent5 4 11 2 3 2" xfId="50851"/>
    <cellStyle name="40% - Accent5 4 11 2 4" xfId="33741"/>
    <cellStyle name="40% - Accent5 4 11 3" xfId="8035"/>
    <cellStyle name="40% - Accent5 4 11 3 2" xfId="25082"/>
    <cellStyle name="40% - Accent5 4 11 3 2 2" xfId="53943"/>
    <cellStyle name="40% - Accent5 4 11 3 3" xfId="36896"/>
    <cellStyle name="40% - Accent5 4 11 4" xfId="14308"/>
    <cellStyle name="40% - Accent5 4 11 4 2" xfId="19310"/>
    <cellStyle name="40% - Accent5 4 11 4 2 2" xfId="48171"/>
    <cellStyle name="40% - Accent5 4 11 4 3" xfId="43169"/>
    <cellStyle name="40% - Accent5 4 11 5" xfId="16630"/>
    <cellStyle name="40% - Accent5 4 11 5 2" xfId="45491"/>
    <cellStyle name="40% - Accent5 4 11 6" xfId="30855"/>
    <cellStyle name="40% - Accent5 4 12" xfId="2405"/>
    <cellStyle name="40% - Accent5 4 12 2" xfId="5292"/>
    <cellStyle name="40% - Accent5 4 12 2 2" xfId="11333"/>
    <cellStyle name="40% - Accent5 4 12 2 2 2" xfId="28380"/>
    <cellStyle name="40% - Accent5 4 12 2 2 2 2" xfId="57241"/>
    <cellStyle name="40% - Accent5 4 12 2 2 3" xfId="40194"/>
    <cellStyle name="40% - Accent5 4 12 2 3" xfId="22402"/>
    <cellStyle name="40% - Accent5 4 12 2 3 2" xfId="51263"/>
    <cellStyle name="40% - Accent5 4 12 2 4" xfId="34153"/>
    <cellStyle name="40% - Accent5 4 12 3" xfId="8447"/>
    <cellStyle name="40% - Accent5 4 12 3 2" xfId="25494"/>
    <cellStyle name="40% - Accent5 4 12 3 2 2" xfId="54355"/>
    <cellStyle name="40% - Accent5 4 12 3 3" xfId="37308"/>
    <cellStyle name="40% - Accent5 4 12 4" xfId="13259"/>
    <cellStyle name="40% - Accent5 4 12 4 2" xfId="19722"/>
    <cellStyle name="40% - Accent5 4 12 4 2 2" xfId="48583"/>
    <cellStyle name="40% - Accent5 4 12 4 3" xfId="42120"/>
    <cellStyle name="40% - Accent5 4 12 5" xfId="17042"/>
    <cellStyle name="40% - Accent5 4 12 5 2" xfId="45903"/>
    <cellStyle name="40% - Accent5 4 12 6" xfId="31267"/>
    <cellStyle name="40% - Accent5 4 13" xfId="2614"/>
    <cellStyle name="40% - Accent5 4 13 2" xfId="5500"/>
    <cellStyle name="40% - Accent5 4 13 2 2" xfId="11541"/>
    <cellStyle name="40% - Accent5 4 13 2 2 2" xfId="28588"/>
    <cellStyle name="40% - Accent5 4 13 2 2 2 2" xfId="57449"/>
    <cellStyle name="40% - Accent5 4 13 2 2 3" xfId="40402"/>
    <cellStyle name="40% - Accent5 4 13 2 3" xfId="22610"/>
    <cellStyle name="40% - Accent5 4 13 2 3 2" xfId="51471"/>
    <cellStyle name="40% - Accent5 4 13 2 4" xfId="34361"/>
    <cellStyle name="40% - Accent5 4 13 3" xfId="8655"/>
    <cellStyle name="40% - Accent5 4 13 3 2" xfId="25702"/>
    <cellStyle name="40% - Accent5 4 13 3 2 2" xfId="54563"/>
    <cellStyle name="40% - Accent5 4 13 3 3" xfId="37516"/>
    <cellStyle name="40% - Accent5 4 13 4" xfId="12281"/>
    <cellStyle name="40% - Accent5 4 13 4 2" xfId="19930"/>
    <cellStyle name="40% - Accent5 4 13 4 2 2" xfId="48791"/>
    <cellStyle name="40% - Accent5 4 13 4 3" xfId="41142"/>
    <cellStyle name="40% - Accent5 4 13 5" xfId="17250"/>
    <cellStyle name="40% - Accent5 4 13 5 2" xfId="46111"/>
    <cellStyle name="40% - Accent5 4 13 6" xfId="31475"/>
    <cellStyle name="40% - Accent5 4 14" xfId="3026"/>
    <cellStyle name="40% - Accent5 4 14 2" xfId="9067"/>
    <cellStyle name="40% - Accent5 4 14 2 2" xfId="26114"/>
    <cellStyle name="40% - Accent5 4 14 2 2 2" xfId="54975"/>
    <cellStyle name="40% - Accent5 4 14 2 3" xfId="37928"/>
    <cellStyle name="40% - Accent5 4 14 3" xfId="12978"/>
    <cellStyle name="40% - Accent5 4 14 3 2" xfId="20136"/>
    <cellStyle name="40% - Accent5 4 14 3 2 2" xfId="48997"/>
    <cellStyle name="40% - Accent5 4 14 3 3" xfId="41839"/>
    <cellStyle name="40% - Accent5 4 14 4" xfId="14776"/>
    <cellStyle name="40% - Accent5 4 14 4 2" xfId="43637"/>
    <cellStyle name="40% - Accent5 4 14 5" xfId="31887"/>
    <cellStyle name="40% - Accent5 4 15" xfId="2820"/>
    <cellStyle name="40% - Accent5 4 15 2" xfId="8861"/>
    <cellStyle name="40% - Accent5 4 15 2 2" xfId="25908"/>
    <cellStyle name="40% - Accent5 4 15 2 2 2" xfId="54769"/>
    <cellStyle name="40% - Accent5 4 15 2 3" xfId="37722"/>
    <cellStyle name="40% - Accent5 4 15 3" xfId="17456"/>
    <cellStyle name="40% - Accent5 4 15 3 2" xfId="46317"/>
    <cellStyle name="40% - Accent5 4 15 4" xfId="31681"/>
    <cellStyle name="40% - Accent5 4 16" xfId="5706"/>
    <cellStyle name="40% - Accent5 4 16 2" xfId="11747"/>
    <cellStyle name="40% - Accent5 4 16 2 2" xfId="28794"/>
    <cellStyle name="40% - Accent5 4 16 2 2 2" xfId="57655"/>
    <cellStyle name="40% - Accent5 4 16 2 3" xfId="40608"/>
    <cellStyle name="40% - Accent5 4 16 3" xfId="22816"/>
    <cellStyle name="40% - Accent5 4 16 3 2" xfId="51677"/>
    <cellStyle name="40% - Accent5 4 16 4" xfId="34567"/>
    <cellStyle name="40% - Accent5 4 17" xfId="5923"/>
    <cellStyle name="40% - Accent5 4 17 2" xfId="23022"/>
    <cellStyle name="40% - Accent5 4 17 2 2" xfId="51883"/>
    <cellStyle name="40% - Accent5 4 17 3" xfId="34784"/>
    <cellStyle name="40% - Accent5 4 18" xfId="6181"/>
    <cellStyle name="40% - Accent5 4 18 2" xfId="23228"/>
    <cellStyle name="40% - Accent5 4 18 2 2" xfId="52089"/>
    <cellStyle name="40% - Accent5 4 18 3" xfId="35042"/>
    <cellStyle name="40% - Accent5 4 19" xfId="14570"/>
    <cellStyle name="40% - Accent5 4 19 2" xfId="43431"/>
    <cellStyle name="40% - Accent5 4 2" xfId="345"/>
    <cellStyle name="40% - Accent5 4 2 10" xfId="2508"/>
    <cellStyle name="40% - Accent5 4 2 10 2" xfId="5395"/>
    <cellStyle name="40% - Accent5 4 2 10 2 2" xfId="11436"/>
    <cellStyle name="40% - Accent5 4 2 10 2 2 2" xfId="28483"/>
    <cellStyle name="40% - Accent5 4 2 10 2 2 2 2" xfId="57344"/>
    <cellStyle name="40% - Accent5 4 2 10 2 2 3" xfId="40297"/>
    <cellStyle name="40% - Accent5 4 2 10 2 3" xfId="22505"/>
    <cellStyle name="40% - Accent5 4 2 10 2 3 2" xfId="51366"/>
    <cellStyle name="40% - Accent5 4 2 10 2 4" xfId="34256"/>
    <cellStyle name="40% - Accent5 4 2 10 3" xfId="8550"/>
    <cellStyle name="40% - Accent5 4 2 10 3 2" xfId="25597"/>
    <cellStyle name="40% - Accent5 4 2 10 3 2 2" xfId="54458"/>
    <cellStyle name="40% - Accent5 4 2 10 3 3" xfId="37411"/>
    <cellStyle name="40% - Accent5 4 2 10 4" xfId="14013"/>
    <cellStyle name="40% - Accent5 4 2 10 4 2" xfId="19825"/>
    <cellStyle name="40% - Accent5 4 2 10 4 2 2" xfId="48686"/>
    <cellStyle name="40% - Accent5 4 2 10 4 3" xfId="42874"/>
    <cellStyle name="40% - Accent5 4 2 10 5" xfId="17145"/>
    <cellStyle name="40% - Accent5 4 2 10 5 2" xfId="46006"/>
    <cellStyle name="40% - Accent5 4 2 10 6" xfId="31370"/>
    <cellStyle name="40% - Accent5 4 2 11" xfId="2717"/>
    <cellStyle name="40% - Accent5 4 2 11 2" xfId="5603"/>
    <cellStyle name="40% - Accent5 4 2 11 2 2" xfId="11644"/>
    <cellStyle name="40% - Accent5 4 2 11 2 2 2" xfId="28691"/>
    <cellStyle name="40% - Accent5 4 2 11 2 2 2 2" xfId="57552"/>
    <cellStyle name="40% - Accent5 4 2 11 2 2 3" xfId="40505"/>
    <cellStyle name="40% - Accent5 4 2 11 2 3" xfId="22713"/>
    <cellStyle name="40% - Accent5 4 2 11 2 3 2" xfId="51574"/>
    <cellStyle name="40% - Accent5 4 2 11 2 4" xfId="34464"/>
    <cellStyle name="40% - Accent5 4 2 11 3" xfId="8758"/>
    <cellStyle name="40% - Accent5 4 2 11 3 2" xfId="25805"/>
    <cellStyle name="40% - Accent5 4 2 11 3 2 2" xfId="54666"/>
    <cellStyle name="40% - Accent5 4 2 11 3 3" xfId="37619"/>
    <cellStyle name="40% - Accent5 4 2 11 4" xfId="13961"/>
    <cellStyle name="40% - Accent5 4 2 11 4 2" xfId="20033"/>
    <cellStyle name="40% - Accent5 4 2 11 4 2 2" xfId="48894"/>
    <cellStyle name="40% - Accent5 4 2 11 4 3" xfId="42822"/>
    <cellStyle name="40% - Accent5 4 2 11 5" xfId="17353"/>
    <cellStyle name="40% - Accent5 4 2 11 5 2" xfId="46214"/>
    <cellStyle name="40% - Accent5 4 2 11 6" xfId="31578"/>
    <cellStyle name="40% - Accent5 4 2 12" xfId="3232"/>
    <cellStyle name="40% - Accent5 4 2 12 2" xfId="9273"/>
    <cellStyle name="40% - Accent5 4 2 12 2 2" xfId="26320"/>
    <cellStyle name="40% - Accent5 4 2 12 2 2 2" xfId="55181"/>
    <cellStyle name="40% - Accent5 4 2 12 2 3" xfId="38134"/>
    <cellStyle name="40% - Accent5 4 2 12 3" xfId="12092"/>
    <cellStyle name="40% - Accent5 4 2 12 3 2" xfId="20342"/>
    <cellStyle name="40% - Accent5 4 2 12 3 2 2" xfId="49203"/>
    <cellStyle name="40% - Accent5 4 2 12 3 3" xfId="40953"/>
    <cellStyle name="40% - Accent5 4 2 12 4" xfId="14982"/>
    <cellStyle name="40% - Accent5 4 2 12 4 2" xfId="43843"/>
    <cellStyle name="40% - Accent5 4 2 12 5" xfId="32093"/>
    <cellStyle name="40% - Accent5 4 2 13" xfId="2923"/>
    <cellStyle name="40% - Accent5 4 2 13 2" xfId="8964"/>
    <cellStyle name="40% - Accent5 4 2 13 2 2" xfId="26011"/>
    <cellStyle name="40% - Accent5 4 2 13 2 2 2" xfId="54872"/>
    <cellStyle name="40% - Accent5 4 2 13 2 3" xfId="37825"/>
    <cellStyle name="40% - Accent5 4 2 13 3" xfId="17559"/>
    <cellStyle name="40% - Accent5 4 2 13 3 2" xfId="46420"/>
    <cellStyle name="40% - Accent5 4 2 13 4" xfId="31784"/>
    <cellStyle name="40% - Accent5 4 2 14" xfId="5809"/>
    <cellStyle name="40% - Accent5 4 2 14 2" xfId="11850"/>
    <cellStyle name="40% - Accent5 4 2 14 2 2" xfId="28897"/>
    <cellStyle name="40% - Accent5 4 2 14 2 2 2" xfId="57758"/>
    <cellStyle name="40% - Accent5 4 2 14 2 3" xfId="40711"/>
    <cellStyle name="40% - Accent5 4 2 14 3" xfId="22919"/>
    <cellStyle name="40% - Accent5 4 2 14 3 2" xfId="51780"/>
    <cellStyle name="40% - Accent5 4 2 14 4" xfId="34670"/>
    <cellStyle name="40% - Accent5 4 2 15" xfId="6026"/>
    <cellStyle name="40% - Accent5 4 2 15 2" xfId="23125"/>
    <cellStyle name="40% - Accent5 4 2 15 2 2" xfId="51986"/>
    <cellStyle name="40% - Accent5 4 2 15 3" xfId="34887"/>
    <cellStyle name="40% - Accent5 4 2 16" xfId="6387"/>
    <cellStyle name="40% - Accent5 4 2 16 2" xfId="23434"/>
    <cellStyle name="40% - Accent5 4 2 16 2 2" xfId="52295"/>
    <cellStyle name="40% - Accent5 4 2 16 3" xfId="35248"/>
    <cellStyle name="40% - Accent5 4 2 17" xfId="14673"/>
    <cellStyle name="40% - Accent5 4 2 17 2" xfId="43534"/>
    <cellStyle name="40% - Accent5 4 2 18" xfId="29207"/>
    <cellStyle name="40% - Accent5 4 2 2" xfId="551"/>
    <cellStyle name="40% - Accent5 4 2 2 2" xfId="2302"/>
    <cellStyle name="40% - Accent5 4 2 2 2 2" xfId="5189"/>
    <cellStyle name="40% - Accent5 4 2 2 2 2 2" xfId="11230"/>
    <cellStyle name="40% - Accent5 4 2 2 2 2 2 2" xfId="28277"/>
    <cellStyle name="40% - Accent5 4 2 2 2 2 2 2 2" xfId="57138"/>
    <cellStyle name="40% - Accent5 4 2 2 2 2 2 3" xfId="40091"/>
    <cellStyle name="40% - Accent5 4 2 2 2 2 3" xfId="22299"/>
    <cellStyle name="40% - Accent5 4 2 2 2 2 3 2" xfId="51160"/>
    <cellStyle name="40% - Accent5 4 2 2 2 2 4" xfId="34050"/>
    <cellStyle name="40% - Accent5 4 2 2 2 3" xfId="8344"/>
    <cellStyle name="40% - Accent5 4 2 2 2 3 2" xfId="25391"/>
    <cellStyle name="40% - Accent5 4 2 2 2 3 2 2" xfId="54252"/>
    <cellStyle name="40% - Accent5 4 2 2 2 3 3" xfId="37205"/>
    <cellStyle name="40% - Accent5 4 2 2 2 4" xfId="13176"/>
    <cellStyle name="40% - Accent5 4 2 2 2 4 2" xfId="19619"/>
    <cellStyle name="40% - Accent5 4 2 2 2 4 2 2" xfId="48480"/>
    <cellStyle name="40% - Accent5 4 2 2 2 4 3" xfId="42037"/>
    <cellStyle name="40% - Accent5 4 2 2 2 5" xfId="16939"/>
    <cellStyle name="40% - Accent5 4 2 2 2 5 2" xfId="45800"/>
    <cellStyle name="40% - Accent5 4 2 2 2 6" xfId="31164"/>
    <cellStyle name="40% - Accent5 4 2 2 3" xfId="3438"/>
    <cellStyle name="40% - Accent5 4 2 2 3 2" xfId="9479"/>
    <cellStyle name="40% - Accent5 4 2 2 3 2 2" xfId="26526"/>
    <cellStyle name="40% - Accent5 4 2 2 3 2 2 2" xfId="55387"/>
    <cellStyle name="40% - Accent5 4 2 2 3 2 3" xfId="38340"/>
    <cellStyle name="40% - Accent5 4 2 2 3 3" xfId="20548"/>
    <cellStyle name="40% - Accent5 4 2 2 3 3 2" xfId="49409"/>
    <cellStyle name="40% - Accent5 4 2 2 3 4" xfId="32299"/>
    <cellStyle name="40% - Accent5 4 2 2 4" xfId="6593"/>
    <cellStyle name="40% - Accent5 4 2 2 4 2" xfId="23640"/>
    <cellStyle name="40% - Accent5 4 2 2 4 2 2" xfId="52501"/>
    <cellStyle name="40% - Accent5 4 2 2 4 3" xfId="35454"/>
    <cellStyle name="40% - Accent5 4 2 2 5" xfId="14395"/>
    <cellStyle name="40% - Accent5 4 2 2 5 2" xfId="17868"/>
    <cellStyle name="40% - Accent5 4 2 2 5 2 2" xfId="46729"/>
    <cellStyle name="40% - Accent5 4 2 2 5 3" xfId="43256"/>
    <cellStyle name="40% - Accent5 4 2 2 6" xfId="15188"/>
    <cellStyle name="40% - Accent5 4 2 2 6 2" xfId="44049"/>
    <cellStyle name="40% - Accent5 4 2 2 7" xfId="29413"/>
    <cellStyle name="40% - Accent5 4 2 3" xfId="860"/>
    <cellStyle name="40% - Accent5 4 2 3 2" xfId="3747"/>
    <cellStyle name="40% - Accent5 4 2 3 2 2" xfId="9788"/>
    <cellStyle name="40% - Accent5 4 2 3 2 2 2" xfId="26835"/>
    <cellStyle name="40% - Accent5 4 2 3 2 2 2 2" xfId="55696"/>
    <cellStyle name="40% - Accent5 4 2 3 2 2 3" xfId="38649"/>
    <cellStyle name="40% - Accent5 4 2 3 2 3" xfId="20857"/>
    <cellStyle name="40% - Accent5 4 2 3 2 3 2" xfId="49718"/>
    <cellStyle name="40% - Accent5 4 2 3 2 4" xfId="32608"/>
    <cellStyle name="40% - Accent5 4 2 3 3" xfId="6902"/>
    <cellStyle name="40% - Accent5 4 2 3 3 2" xfId="23949"/>
    <cellStyle name="40% - Accent5 4 2 3 3 2 2" xfId="52810"/>
    <cellStyle name="40% - Accent5 4 2 3 3 3" xfId="35763"/>
    <cellStyle name="40% - Accent5 4 2 3 4" xfId="12748"/>
    <cellStyle name="40% - Accent5 4 2 3 4 2" xfId="18177"/>
    <cellStyle name="40% - Accent5 4 2 3 4 2 2" xfId="47038"/>
    <cellStyle name="40% - Accent5 4 2 3 4 3" xfId="41609"/>
    <cellStyle name="40% - Accent5 4 2 3 5" xfId="15497"/>
    <cellStyle name="40% - Accent5 4 2 3 5 2" xfId="44358"/>
    <cellStyle name="40% - Accent5 4 2 3 6" xfId="29722"/>
    <cellStyle name="40% - Accent5 4 2 4" xfId="1066"/>
    <cellStyle name="40% - Accent5 4 2 4 2" xfId="3953"/>
    <cellStyle name="40% - Accent5 4 2 4 2 2" xfId="9994"/>
    <cellStyle name="40% - Accent5 4 2 4 2 2 2" xfId="27041"/>
    <cellStyle name="40% - Accent5 4 2 4 2 2 2 2" xfId="55902"/>
    <cellStyle name="40% - Accent5 4 2 4 2 2 3" xfId="38855"/>
    <cellStyle name="40% - Accent5 4 2 4 2 3" xfId="21063"/>
    <cellStyle name="40% - Accent5 4 2 4 2 3 2" xfId="49924"/>
    <cellStyle name="40% - Accent5 4 2 4 2 4" xfId="32814"/>
    <cellStyle name="40% - Accent5 4 2 4 3" xfId="7108"/>
    <cellStyle name="40% - Accent5 4 2 4 3 2" xfId="24155"/>
    <cellStyle name="40% - Accent5 4 2 4 3 2 2" xfId="53016"/>
    <cellStyle name="40% - Accent5 4 2 4 3 3" xfId="35969"/>
    <cellStyle name="40% - Accent5 4 2 4 4" xfId="14365"/>
    <cellStyle name="40% - Accent5 4 2 4 4 2" xfId="18383"/>
    <cellStyle name="40% - Accent5 4 2 4 4 2 2" xfId="47244"/>
    <cellStyle name="40% - Accent5 4 2 4 4 3" xfId="43226"/>
    <cellStyle name="40% - Accent5 4 2 4 5" xfId="15703"/>
    <cellStyle name="40% - Accent5 4 2 4 5 2" xfId="44564"/>
    <cellStyle name="40% - Accent5 4 2 4 6" xfId="29928"/>
    <cellStyle name="40% - Accent5 4 2 5" xfId="1272"/>
    <cellStyle name="40% - Accent5 4 2 5 2" xfId="4159"/>
    <cellStyle name="40% - Accent5 4 2 5 2 2" xfId="10200"/>
    <cellStyle name="40% - Accent5 4 2 5 2 2 2" xfId="27247"/>
    <cellStyle name="40% - Accent5 4 2 5 2 2 2 2" xfId="56108"/>
    <cellStyle name="40% - Accent5 4 2 5 2 2 3" xfId="39061"/>
    <cellStyle name="40% - Accent5 4 2 5 2 3" xfId="21269"/>
    <cellStyle name="40% - Accent5 4 2 5 2 3 2" xfId="50130"/>
    <cellStyle name="40% - Accent5 4 2 5 2 4" xfId="33020"/>
    <cellStyle name="40% - Accent5 4 2 5 3" xfId="7314"/>
    <cellStyle name="40% - Accent5 4 2 5 3 2" xfId="24361"/>
    <cellStyle name="40% - Accent5 4 2 5 3 2 2" xfId="53222"/>
    <cellStyle name="40% - Accent5 4 2 5 3 3" xfId="36175"/>
    <cellStyle name="40% - Accent5 4 2 5 4" xfId="13141"/>
    <cellStyle name="40% - Accent5 4 2 5 4 2" xfId="18589"/>
    <cellStyle name="40% - Accent5 4 2 5 4 2 2" xfId="47450"/>
    <cellStyle name="40% - Accent5 4 2 5 4 3" xfId="42002"/>
    <cellStyle name="40% - Accent5 4 2 5 5" xfId="15909"/>
    <cellStyle name="40% - Accent5 4 2 5 5 2" xfId="44770"/>
    <cellStyle name="40% - Accent5 4 2 5 6" xfId="30134"/>
    <cellStyle name="40% - Accent5 4 2 6" xfId="1478"/>
    <cellStyle name="40% - Accent5 4 2 6 2" xfId="4365"/>
    <cellStyle name="40% - Accent5 4 2 6 2 2" xfId="10406"/>
    <cellStyle name="40% - Accent5 4 2 6 2 2 2" xfId="27453"/>
    <cellStyle name="40% - Accent5 4 2 6 2 2 2 2" xfId="56314"/>
    <cellStyle name="40% - Accent5 4 2 6 2 2 3" xfId="39267"/>
    <cellStyle name="40% - Accent5 4 2 6 2 3" xfId="21475"/>
    <cellStyle name="40% - Accent5 4 2 6 2 3 2" xfId="50336"/>
    <cellStyle name="40% - Accent5 4 2 6 2 4" xfId="33226"/>
    <cellStyle name="40% - Accent5 4 2 6 3" xfId="7520"/>
    <cellStyle name="40% - Accent5 4 2 6 3 2" xfId="24567"/>
    <cellStyle name="40% - Accent5 4 2 6 3 2 2" xfId="53428"/>
    <cellStyle name="40% - Accent5 4 2 6 3 3" xfId="36381"/>
    <cellStyle name="40% - Accent5 4 2 6 4" xfId="14161"/>
    <cellStyle name="40% - Accent5 4 2 6 4 2" xfId="18795"/>
    <cellStyle name="40% - Accent5 4 2 6 4 2 2" xfId="47656"/>
    <cellStyle name="40% - Accent5 4 2 6 4 3" xfId="43022"/>
    <cellStyle name="40% - Accent5 4 2 6 5" xfId="16115"/>
    <cellStyle name="40% - Accent5 4 2 6 5 2" xfId="44976"/>
    <cellStyle name="40% - Accent5 4 2 6 6" xfId="30340"/>
    <cellStyle name="40% - Accent5 4 2 7" xfId="1684"/>
    <cellStyle name="40% - Accent5 4 2 7 2" xfId="4571"/>
    <cellStyle name="40% - Accent5 4 2 7 2 2" xfId="10612"/>
    <cellStyle name="40% - Accent5 4 2 7 2 2 2" xfId="27659"/>
    <cellStyle name="40% - Accent5 4 2 7 2 2 2 2" xfId="56520"/>
    <cellStyle name="40% - Accent5 4 2 7 2 2 3" xfId="39473"/>
    <cellStyle name="40% - Accent5 4 2 7 2 3" xfId="21681"/>
    <cellStyle name="40% - Accent5 4 2 7 2 3 2" xfId="50542"/>
    <cellStyle name="40% - Accent5 4 2 7 2 4" xfId="33432"/>
    <cellStyle name="40% - Accent5 4 2 7 3" xfId="7726"/>
    <cellStyle name="40% - Accent5 4 2 7 3 2" xfId="24773"/>
    <cellStyle name="40% - Accent5 4 2 7 3 2 2" xfId="53634"/>
    <cellStyle name="40% - Accent5 4 2 7 3 3" xfId="36587"/>
    <cellStyle name="40% - Accent5 4 2 7 4" xfId="12677"/>
    <cellStyle name="40% - Accent5 4 2 7 4 2" xfId="19001"/>
    <cellStyle name="40% - Accent5 4 2 7 4 2 2" xfId="47862"/>
    <cellStyle name="40% - Accent5 4 2 7 4 3" xfId="41538"/>
    <cellStyle name="40% - Accent5 4 2 7 5" xfId="16321"/>
    <cellStyle name="40% - Accent5 4 2 7 5 2" xfId="45182"/>
    <cellStyle name="40% - Accent5 4 2 7 6" xfId="30546"/>
    <cellStyle name="40% - Accent5 4 2 8" xfId="1890"/>
    <cellStyle name="40% - Accent5 4 2 8 2" xfId="4777"/>
    <cellStyle name="40% - Accent5 4 2 8 2 2" xfId="10818"/>
    <cellStyle name="40% - Accent5 4 2 8 2 2 2" xfId="27865"/>
    <cellStyle name="40% - Accent5 4 2 8 2 2 2 2" xfId="56726"/>
    <cellStyle name="40% - Accent5 4 2 8 2 2 3" xfId="39679"/>
    <cellStyle name="40% - Accent5 4 2 8 2 3" xfId="21887"/>
    <cellStyle name="40% - Accent5 4 2 8 2 3 2" xfId="50748"/>
    <cellStyle name="40% - Accent5 4 2 8 2 4" xfId="33638"/>
    <cellStyle name="40% - Accent5 4 2 8 3" xfId="7932"/>
    <cellStyle name="40% - Accent5 4 2 8 3 2" xfId="24979"/>
    <cellStyle name="40% - Accent5 4 2 8 3 2 2" xfId="53840"/>
    <cellStyle name="40% - Accent5 4 2 8 3 3" xfId="36793"/>
    <cellStyle name="40% - Accent5 4 2 8 4" xfId="14177"/>
    <cellStyle name="40% - Accent5 4 2 8 4 2" xfId="19207"/>
    <cellStyle name="40% - Accent5 4 2 8 4 2 2" xfId="48068"/>
    <cellStyle name="40% - Accent5 4 2 8 4 3" xfId="43038"/>
    <cellStyle name="40% - Accent5 4 2 8 5" xfId="16527"/>
    <cellStyle name="40% - Accent5 4 2 8 5 2" xfId="45388"/>
    <cellStyle name="40% - Accent5 4 2 8 6" xfId="30752"/>
    <cellStyle name="40% - Accent5 4 2 9" xfId="2096"/>
    <cellStyle name="40% - Accent5 4 2 9 2" xfId="4983"/>
    <cellStyle name="40% - Accent5 4 2 9 2 2" xfId="11024"/>
    <cellStyle name="40% - Accent5 4 2 9 2 2 2" xfId="28071"/>
    <cellStyle name="40% - Accent5 4 2 9 2 2 2 2" xfId="56932"/>
    <cellStyle name="40% - Accent5 4 2 9 2 2 3" xfId="39885"/>
    <cellStyle name="40% - Accent5 4 2 9 2 3" xfId="22093"/>
    <cellStyle name="40% - Accent5 4 2 9 2 3 2" xfId="50954"/>
    <cellStyle name="40% - Accent5 4 2 9 2 4" xfId="33844"/>
    <cellStyle name="40% - Accent5 4 2 9 3" xfId="8138"/>
    <cellStyle name="40% - Accent5 4 2 9 3 2" xfId="25185"/>
    <cellStyle name="40% - Accent5 4 2 9 3 2 2" xfId="54046"/>
    <cellStyle name="40% - Accent5 4 2 9 3 3" xfId="36999"/>
    <cellStyle name="40% - Accent5 4 2 9 4" xfId="12898"/>
    <cellStyle name="40% - Accent5 4 2 9 4 2" xfId="19413"/>
    <cellStyle name="40% - Accent5 4 2 9 4 2 2" xfId="48274"/>
    <cellStyle name="40% - Accent5 4 2 9 4 3" xfId="41759"/>
    <cellStyle name="40% - Accent5 4 2 9 5" xfId="16733"/>
    <cellStyle name="40% - Accent5 4 2 9 5 2" xfId="45594"/>
    <cellStyle name="40% - Accent5 4 2 9 6" xfId="30958"/>
    <cellStyle name="40% - Accent5 4 20" xfId="29001"/>
    <cellStyle name="40% - Accent5 4 3" xfId="242"/>
    <cellStyle name="40% - Accent5 4 3 2" xfId="654"/>
    <cellStyle name="40% - Accent5 4 3 2 2" xfId="3541"/>
    <cellStyle name="40% - Accent5 4 3 2 2 2" xfId="9582"/>
    <cellStyle name="40% - Accent5 4 3 2 2 2 2" xfId="26629"/>
    <cellStyle name="40% - Accent5 4 3 2 2 2 2 2" xfId="55490"/>
    <cellStyle name="40% - Accent5 4 3 2 2 2 3" xfId="38443"/>
    <cellStyle name="40% - Accent5 4 3 2 2 3" xfId="20651"/>
    <cellStyle name="40% - Accent5 4 3 2 2 3 2" xfId="49512"/>
    <cellStyle name="40% - Accent5 4 3 2 2 4" xfId="32402"/>
    <cellStyle name="40% - Accent5 4 3 2 3" xfId="6696"/>
    <cellStyle name="40% - Accent5 4 3 2 3 2" xfId="23743"/>
    <cellStyle name="40% - Accent5 4 3 2 3 2 2" xfId="52604"/>
    <cellStyle name="40% - Accent5 4 3 2 3 3" xfId="35557"/>
    <cellStyle name="40% - Accent5 4 3 2 4" xfId="12197"/>
    <cellStyle name="40% - Accent5 4 3 2 4 2" xfId="17971"/>
    <cellStyle name="40% - Accent5 4 3 2 4 2 2" xfId="46832"/>
    <cellStyle name="40% - Accent5 4 3 2 4 3" xfId="41058"/>
    <cellStyle name="40% - Accent5 4 3 2 5" xfId="15291"/>
    <cellStyle name="40% - Accent5 4 3 2 5 2" xfId="44152"/>
    <cellStyle name="40% - Accent5 4 3 2 6" xfId="29516"/>
    <cellStyle name="40% - Accent5 4 3 3" xfId="2199"/>
    <cellStyle name="40% - Accent5 4 3 3 2" xfId="5086"/>
    <cellStyle name="40% - Accent5 4 3 3 2 2" xfId="11127"/>
    <cellStyle name="40% - Accent5 4 3 3 2 2 2" xfId="28174"/>
    <cellStyle name="40% - Accent5 4 3 3 2 2 2 2" xfId="57035"/>
    <cellStyle name="40% - Accent5 4 3 3 2 2 3" xfId="39988"/>
    <cellStyle name="40% - Accent5 4 3 3 2 3" xfId="22196"/>
    <cellStyle name="40% - Accent5 4 3 3 2 3 2" xfId="51057"/>
    <cellStyle name="40% - Accent5 4 3 3 2 4" xfId="33947"/>
    <cellStyle name="40% - Accent5 4 3 3 3" xfId="8241"/>
    <cellStyle name="40% - Accent5 4 3 3 3 2" xfId="25288"/>
    <cellStyle name="40% - Accent5 4 3 3 3 2 2" xfId="54149"/>
    <cellStyle name="40% - Accent5 4 3 3 3 3" xfId="37102"/>
    <cellStyle name="40% - Accent5 4 3 3 4" xfId="12735"/>
    <cellStyle name="40% - Accent5 4 3 3 4 2" xfId="19516"/>
    <cellStyle name="40% - Accent5 4 3 3 4 2 2" xfId="48377"/>
    <cellStyle name="40% - Accent5 4 3 3 4 3" xfId="41596"/>
    <cellStyle name="40% - Accent5 4 3 3 5" xfId="16836"/>
    <cellStyle name="40% - Accent5 4 3 3 5 2" xfId="45697"/>
    <cellStyle name="40% - Accent5 4 3 3 6" xfId="31061"/>
    <cellStyle name="40% - Accent5 4 3 4" xfId="3129"/>
    <cellStyle name="40% - Accent5 4 3 4 2" xfId="9170"/>
    <cellStyle name="40% - Accent5 4 3 4 2 2" xfId="26217"/>
    <cellStyle name="40% - Accent5 4 3 4 2 2 2" xfId="55078"/>
    <cellStyle name="40% - Accent5 4 3 4 2 3" xfId="38031"/>
    <cellStyle name="40% - Accent5 4 3 4 3" xfId="20239"/>
    <cellStyle name="40% - Accent5 4 3 4 3 2" xfId="49100"/>
    <cellStyle name="40% - Accent5 4 3 4 4" xfId="31990"/>
    <cellStyle name="40% - Accent5 4 3 5" xfId="6284"/>
    <cellStyle name="40% - Accent5 4 3 5 2" xfId="23331"/>
    <cellStyle name="40% - Accent5 4 3 5 2 2" xfId="52192"/>
    <cellStyle name="40% - Accent5 4 3 5 3" xfId="35145"/>
    <cellStyle name="40% - Accent5 4 3 6" xfId="6075"/>
    <cellStyle name="40% - Accent5 4 3 6 2" xfId="17662"/>
    <cellStyle name="40% - Accent5 4 3 6 2 2" xfId="46523"/>
    <cellStyle name="40% - Accent5 4 3 6 3" xfId="34936"/>
    <cellStyle name="40% - Accent5 4 3 7" xfId="14879"/>
    <cellStyle name="40% - Accent5 4 3 7 2" xfId="43740"/>
    <cellStyle name="40% - Accent5 4 3 8" xfId="29104"/>
    <cellStyle name="40% - Accent5 4 4" xfId="448"/>
    <cellStyle name="40% - Accent5 4 4 2" xfId="3335"/>
    <cellStyle name="40% - Accent5 4 4 2 2" xfId="9376"/>
    <cellStyle name="40% - Accent5 4 4 2 2 2" xfId="26423"/>
    <cellStyle name="40% - Accent5 4 4 2 2 2 2" xfId="55284"/>
    <cellStyle name="40% - Accent5 4 4 2 2 3" xfId="38237"/>
    <cellStyle name="40% - Accent5 4 4 2 3" xfId="20445"/>
    <cellStyle name="40% - Accent5 4 4 2 3 2" xfId="49306"/>
    <cellStyle name="40% - Accent5 4 4 2 4" xfId="32196"/>
    <cellStyle name="40% - Accent5 4 4 3" xfId="6490"/>
    <cellStyle name="40% - Accent5 4 4 3 2" xfId="23537"/>
    <cellStyle name="40% - Accent5 4 4 3 2 2" xfId="52398"/>
    <cellStyle name="40% - Accent5 4 4 3 3" xfId="35351"/>
    <cellStyle name="40% - Accent5 4 4 4" xfId="13197"/>
    <cellStyle name="40% - Accent5 4 4 4 2" xfId="17765"/>
    <cellStyle name="40% - Accent5 4 4 4 2 2" xfId="46626"/>
    <cellStyle name="40% - Accent5 4 4 4 3" xfId="42058"/>
    <cellStyle name="40% - Accent5 4 4 5" xfId="15085"/>
    <cellStyle name="40% - Accent5 4 4 5 2" xfId="43946"/>
    <cellStyle name="40% - Accent5 4 4 6" xfId="29310"/>
    <cellStyle name="40% - Accent5 4 5" xfId="757"/>
    <cellStyle name="40% - Accent5 4 5 2" xfId="3644"/>
    <cellStyle name="40% - Accent5 4 5 2 2" xfId="9685"/>
    <cellStyle name="40% - Accent5 4 5 2 2 2" xfId="26732"/>
    <cellStyle name="40% - Accent5 4 5 2 2 2 2" xfId="55593"/>
    <cellStyle name="40% - Accent5 4 5 2 2 3" xfId="38546"/>
    <cellStyle name="40% - Accent5 4 5 2 3" xfId="20754"/>
    <cellStyle name="40% - Accent5 4 5 2 3 2" xfId="49615"/>
    <cellStyle name="40% - Accent5 4 5 2 4" xfId="32505"/>
    <cellStyle name="40% - Accent5 4 5 3" xfId="6799"/>
    <cellStyle name="40% - Accent5 4 5 3 2" xfId="23846"/>
    <cellStyle name="40% - Accent5 4 5 3 2 2" xfId="52707"/>
    <cellStyle name="40% - Accent5 4 5 3 3" xfId="35660"/>
    <cellStyle name="40% - Accent5 4 5 4" xfId="6052"/>
    <cellStyle name="40% - Accent5 4 5 4 2" xfId="18074"/>
    <cellStyle name="40% - Accent5 4 5 4 2 2" xfId="46935"/>
    <cellStyle name="40% - Accent5 4 5 4 3" xfId="34913"/>
    <cellStyle name="40% - Accent5 4 5 5" xfId="15394"/>
    <cellStyle name="40% - Accent5 4 5 5 2" xfId="44255"/>
    <cellStyle name="40% - Accent5 4 5 6" xfId="29619"/>
    <cellStyle name="40% - Accent5 4 6" xfId="963"/>
    <cellStyle name="40% - Accent5 4 6 2" xfId="3850"/>
    <cellStyle name="40% - Accent5 4 6 2 2" xfId="9891"/>
    <cellStyle name="40% - Accent5 4 6 2 2 2" xfId="26938"/>
    <cellStyle name="40% - Accent5 4 6 2 2 2 2" xfId="55799"/>
    <cellStyle name="40% - Accent5 4 6 2 2 3" xfId="38752"/>
    <cellStyle name="40% - Accent5 4 6 2 3" xfId="20960"/>
    <cellStyle name="40% - Accent5 4 6 2 3 2" xfId="49821"/>
    <cellStyle name="40% - Accent5 4 6 2 4" xfId="32711"/>
    <cellStyle name="40% - Accent5 4 6 3" xfId="7005"/>
    <cellStyle name="40% - Accent5 4 6 3 2" xfId="24052"/>
    <cellStyle name="40% - Accent5 4 6 3 2 2" xfId="52913"/>
    <cellStyle name="40% - Accent5 4 6 3 3" xfId="35866"/>
    <cellStyle name="40% - Accent5 4 6 4" xfId="13283"/>
    <cellStyle name="40% - Accent5 4 6 4 2" xfId="18280"/>
    <cellStyle name="40% - Accent5 4 6 4 2 2" xfId="47141"/>
    <cellStyle name="40% - Accent5 4 6 4 3" xfId="42144"/>
    <cellStyle name="40% - Accent5 4 6 5" xfId="15600"/>
    <cellStyle name="40% - Accent5 4 6 5 2" xfId="44461"/>
    <cellStyle name="40% - Accent5 4 6 6" xfId="29825"/>
    <cellStyle name="40% - Accent5 4 7" xfId="1169"/>
    <cellStyle name="40% - Accent5 4 7 2" xfId="4056"/>
    <cellStyle name="40% - Accent5 4 7 2 2" xfId="10097"/>
    <cellStyle name="40% - Accent5 4 7 2 2 2" xfId="27144"/>
    <cellStyle name="40% - Accent5 4 7 2 2 2 2" xfId="56005"/>
    <cellStyle name="40% - Accent5 4 7 2 2 3" xfId="38958"/>
    <cellStyle name="40% - Accent5 4 7 2 3" xfId="21166"/>
    <cellStyle name="40% - Accent5 4 7 2 3 2" xfId="50027"/>
    <cellStyle name="40% - Accent5 4 7 2 4" xfId="32917"/>
    <cellStyle name="40% - Accent5 4 7 3" xfId="7211"/>
    <cellStyle name="40% - Accent5 4 7 3 2" xfId="24258"/>
    <cellStyle name="40% - Accent5 4 7 3 2 2" xfId="53119"/>
    <cellStyle name="40% - Accent5 4 7 3 3" xfId="36072"/>
    <cellStyle name="40% - Accent5 4 7 4" xfId="13852"/>
    <cellStyle name="40% - Accent5 4 7 4 2" xfId="18486"/>
    <cellStyle name="40% - Accent5 4 7 4 2 2" xfId="47347"/>
    <cellStyle name="40% - Accent5 4 7 4 3" xfId="42713"/>
    <cellStyle name="40% - Accent5 4 7 5" xfId="15806"/>
    <cellStyle name="40% - Accent5 4 7 5 2" xfId="44667"/>
    <cellStyle name="40% - Accent5 4 7 6" xfId="30031"/>
    <cellStyle name="40% - Accent5 4 8" xfId="1375"/>
    <cellStyle name="40% - Accent5 4 8 2" xfId="4262"/>
    <cellStyle name="40% - Accent5 4 8 2 2" xfId="10303"/>
    <cellStyle name="40% - Accent5 4 8 2 2 2" xfId="27350"/>
    <cellStyle name="40% - Accent5 4 8 2 2 2 2" xfId="56211"/>
    <cellStyle name="40% - Accent5 4 8 2 2 3" xfId="39164"/>
    <cellStyle name="40% - Accent5 4 8 2 3" xfId="21372"/>
    <cellStyle name="40% - Accent5 4 8 2 3 2" xfId="50233"/>
    <cellStyle name="40% - Accent5 4 8 2 4" xfId="33123"/>
    <cellStyle name="40% - Accent5 4 8 3" xfId="7417"/>
    <cellStyle name="40% - Accent5 4 8 3 2" xfId="24464"/>
    <cellStyle name="40% - Accent5 4 8 3 2 2" xfId="53325"/>
    <cellStyle name="40% - Accent5 4 8 3 3" xfId="36278"/>
    <cellStyle name="40% - Accent5 4 8 4" xfId="13363"/>
    <cellStyle name="40% - Accent5 4 8 4 2" xfId="18692"/>
    <cellStyle name="40% - Accent5 4 8 4 2 2" xfId="47553"/>
    <cellStyle name="40% - Accent5 4 8 4 3" xfId="42224"/>
    <cellStyle name="40% - Accent5 4 8 5" xfId="16012"/>
    <cellStyle name="40% - Accent5 4 8 5 2" xfId="44873"/>
    <cellStyle name="40% - Accent5 4 8 6" xfId="30237"/>
    <cellStyle name="40% - Accent5 4 9" xfId="1581"/>
    <cellStyle name="40% - Accent5 4 9 2" xfId="4468"/>
    <cellStyle name="40% - Accent5 4 9 2 2" xfId="10509"/>
    <cellStyle name="40% - Accent5 4 9 2 2 2" xfId="27556"/>
    <cellStyle name="40% - Accent5 4 9 2 2 2 2" xfId="56417"/>
    <cellStyle name="40% - Accent5 4 9 2 2 3" xfId="39370"/>
    <cellStyle name="40% - Accent5 4 9 2 3" xfId="21578"/>
    <cellStyle name="40% - Accent5 4 9 2 3 2" xfId="50439"/>
    <cellStyle name="40% - Accent5 4 9 2 4" xfId="33329"/>
    <cellStyle name="40% - Accent5 4 9 3" xfId="7623"/>
    <cellStyle name="40% - Accent5 4 9 3 2" xfId="24670"/>
    <cellStyle name="40% - Accent5 4 9 3 2 2" xfId="53531"/>
    <cellStyle name="40% - Accent5 4 9 3 3" xfId="36484"/>
    <cellStyle name="40% - Accent5 4 9 4" xfId="12451"/>
    <cellStyle name="40% - Accent5 4 9 4 2" xfId="18898"/>
    <cellStyle name="40% - Accent5 4 9 4 2 2" xfId="47759"/>
    <cellStyle name="40% - Accent5 4 9 4 3" xfId="41312"/>
    <cellStyle name="40% - Accent5 4 9 5" xfId="16218"/>
    <cellStyle name="40% - Accent5 4 9 5 2" xfId="45079"/>
    <cellStyle name="40% - Accent5 4 9 6" xfId="30443"/>
    <cellStyle name="40% - Accent5 5" xfId="292"/>
    <cellStyle name="40% - Accent5 5 10" xfId="2455"/>
    <cellStyle name="40% - Accent5 5 10 2" xfId="5342"/>
    <cellStyle name="40% - Accent5 5 10 2 2" xfId="11383"/>
    <cellStyle name="40% - Accent5 5 10 2 2 2" xfId="28430"/>
    <cellStyle name="40% - Accent5 5 10 2 2 2 2" xfId="57291"/>
    <cellStyle name="40% - Accent5 5 10 2 2 3" xfId="40244"/>
    <cellStyle name="40% - Accent5 5 10 2 3" xfId="22452"/>
    <cellStyle name="40% - Accent5 5 10 2 3 2" xfId="51313"/>
    <cellStyle name="40% - Accent5 5 10 2 4" xfId="34203"/>
    <cellStyle name="40% - Accent5 5 10 3" xfId="8497"/>
    <cellStyle name="40% - Accent5 5 10 3 2" xfId="25544"/>
    <cellStyle name="40% - Accent5 5 10 3 2 2" xfId="54405"/>
    <cellStyle name="40% - Accent5 5 10 3 3" xfId="37358"/>
    <cellStyle name="40% - Accent5 5 10 4" xfId="13995"/>
    <cellStyle name="40% - Accent5 5 10 4 2" xfId="19772"/>
    <cellStyle name="40% - Accent5 5 10 4 2 2" xfId="48633"/>
    <cellStyle name="40% - Accent5 5 10 4 3" xfId="42856"/>
    <cellStyle name="40% - Accent5 5 10 5" xfId="17092"/>
    <cellStyle name="40% - Accent5 5 10 5 2" xfId="45953"/>
    <cellStyle name="40% - Accent5 5 10 6" xfId="31317"/>
    <cellStyle name="40% - Accent5 5 11" xfId="2664"/>
    <cellStyle name="40% - Accent5 5 11 2" xfId="5550"/>
    <cellStyle name="40% - Accent5 5 11 2 2" xfId="11591"/>
    <cellStyle name="40% - Accent5 5 11 2 2 2" xfId="28638"/>
    <cellStyle name="40% - Accent5 5 11 2 2 2 2" xfId="57499"/>
    <cellStyle name="40% - Accent5 5 11 2 2 3" xfId="40452"/>
    <cellStyle name="40% - Accent5 5 11 2 3" xfId="22660"/>
    <cellStyle name="40% - Accent5 5 11 2 3 2" xfId="51521"/>
    <cellStyle name="40% - Accent5 5 11 2 4" xfId="34411"/>
    <cellStyle name="40% - Accent5 5 11 3" xfId="8705"/>
    <cellStyle name="40% - Accent5 5 11 3 2" xfId="25752"/>
    <cellStyle name="40% - Accent5 5 11 3 2 2" xfId="54613"/>
    <cellStyle name="40% - Accent5 5 11 3 3" xfId="37566"/>
    <cellStyle name="40% - Accent5 5 11 4" xfId="13729"/>
    <cellStyle name="40% - Accent5 5 11 4 2" xfId="19980"/>
    <cellStyle name="40% - Accent5 5 11 4 2 2" xfId="48841"/>
    <cellStyle name="40% - Accent5 5 11 4 3" xfId="42590"/>
    <cellStyle name="40% - Accent5 5 11 5" xfId="17300"/>
    <cellStyle name="40% - Accent5 5 11 5 2" xfId="46161"/>
    <cellStyle name="40% - Accent5 5 11 6" xfId="31525"/>
    <cellStyle name="40% - Accent5 5 12" xfId="3179"/>
    <cellStyle name="40% - Accent5 5 12 2" xfId="9220"/>
    <cellStyle name="40% - Accent5 5 12 2 2" xfId="26267"/>
    <cellStyle name="40% - Accent5 5 12 2 2 2" xfId="55128"/>
    <cellStyle name="40% - Accent5 5 12 2 3" xfId="38081"/>
    <cellStyle name="40% - Accent5 5 12 3" xfId="13611"/>
    <cellStyle name="40% - Accent5 5 12 3 2" xfId="20289"/>
    <cellStyle name="40% - Accent5 5 12 3 2 2" xfId="49150"/>
    <cellStyle name="40% - Accent5 5 12 3 3" xfId="42472"/>
    <cellStyle name="40% - Accent5 5 12 4" xfId="14929"/>
    <cellStyle name="40% - Accent5 5 12 4 2" xfId="43790"/>
    <cellStyle name="40% - Accent5 5 12 5" xfId="32040"/>
    <cellStyle name="40% - Accent5 5 13" xfId="2870"/>
    <cellStyle name="40% - Accent5 5 13 2" xfId="8911"/>
    <cellStyle name="40% - Accent5 5 13 2 2" xfId="25958"/>
    <cellStyle name="40% - Accent5 5 13 2 2 2" xfId="54819"/>
    <cellStyle name="40% - Accent5 5 13 2 3" xfId="37772"/>
    <cellStyle name="40% - Accent5 5 13 3" xfId="17506"/>
    <cellStyle name="40% - Accent5 5 13 3 2" xfId="46367"/>
    <cellStyle name="40% - Accent5 5 13 4" xfId="31731"/>
    <cellStyle name="40% - Accent5 5 14" xfId="5756"/>
    <cellStyle name="40% - Accent5 5 14 2" xfId="11797"/>
    <cellStyle name="40% - Accent5 5 14 2 2" xfId="28844"/>
    <cellStyle name="40% - Accent5 5 14 2 2 2" xfId="57705"/>
    <cellStyle name="40% - Accent5 5 14 2 3" xfId="40658"/>
    <cellStyle name="40% - Accent5 5 14 3" xfId="22866"/>
    <cellStyle name="40% - Accent5 5 14 3 2" xfId="51727"/>
    <cellStyle name="40% - Accent5 5 14 4" xfId="34617"/>
    <cellStyle name="40% - Accent5 5 15" xfId="5973"/>
    <cellStyle name="40% - Accent5 5 15 2" xfId="23072"/>
    <cellStyle name="40% - Accent5 5 15 2 2" xfId="51933"/>
    <cellStyle name="40% - Accent5 5 15 3" xfId="34834"/>
    <cellStyle name="40% - Accent5 5 16" xfId="6334"/>
    <cellStyle name="40% - Accent5 5 16 2" xfId="23381"/>
    <cellStyle name="40% - Accent5 5 16 2 2" xfId="52242"/>
    <cellStyle name="40% - Accent5 5 16 3" xfId="35195"/>
    <cellStyle name="40% - Accent5 5 17" xfId="14620"/>
    <cellStyle name="40% - Accent5 5 17 2" xfId="43481"/>
    <cellStyle name="40% - Accent5 5 18" xfId="29154"/>
    <cellStyle name="40% - Accent5 5 2" xfId="498"/>
    <cellStyle name="40% - Accent5 5 2 2" xfId="2249"/>
    <cellStyle name="40% - Accent5 5 2 2 2" xfId="5136"/>
    <cellStyle name="40% - Accent5 5 2 2 2 2" xfId="11177"/>
    <cellStyle name="40% - Accent5 5 2 2 2 2 2" xfId="28224"/>
    <cellStyle name="40% - Accent5 5 2 2 2 2 2 2" xfId="57085"/>
    <cellStyle name="40% - Accent5 5 2 2 2 2 3" xfId="40038"/>
    <cellStyle name="40% - Accent5 5 2 2 2 3" xfId="22246"/>
    <cellStyle name="40% - Accent5 5 2 2 2 3 2" xfId="51107"/>
    <cellStyle name="40% - Accent5 5 2 2 2 4" xfId="33997"/>
    <cellStyle name="40% - Accent5 5 2 2 3" xfId="8291"/>
    <cellStyle name="40% - Accent5 5 2 2 3 2" xfId="25338"/>
    <cellStyle name="40% - Accent5 5 2 2 3 2 2" xfId="54199"/>
    <cellStyle name="40% - Accent5 5 2 2 3 3" xfId="37152"/>
    <cellStyle name="40% - Accent5 5 2 2 4" xfId="13046"/>
    <cellStyle name="40% - Accent5 5 2 2 4 2" xfId="19566"/>
    <cellStyle name="40% - Accent5 5 2 2 4 2 2" xfId="48427"/>
    <cellStyle name="40% - Accent5 5 2 2 4 3" xfId="41907"/>
    <cellStyle name="40% - Accent5 5 2 2 5" xfId="16886"/>
    <cellStyle name="40% - Accent5 5 2 2 5 2" xfId="45747"/>
    <cellStyle name="40% - Accent5 5 2 2 6" xfId="31111"/>
    <cellStyle name="40% - Accent5 5 2 3" xfId="3385"/>
    <cellStyle name="40% - Accent5 5 2 3 2" xfId="9426"/>
    <cellStyle name="40% - Accent5 5 2 3 2 2" xfId="26473"/>
    <cellStyle name="40% - Accent5 5 2 3 2 2 2" xfId="55334"/>
    <cellStyle name="40% - Accent5 5 2 3 2 3" xfId="38287"/>
    <cellStyle name="40% - Accent5 5 2 3 3" xfId="20495"/>
    <cellStyle name="40% - Accent5 5 2 3 3 2" xfId="49356"/>
    <cellStyle name="40% - Accent5 5 2 3 4" xfId="32246"/>
    <cellStyle name="40% - Accent5 5 2 4" xfId="6540"/>
    <cellStyle name="40% - Accent5 5 2 4 2" xfId="23587"/>
    <cellStyle name="40% - Accent5 5 2 4 2 2" xfId="52448"/>
    <cellStyle name="40% - Accent5 5 2 4 3" xfId="35401"/>
    <cellStyle name="40% - Accent5 5 2 5" xfId="12183"/>
    <cellStyle name="40% - Accent5 5 2 5 2" xfId="17815"/>
    <cellStyle name="40% - Accent5 5 2 5 2 2" xfId="46676"/>
    <cellStyle name="40% - Accent5 5 2 5 3" xfId="41044"/>
    <cellStyle name="40% - Accent5 5 2 6" xfId="15135"/>
    <cellStyle name="40% - Accent5 5 2 6 2" xfId="43996"/>
    <cellStyle name="40% - Accent5 5 2 7" xfId="29360"/>
    <cellStyle name="40% - Accent5 5 3" xfId="807"/>
    <cellStyle name="40% - Accent5 5 3 2" xfId="3694"/>
    <cellStyle name="40% - Accent5 5 3 2 2" xfId="9735"/>
    <cellStyle name="40% - Accent5 5 3 2 2 2" xfId="26782"/>
    <cellStyle name="40% - Accent5 5 3 2 2 2 2" xfId="55643"/>
    <cellStyle name="40% - Accent5 5 3 2 2 3" xfId="38596"/>
    <cellStyle name="40% - Accent5 5 3 2 3" xfId="20804"/>
    <cellStyle name="40% - Accent5 5 3 2 3 2" xfId="49665"/>
    <cellStyle name="40% - Accent5 5 3 2 4" xfId="32555"/>
    <cellStyle name="40% - Accent5 5 3 3" xfId="6849"/>
    <cellStyle name="40% - Accent5 5 3 3 2" xfId="23896"/>
    <cellStyle name="40% - Accent5 5 3 3 2 2" xfId="52757"/>
    <cellStyle name="40% - Accent5 5 3 3 3" xfId="35710"/>
    <cellStyle name="40% - Accent5 5 3 4" xfId="13893"/>
    <cellStyle name="40% - Accent5 5 3 4 2" xfId="18124"/>
    <cellStyle name="40% - Accent5 5 3 4 2 2" xfId="46985"/>
    <cellStyle name="40% - Accent5 5 3 4 3" xfId="42754"/>
    <cellStyle name="40% - Accent5 5 3 5" xfId="15444"/>
    <cellStyle name="40% - Accent5 5 3 5 2" xfId="44305"/>
    <cellStyle name="40% - Accent5 5 3 6" xfId="29669"/>
    <cellStyle name="40% - Accent5 5 4" xfId="1013"/>
    <cellStyle name="40% - Accent5 5 4 2" xfId="3900"/>
    <cellStyle name="40% - Accent5 5 4 2 2" xfId="9941"/>
    <cellStyle name="40% - Accent5 5 4 2 2 2" xfId="26988"/>
    <cellStyle name="40% - Accent5 5 4 2 2 2 2" xfId="55849"/>
    <cellStyle name="40% - Accent5 5 4 2 2 3" xfId="38802"/>
    <cellStyle name="40% - Accent5 5 4 2 3" xfId="21010"/>
    <cellStyle name="40% - Accent5 5 4 2 3 2" xfId="49871"/>
    <cellStyle name="40% - Accent5 5 4 2 4" xfId="32761"/>
    <cellStyle name="40% - Accent5 5 4 3" xfId="7055"/>
    <cellStyle name="40% - Accent5 5 4 3 2" xfId="24102"/>
    <cellStyle name="40% - Accent5 5 4 3 2 2" xfId="52963"/>
    <cellStyle name="40% - Accent5 5 4 3 3" xfId="35916"/>
    <cellStyle name="40% - Accent5 5 4 4" xfId="13233"/>
    <cellStyle name="40% - Accent5 5 4 4 2" xfId="18330"/>
    <cellStyle name="40% - Accent5 5 4 4 2 2" xfId="47191"/>
    <cellStyle name="40% - Accent5 5 4 4 3" xfId="42094"/>
    <cellStyle name="40% - Accent5 5 4 5" xfId="15650"/>
    <cellStyle name="40% - Accent5 5 4 5 2" xfId="44511"/>
    <cellStyle name="40% - Accent5 5 4 6" xfId="29875"/>
    <cellStyle name="40% - Accent5 5 5" xfId="1219"/>
    <cellStyle name="40% - Accent5 5 5 2" xfId="4106"/>
    <cellStyle name="40% - Accent5 5 5 2 2" xfId="10147"/>
    <cellStyle name="40% - Accent5 5 5 2 2 2" xfId="27194"/>
    <cellStyle name="40% - Accent5 5 5 2 2 2 2" xfId="56055"/>
    <cellStyle name="40% - Accent5 5 5 2 2 3" xfId="39008"/>
    <cellStyle name="40% - Accent5 5 5 2 3" xfId="21216"/>
    <cellStyle name="40% - Accent5 5 5 2 3 2" xfId="50077"/>
    <cellStyle name="40% - Accent5 5 5 2 4" xfId="32967"/>
    <cellStyle name="40% - Accent5 5 5 3" xfId="7261"/>
    <cellStyle name="40% - Accent5 5 5 3 2" xfId="24308"/>
    <cellStyle name="40% - Accent5 5 5 3 2 2" xfId="53169"/>
    <cellStyle name="40% - Accent5 5 5 3 3" xfId="36122"/>
    <cellStyle name="40% - Accent5 5 5 4" xfId="13227"/>
    <cellStyle name="40% - Accent5 5 5 4 2" xfId="18536"/>
    <cellStyle name="40% - Accent5 5 5 4 2 2" xfId="47397"/>
    <cellStyle name="40% - Accent5 5 5 4 3" xfId="42088"/>
    <cellStyle name="40% - Accent5 5 5 5" xfId="15856"/>
    <cellStyle name="40% - Accent5 5 5 5 2" xfId="44717"/>
    <cellStyle name="40% - Accent5 5 5 6" xfId="30081"/>
    <cellStyle name="40% - Accent5 5 6" xfId="1425"/>
    <cellStyle name="40% - Accent5 5 6 2" xfId="4312"/>
    <cellStyle name="40% - Accent5 5 6 2 2" xfId="10353"/>
    <cellStyle name="40% - Accent5 5 6 2 2 2" xfId="27400"/>
    <cellStyle name="40% - Accent5 5 6 2 2 2 2" xfId="56261"/>
    <cellStyle name="40% - Accent5 5 6 2 2 3" xfId="39214"/>
    <cellStyle name="40% - Accent5 5 6 2 3" xfId="21422"/>
    <cellStyle name="40% - Accent5 5 6 2 3 2" xfId="50283"/>
    <cellStyle name="40% - Accent5 5 6 2 4" xfId="33173"/>
    <cellStyle name="40% - Accent5 5 6 3" xfId="7467"/>
    <cellStyle name="40% - Accent5 5 6 3 2" xfId="24514"/>
    <cellStyle name="40% - Accent5 5 6 3 2 2" xfId="53375"/>
    <cellStyle name="40% - Accent5 5 6 3 3" xfId="36328"/>
    <cellStyle name="40% - Accent5 5 6 4" xfId="14057"/>
    <cellStyle name="40% - Accent5 5 6 4 2" xfId="18742"/>
    <cellStyle name="40% - Accent5 5 6 4 2 2" xfId="47603"/>
    <cellStyle name="40% - Accent5 5 6 4 3" xfId="42918"/>
    <cellStyle name="40% - Accent5 5 6 5" xfId="16062"/>
    <cellStyle name="40% - Accent5 5 6 5 2" xfId="44923"/>
    <cellStyle name="40% - Accent5 5 6 6" xfId="30287"/>
    <cellStyle name="40% - Accent5 5 7" xfId="1631"/>
    <cellStyle name="40% - Accent5 5 7 2" xfId="4518"/>
    <cellStyle name="40% - Accent5 5 7 2 2" xfId="10559"/>
    <cellStyle name="40% - Accent5 5 7 2 2 2" xfId="27606"/>
    <cellStyle name="40% - Accent5 5 7 2 2 2 2" xfId="56467"/>
    <cellStyle name="40% - Accent5 5 7 2 2 3" xfId="39420"/>
    <cellStyle name="40% - Accent5 5 7 2 3" xfId="21628"/>
    <cellStyle name="40% - Accent5 5 7 2 3 2" xfId="50489"/>
    <cellStyle name="40% - Accent5 5 7 2 4" xfId="33379"/>
    <cellStyle name="40% - Accent5 5 7 3" xfId="7673"/>
    <cellStyle name="40% - Accent5 5 7 3 2" xfId="24720"/>
    <cellStyle name="40% - Accent5 5 7 3 2 2" xfId="53581"/>
    <cellStyle name="40% - Accent5 5 7 3 3" xfId="36534"/>
    <cellStyle name="40% - Accent5 5 7 4" xfId="11998"/>
    <cellStyle name="40% - Accent5 5 7 4 2" xfId="18948"/>
    <cellStyle name="40% - Accent5 5 7 4 2 2" xfId="47809"/>
    <cellStyle name="40% - Accent5 5 7 4 3" xfId="40859"/>
    <cellStyle name="40% - Accent5 5 7 5" xfId="16268"/>
    <cellStyle name="40% - Accent5 5 7 5 2" xfId="45129"/>
    <cellStyle name="40% - Accent5 5 7 6" xfId="30493"/>
    <cellStyle name="40% - Accent5 5 8" xfId="1837"/>
    <cellStyle name="40% - Accent5 5 8 2" xfId="4724"/>
    <cellStyle name="40% - Accent5 5 8 2 2" xfId="10765"/>
    <cellStyle name="40% - Accent5 5 8 2 2 2" xfId="27812"/>
    <cellStyle name="40% - Accent5 5 8 2 2 2 2" xfId="56673"/>
    <cellStyle name="40% - Accent5 5 8 2 2 3" xfId="39626"/>
    <cellStyle name="40% - Accent5 5 8 2 3" xfId="21834"/>
    <cellStyle name="40% - Accent5 5 8 2 3 2" xfId="50695"/>
    <cellStyle name="40% - Accent5 5 8 2 4" xfId="33585"/>
    <cellStyle name="40% - Accent5 5 8 3" xfId="7879"/>
    <cellStyle name="40% - Accent5 5 8 3 2" xfId="24926"/>
    <cellStyle name="40% - Accent5 5 8 3 2 2" xfId="53787"/>
    <cellStyle name="40% - Accent5 5 8 3 3" xfId="36740"/>
    <cellStyle name="40% - Accent5 5 8 4" xfId="13021"/>
    <cellStyle name="40% - Accent5 5 8 4 2" xfId="19154"/>
    <cellStyle name="40% - Accent5 5 8 4 2 2" xfId="48015"/>
    <cellStyle name="40% - Accent5 5 8 4 3" xfId="41882"/>
    <cellStyle name="40% - Accent5 5 8 5" xfId="16474"/>
    <cellStyle name="40% - Accent5 5 8 5 2" xfId="45335"/>
    <cellStyle name="40% - Accent5 5 8 6" xfId="30699"/>
    <cellStyle name="40% - Accent5 5 9" xfId="2043"/>
    <cellStyle name="40% - Accent5 5 9 2" xfId="4930"/>
    <cellStyle name="40% - Accent5 5 9 2 2" xfId="10971"/>
    <cellStyle name="40% - Accent5 5 9 2 2 2" xfId="28018"/>
    <cellStyle name="40% - Accent5 5 9 2 2 2 2" xfId="56879"/>
    <cellStyle name="40% - Accent5 5 9 2 2 3" xfId="39832"/>
    <cellStyle name="40% - Accent5 5 9 2 3" xfId="22040"/>
    <cellStyle name="40% - Accent5 5 9 2 3 2" xfId="50901"/>
    <cellStyle name="40% - Accent5 5 9 2 4" xfId="33791"/>
    <cellStyle name="40% - Accent5 5 9 3" xfId="8085"/>
    <cellStyle name="40% - Accent5 5 9 3 2" xfId="25132"/>
    <cellStyle name="40% - Accent5 5 9 3 2 2" xfId="53993"/>
    <cellStyle name="40% - Accent5 5 9 3 3" xfId="36946"/>
    <cellStyle name="40% - Accent5 5 9 4" xfId="12013"/>
    <cellStyle name="40% - Accent5 5 9 4 2" xfId="19360"/>
    <cellStyle name="40% - Accent5 5 9 4 2 2" xfId="48221"/>
    <cellStyle name="40% - Accent5 5 9 4 3" xfId="40874"/>
    <cellStyle name="40% - Accent5 5 9 5" xfId="16680"/>
    <cellStyle name="40% - Accent5 5 9 5 2" xfId="45541"/>
    <cellStyle name="40% - Accent5 5 9 6" xfId="30905"/>
    <cellStyle name="40% - Accent5 6" xfId="189"/>
    <cellStyle name="40% - Accent5 6 2" xfId="601"/>
    <cellStyle name="40% - Accent5 6 2 2" xfId="3488"/>
    <cellStyle name="40% - Accent5 6 2 2 2" xfId="9529"/>
    <cellStyle name="40% - Accent5 6 2 2 2 2" xfId="26576"/>
    <cellStyle name="40% - Accent5 6 2 2 2 2 2" xfId="55437"/>
    <cellStyle name="40% - Accent5 6 2 2 2 3" xfId="38390"/>
    <cellStyle name="40% - Accent5 6 2 2 3" xfId="20598"/>
    <cellStyle name="40% - Accent5 6 2 2 3 2" xfId="49459"/>
    <cellStyle name="40% - Accent5 6 2 2 4" xfId="32349"/>
    <cellStyle name="40% - Accent5 6 2 3" xfId="6643"/>
    <cellStyle name="40% - Accent5 6 2 3 2" xfId="23690"/>
    <cellStyle name="40% - Accent5 6 2 3 2 2" xfId="52551"/>
    <cellStyle name="40% - Accent5 6 2 3 3" xfId="35504"/>
    <cellStyle name="40% - Accent5 6 2 4" xfId="6084"/>
    <cellStyle name="40% - Accent5 6 2 4 2" xfId="17918"/>
    <cellStyle name="40% - Accent5 6 2 4 2 2" xfId="46779"/>
    <cellStyle name="40% - Accent5 6 2 4 3" xfId="34945"/>
    <cellStyle name="40% - Accent5 6 2 5" xfId="15238"/>
    <cellStyle name="40% - Accent5 6 2 5 2" xfId="44099"/>
    <cellStyle name="40% - Accent5 6 2 6" xfId="29463"/>
    <cellStyle name="40% - Accent5 6 3" xfId="2146"/>
    <cellStyle name="40% - Accent5 6 3 2" xfId="5033"/>
    <cellStyle name="40% - Accent5 6 3 2 2" xfId="11074"/>
    <cellStyle name="40% - Accent5 6 3 2 2 2" xfId="28121"/>
    <cellStyle name="40% - Accent5 6 3 2 2 2 2" xfId="56982"/>
    <cellStyle name="40% - Accent5 6 3 2 2 3" xfId="39935"/>
    <cellStyle name="40% - Accent5 6 3 2 3" xfId="22143"/>
    <cellStyle name="40% - Accent5 6 3 2 3 2" xfId="51004"/>
    <cellStyle name="40% - Accent5 6 3 2 4" xfId="33894"/>
    <cellStyle name="40% - Accent5 6 3 3" xfId="8188"/>
    <cellStyle name="40% - Accent5 6 3 3 2" xfId="25235"/>
    <cellStyle name="40% - Accent5 6 3 3 2 2" xfId="54096"/>
    <cellStyle name="40% - Accent5 6 3 3 3" xfId="37049"/>
    <cellStyle name="40% - Accent5 6 3 4" xfId="13818"/>
    <cellStyle name="40% - Accent5 6 3 4 2" xfId="19463"/>
    <cellStyle name="40% - Accent5 6 3 4 2 2" xfId="48324"/>
    <cellStyle name="40% - Accent5 6 3 4 3" xfId="42679"/>
    <cellStyle name="40% - Accent5 6 3 5" xfId="16783"/>
    <cellStyle name="40% - Accent5 6 3 5 2" xfId="45644"/>
    <cellStyle name="40% - Accent5 6 3 6" xfId="31008"/>
    <cellStyle name="40% - Accent5 6 4" xfId="3076"/>
    <cellStyle name="40% - Accent5 6 4 2" xfId="9117"/>
    <cellStyle name="40% - Accent5 6 4 2 2" xfId="26164"/>
    <cellStyle name="40% - Accent5 6 4 2 2 2" xfId="55025"/>
    <cellStyle name="40% - Accent5 6 4 2 3" xfId="37978"/>
    <cellStyle name="40% - Accent5 6 4 3" xfId="20186"/>
    <cellStyle name="40% - Accent5 6 4 3 2" xfId="49047"/>
    <cellStyle name="40% - Accent5 6 4 4" xfId="31937"/>
    <cellStyle name="40% - Accent5 6 5" xfId="6231"/>
    <cellStyle name="40% - Accent5 6 5 2" xfId="23278"/>
    <cellStyle name="40% - Accent5 6 5 2 2" xfId="52139"/>
    <cellStyle name="40% - Accent5 6 5 3" xfId="35092"/>
    <cellStyle name="40% - Accent5 6 6" xfId="13193"/>
    <cellStyle name="40% - Accent5 6 6 2" xfId="17609"/>
    <cellStyle name="40% - Accent5 6 6 2 2" xfId="46470"/>
    <cellStyle name="40% - Accent5 6 6 3" xfId="42054"/>
    <cellStyle name="40% - Accent5 6 7" xfId="14826"/>
    <cellStyle name="40% - Accent5 6 7 2" xfId="43687"/>
    <cellStyle name="40% - Accent5 6 8" xfId="29051"/>
    <cellStyle name="40% - Accent5 7" xfId="395"/>
    <cellStyle name="40% - Accent5 7 2" xfId="3282"/>
    <cellStyle name="40% - Accent5 7 2 2" xfId="9323"/>
    <cellStyle name="40% - Accent5 7 2 2 2" xfId="26370"/>
    <cellStyle name="40% - Accent5 7 2 2 2 2" xfId="55231"/>
    <cellStyle name="40% - Accent5 7 2 2 3" xfId="38184"/>
    <cellStyle name="40% - Accent5 7 2 3" xfId="20392"/>
    <cellStyle name="40% - Accent5 7 2 3 2" xfId="49253"/>
    <cellStyle name="40% - Accent5 7 2 4" xfId="32143"/>
    <cellStyle name="40% - Accent5 7 3" xfId="6437"/>
    <cellStyle name="40% - Accent5 7 3 2" xfId="23484"/>
    <cellStyle name="40% - Accent5 7 3 2 2" xfId="52345"/>
    <cellStyle name="40% - Accent5 7 3 3" xfId="35298"/>
    <cellStyle name="40% - Accent5 7 4" xfId="14067"/>
    <cellStyle name="40% - Accent5 7 4 2" xfId="17712"/>
    <cellStyle name="40% - Accent5 7 4 2 2" xfId="46573"/>
    <cellStyle name="40% - Accent5 7 4 3" xfId="42928"/>
    <cellStyle name="40% - Accent5 7 5" xfId="15032"/>
    <cellStyle name="40% - Accent5 7 5 2" xfId="43893"/>
    <cellStyle name="40% - Accent5 7 6" xfId="29257"/>
    <cellStyle name="40% - Accent5 8" xfId="704"/>
    <cellStyle name="40% - Accent5 8 2" xfId="3591"/>
    <cellStyle name="40% - Accent5 8 2 2" xfId="9632"/>
    <cellStyle name="40% - Accent5 8 2 2 2" xfId="26679"/>
    <cellStyle name="40% - Accent5 8 2 2 2 2" xfId="55540"/>
    <cellStyle name="40% - Accent5 8 2 2 3" xfId="38493"/>
    <cellStyle name="40% - Accent5 8 2 3" xfId="20701"/>
    <cellStyle name="40% - Accent5 8 2 3 2" xfId="49562"/>
    <cellStyle name="40% - Accent5 8 2 4" xfId="32452"/>
    <cellStyle name="40% - Accent5 8 3" xfId="6746"/>
    <cellStyle name="40% - Accent5 8 3 2" xfId="23793"/>
    <cellStyle name="40% - Accent5 8 3 2 2" xfId="52654"/>
    <cellStyle name="40% - Accent5 8 3 3" xfId="35607"/>
    <cellStyle name="40% - Accent5 8 4" xfId="13931"/>
    <cellStyle name="40% - Accent5 8 4 2" xfId="18021"/>
    <cellStyle name="40% - Accent5 8 4 2 2" xfId="46882"/>
    <cellStyle name="40% - Accent5 8 4 3" xfId="42792"/>
    <cellStyle name="40% - Accent5 8 5" xfId="15341"/>
    <cellStyle name="40% - Accent5 8 5 2" xfId="44202"/>
    <cellStyle name="40% - Accent5 8 6" xfId="29566"/>
    <cellStyle name="40% - Accent5 9" xfId="910"/>
    <cellStyle name="40% - Accent5 9 2" xfId="3797"/>
    <cellStyle name="40% - Accent5 9 2 2" xfId="9838"/>
    <cellStyle name="40% - Accent5 9 2 2 2" xfId="26885"/>
    <cellStyle name="40% - Accent5 9 2 2 2 2" xfId="55746"/>
    <cellStyle name="40% - Accent5 9 2 2 3" xfId="38699"/>
    <cellStyle name="40% - Accent5 9 2 3" xfId="20907"/>
    <cellStyle name="40% - Accent5 9 2 3 2" xfId="49768"/>
    <cellStyle name="40% - Accent5 9 2 4" xfId="32658"/>
    <cellStyle name="40% - Accent5 9 3" xfId="6952"/>
    <cellStyle name="40% - Accent5 9 3 2" xfId="23999"/>
    <cellStyle name="40% - Accent5 9 3 2 2" xfId="52860"/>
    <cellStyle name="40% - Accent5 9 3 3" xfId="35813"/>
    <cellStyle name="40% - Accent5 9 4" xfId="13911"/>
    <cellStyle name="40% - Accent5 9 4 2" xfId="18227"/>
    <cellStyle name="40% - Accent5 9 4 2 2" xfId="47088"/>
    <cellStyle name="40% - Accent5 9 4 3" xfId="42772"/>
    <cellStyle name="40% - Accent5 9 5" xfId="15547"/>
    <cellStyle name="40% - Accent5 9 5 2" xfId="44408"/>
    <cellStyle name="40% - Accent5 9 6" xfId="29772"/>
    <cellStyle name="40% - Accent6" xfId="87" builtinId="51" customBuiltin="1"/>
    <cellStyle name="40% - Accent6 10" xfId="1118"/>
    <cellStyle name="40% - Accent6 10 2" xfId="4005"/>
    <cellStyle name="40% - Accent6 10 2 2" xfId="10046"/>
    <cellStyle name="40% - Accent6 10 2 2 2" xfId="27093"/>
    <cellStyle name="40% - Accent6 10 2 2 2 2" xfId="55954"/>
    <cellStyle name="40% - Accent6 10 2 2 3" xfId="38907"/>
    <cellStyle name="40% - Accent6 10 2 3" xfId="21115"/>
    <cellStyle name="40% - Accent6 10 2 3 2" xfId="49976"/>
    <cellStyle name="40% - Accent6 10 2 4" xfId="32866"/>
    <cellStyle name="40% - Accent6 10 3" xfId="7160"/>
    <cellStyle name="40% - Accent6 10 3 2" xfId="24207"/>
    <cellStyle name="40% - Accent6 10 3 2 2" xfId="53068"/>
    <cellStyle name="40% - Accent6 10 3 3" xfId="36021"/>
    <cellStyle name="40% - Accent6 10 4" xfId="13136"/>
    <cellStyle name="40% - Accent6 10 4 2" xfId="18435"/>
    <cellStyle name="40% - Accent6 10 4 2 2" xfId="47296"/>
    <cellStyle name="40% - Accent6 10 4 3" xfId="41997"/>
    <cellStyle name="40% - Accent6 10 5" xfId="15755"/>
    <cellStyle name="40% - Accent6 10 5 2" xfId="44616"/>
    <cellStyle name="40% - Accent6 10 6" xfId="29980"/>
    <cellStyle name="40% - Accent6 11" xfId="1324"/>
    <cellStyle name="40% - Accent6 11 2" xfId="4211"/>
    <cellStyle name="40% - Accent6 11 2 2" xfId="10252"/>
    <cellStyle name="40% - Accent6 11 2 2 2" xfId="27299"/>
    <cellStyle name="40% - Accent6 11 2 2 2 2" xfId="56160"/>
    <cellStyle name="40% - Accent6 11 2 2 3" xfId="39113"/>
    <cellStyle name="40% - Accent6 11 2 3" xfId="21321"/>
    <cellStyle name="40% - Accent6 11 2 3 2" xfId="50182"/>
    <cellStyle name="40% - Accent6 11 2 4" xfId="33072"/>
    <cellStyle name="40% - Accent6 11 3" xfId="7366"/>
    <cellStyle name="40% - Accent6 11 3 2" xfId="24413"/>
    <cellStyle name="40% - Accent6 11 3 2 2" xfId="53274"/>
    <cellStyle name="40% - Accent6 11 3 3" xfId="36227"/>
    <cellStyle name="40% - Accent6 11 4" xfId="12707"/>
    <cellStyle name="40% - Accent6 11 4 2" xfId="18641"/>
    <cellStyle name="40% - Accent6 11 4 2 2" xfId="47502"/>
    <cellStyle name="40% - Accent6 11 4 3" xfId="41568"/>
    <cellStyle name="40% - Accent6 11 5" xfId="15961"/>
    <cellStyle name="40% - Accent6 11 5 2" xfId="44822"/>
    <cellStyle name="40% - Accent6 11 6" xfId="30186"/>
    <cellStyle name="40% - Accent6 12" xfId="1530"/>
    <cellStyle name="40% - Accent6 12 2" xfId="4417"/>
    <cellStyle name="40% - Accent6 12 2 2" xfId="10458"/>
    <cellStyle name="40% - Accent6 12 2 2 2" xfId="27505"/>
    <cellStyle name="40% - Accent6 12 2 2 2 2" xfId="56366"/>
    <cellStyle name="40% - Accent6 12 2 2 3" xfId="39319"/>
    <cellStyle name="40% - Accent6 12 2 3" xfId="21527"/>
    <cellStyle name="40% - Accent6 12 2 3 2" xfId="50388"/>
    <cellStyle name="40% - Accent6 12 2 4" xfId="33278"/>
    <cellStyle name="40% - Accent6 12 3" xfId="7572"/>
    <cellStyle name="40% - Accent6 12 3 2" xfId="24619"/>
    <cellStyle name="40% - Accent6 12 3 2 2" xfId="53480"/>
    <cellStyle name="40% - Accent6 12 3 3" xfId="36433"/>
    <cellStyle name="40% - Accent6 12 4" xfId="12194"/>
    <cellStyle name="40% - Accent6 12 4 2" xfId="18847"/>
    <cellStyle name="40% - Accent6 12 4 2 2" xfId="47708"/>
    <cellStyle name="40% - Accent6 12 4 3" xfId="41055"/>
    <cellStyle name="40% - Accent6 12 5" xfId="16167"/>
    <cellStyle name="40% - Accent6 12 5 2" xfId="45028"/>
    <cellStyle name="40% - Accent6 12 6" xfId="30392"/>
    <cellStyle name="40% - Accent6 13" xfId="1736"/>
    <cellStyle name="40% - Accent6 13 2" xfId="4623"/>
    <cellStyle name="40% - Accent6 13 2 2" xfId="10664"/>
    <cellStyle name="40% - Accent6 13 2 2 2" xfId="27711"/>
    <cellStyle name="40% - Accent6 13 2 2 2 2" xfId="56572"/>
    <cellStyle name="40% - Accent6 13 2 2 3" xfId="39525"/>
    <cellStyle name="40% - Accent6 13 2 3" xfId="21733"/>
    <cellStyle name="40% - Accent6 13 2 3 2" xfId="50594"/>
    <cellStyle name="40% - Accent6 13 2 4" xfId="33484"/>
    <cellStyle name="40% - Accent6 13 3" xfId="7778"/>
    <cellStyle name="40% - Accent6 13 3 2" xfId="24825"/>
    <cellStyle name="40% - Accent6 13 3 2 2" xfId="53686"/>
    <cellStyle name="40% - Accent6 13 3 3" xfId="36639"/>
    <cellStyle name="40% - Accent6 13 4" xfId="12430"/>
    <cellStyle name="40% - Accent6 13 4 2" xfId="19053"/>
    <cellStyle name="40% - Accent6 13 4 2 2" xfId="47914"/>
    <cellStyle name="40% - Accent6 13 4 3" xfId="41291"/>
    <cellStyle name="40% - Accent6 13 5" xfId="16373"/>
    <cellStyle name="40% - Accent6 13 5 2" xfId="45234"/>
    <cellStyle name="40% - Accent6 13 6" xfId="30598"/>
    <cellStyle name="40% - Accent6 14" xfId="1942"/>
    <cellStyle name="40% - Accent6 14 2" xfId="4829"/>
    <cellStyle name="40% - Accent6 14 2 2" xfId="10870"/>
    <cellStyle name="40% - Accent6 14 2 2 2" xfId="27917"/>
    <cellStyle name="40% - Accent6 14 2 2 2 2" xfId="56778"/>
    <cellStyle name="40% - Accent6 14 2 2 3" xfId="39731"/>
    <cellStyle name="40% - Accent6 14 2 3" xfId="21939"/>
    <cellStyle name="40% - Accent6 14 2 3 2" xfId="50800"/>
    <cellStyle name="40% - Accent6 14 2 4" xfId="33690"/>
    <cellStyle name="40% - Accent6 14 3" xfId="7984"/>
    <cellStyle name="40% - Accent6 14 3 2" xfId="25031"/>
    <cellStyle name="40% - Accent6 14 3 2 2" xfId="53892"/>
    <cellStyle name="40% - Accent6 14 3 3" xfId="36845"/>
    <cellStyle name="40% - Accent6 14 4" xfId="12539"/>
    <cellStyle name="40% - Accent6 14 4 2" xfId="19259"/>
    <cellStyle name="40% - Accent6 14 4 2 2" xfId="48120"/>
    <cellStyle name="40% - Accent6 14 4 3" xfId="41400"/>
    <cellStyle name="40% - Accent6 14 5" xfId="16579"/>
    <cellStyle name="40% - Accent6 14 5 2" xfId="45440"/>
    <cellStyle name="40% - Accent6 14 6" xfId="30804"/>
    <cellStyle name="40% - Accent6 15" xfId="2354"/>
    <cellStyle name="40% - Accent6 15 2" xfId="5241"/>
    <cellStyle name="40% - Accent6 15 2 2" xfId="11282"/>
    <cellStyle name="40% - Accent6 15 2 2 2" xfId="28329"/>
    <cellStyle name="40% - Accent6 15 2 2 2 2" xfId="57190"/>
    <cellStyle name="40% - Accent6 15 2 2 3" xfId="40143"/>
    <cellStyle name="40% - Accent6 15 2 3" xfId="22351"/>
    <cellStyle name="40% - Accent6 15 2 3 2" xfId="51212"/>
    <cellStyle name="40% - Accent6 15 2 4" xfId="34102"/>
    <cellStyle name="40% - Accent6 15 3" xfId="8396"/>
    <cellStyle name="40% - Accent6 15 3 2" xfId="25443"/>
    <cellStyle name="40% - Accent6 15 3 2 2" xfId="54304"/>
    <cellStyle name="40% - Accent6 15 3 3" xfId="37257"/>
    <cellStyle name="40% - Accent6 15 4" xfId="12586"/>
    <cellStyle name="40% - Accent6 15 4 2" xfId="19671"/>
    <cellStyle name="40% - Accent6 15 4 2 2" xfId="48532"/>
    <cellStyle name="40% - Accent6 15 4 3" xfId="41447"/>
    <cellStyle name="40% - Accent6 15 5" xfId="16991"/>
    <cellStyle name="40% - Accent6 15 5 2" xfId="45852"/>
    <cellStyle name="40% - Accent6 15 6" xfId="31216"/>
    <cellStyle name="40% - Accent6 16" xfId="2563"/>
    <cellStyle name="40% - Accent6 16 2" xfId="5449"/>
    <cellStyle name="40% - Accent6 16 2 2" xfId="11490"/>
    <cellStyle name="40% - Accent6 16 2 2 2" xfId="28537"/>
    <cellStyle name="40% - Accent6 16 2 2 2 2" xfId="57398"/>
    <cellStyle name="40% - Accent6 16 2 2 3" xfId="40351"/>
    <cellStyle name="40% - Accent6 16 2 3" xfId="22559"/>
    <cellStyle name="40% - Accent6 16 2 3 2" xfId="51420"/>
    <cellStyle name="40% - Accent6 16 2 4" xfId="34310"/>
    <cellStyle name="40% - Accent6 16 3" xfId="8604"/>
    <cellStyle name="40% - Accent6 16 3 2" xfId="25651"/>
    <cellStyle name="40% - Accent6 16 3 2 2" xfId="54512"/>
    <cellStyle name="40% - Accent6 16 3 3" xfId="37465"/>
    <cellStyle name="40% - Accent6 16 4" xfId="12998"/>
    <cellStyle name="40% - Accent6 16 4 2" xfId="19879"/>
    <cellStyle name="40% - Accent6 16 4 2 2" xfId="48740"/>
    <cellStyle name="40% - Accent6 16 4 3" xfId="41859"/>
    <cellStyle name="40% - Accent6 16 5" xfId="17199"/>
    <cellStyle name="40% - Accent6 16 5 2" xfId="46060"/>
    <cellStyle name="40% - Accent6 16 6" xfId="31424"/>
    <cellStyle name="40% - Accent6 17" xfId="2975"/>
    <cellStyle name="40% - Accent6 17 2" xfId="9016"/>
    <cellStyle name="40% - Accent6 17 2 2" xfId="26063"/>
    <cellStyle name="40% - Accent6 17 2 2 2" xfId="54924"/>
    <cellStyle name="40% - Accent6 17 2 3" xfId="37877"/>
    <cellStyle name="40% - Accent6 17 3" xfId="12779"/>
    <cellStyle name="40% - Accent6 17 3 2" xfId="20085"/>
    <cellStyle name="40% - Accent6 17 3 2 2" xfId="48946"/>
    <cellStyle name="40% - Accent6 17 3 3" xfId="41640"/>
    <cellStyle name="40% - Accent6 17 4" xfId="14725"/>
    <cellStyle name="40% - Accent6 17 4 2" xfId="43586"/>
    <cellStyle name="40% - Accent6 17 5" xfId="31836"/>
    <cellStyle name="40% - Accent6 18" xfId="2769"/>
    <cellStyle name="40% - Accent6 18 2" xfId="8810"/>
    <cellStyle name="40% - Accent6 18 2 2" xfId="25857"/>
    <cellStyle name="40% - Accent6 18 2 2 2" xfId="54718"/>
    <cellStyle name="40% - Accent6 18 2 3" xfId="37671"/>
    <cellStyle name="40% - Accent6 18 3" xfId="17405"/>
    <cellStyle name="40% - Accent6 18 3 2" xfId="46266"/>
    <cellStyle name="40% - Accent6 18 4" xfId="31630"/>
    <cellStyle name="40% - Accent6 19" xfId="5655"/>
    <cellStyle name="40% - Accent6 19 2" xfId="11696"/>
    <cellStyle name="40% - Accent6 19 2 2" xfId="28743"/>
    <cellStyle name="40% - Accent6 19 2 2 2" xfId="57604"/>
    <cellStyle name="40% - Accent6 19 2 3" xfId="40557"/>
    <cellStyle name="40% - Accent6 19 3" xfId="22765"/>
    <cellStyle name="40% - Accent6 19 3 2" xfId="51626"/>
    <cellStyle name="40% - Accent6 19 4" xfId="34516"/>
    <cellStyle name="40% - Accent6 2" xfId="102"/>
    <cellStyle name="40% - Accent6 2 10" xfId="1338"/>
    <cellStyle name="40% - Accent6 2 10 2" xfId="4225"/>
    <cellStyle name="40% - Accent6 2 10 2 2" xfId="10266"/>
    <cellStyle name="40% - Accent6 2 10 2 2 2" xfId="27313"/>
    <cellStyle name="40% - Accent6 2 10 2 2 2 2" xfId="56174"/>
    <cellStyle name="40% - Accent6 2 10 2 2 3" xfId="39127"/>
    <cellStyle name="40% - Accent6 2 10 2 3" xfId="21335"/>
    <cellStyle name="40% - Accent6 2 10 2 3 2" xfId="50196"/>
    <cellStyle name="40% - Accent6 2 10 2 4" xfId="33086"/>
    <cellStyle name="40% - Accent6 2 10 3" xfId="7380"/>
    <cellStyle name="40% - Accent6 2 10 3 2" xfId="24427"/>
    <cellStyle name="40% - Accent6 2 10 3 2 2" xfId="53288"/>
    <cellStyle name="40% - Accent6 2 10 3 3" xfId="36241"/>
    <cellStyle name="40% - Accent6 2 10 4" xfId="14343"/>
    <cellStyle name="40% - Accent6 2 10 4 2" xfId="18655"/>
    <cellStyle name="40% - Accent6 2 10 4 2 2" xfId="47516"/>
    <cellStyle name="40% - Accent6 2 10 4 3" xfId="43204"/>
    <cellStyle name="40% - Accent6 2 10 5" xfId="15975"/>
    <cellStyle name="40% - Accent6 2 10 5 2" xfId="44836"/>
    <cellStyle name="40% - Accent6 2 10 6" xfId="30200"/>
    <cellStyle name="40% - Accent6 2 11" xfId="1544"/>
    <cellStyle name="40% - Accent6 2 11 2" xfId="4431"/>
    <cellStyle name="40% - Accent6 2 11 2 2" xfId="10472"/>
    <cellStyle name="40% - Accent6 2 11 2 2 2" xfId="27519"/>
    <cellStyle name="40% - Accent6 2 11 2 2 2 2" xfId="56380"/>
    <cellStyle name="40% - Accent6 2 11 2 2 3" xfId="39333"/>
    <cellStyle name="40% - Accent6 2 11 2 3" xfId="21541"/>
    <cellStyle name="40% - Accent6 2 11 2 3 2" xfId="50402"/>
    <cellStyle name="40% - Accent6 2 11 2 4" xfId="33292"/>
    <cellStyle name="40% - Accent6 2 11 3" xfId="7586"/>
    <cellStyle name="40% - Accent6 2 11 3 2" xfId="24633"/>
    <cellStyle name="40% - Accent6 2 11 3 2 2" xfId="53494"/>
    <cellStyle name="40% - Accent6 2 11 3 3" xfId="36447"/>
    <cellStyle name="40% - Accent6 2 11 4" xfId="13710"/>
    <cellStyle name="40% - Accent6 2 11 4 2" xfId="18861"/>
    <cellStyle name="40% - Accent6 2 11 4 2 2" xfId="47722"/>
    <cellStyle name="40% - Accent6 2 11 4 3" xfId="42571"/>
    <cellStyle name="40% - Accent6 2 11 5" xfId="16181"/>
    <cellStyle name="40% - Accent6 2 11 5 2" xfId="45042"/>
    <cellStyle name="40% - Accent6 2 11 6" xfId="30406"/>
    <cellStyle name="40% - Accent6 2 12" xfId="1750"/>
    <cellStyle name="40% - Accent6 2 12 2" xfId="4637"/>
    <cellStyle name="40% - Accent6 2 12 2 2" xfId="10678"/>
    <cellStyle name="40% - Accent6 2 12 2 2 2" xfId="27725"/>
    <cellStyle name="40% - Accent6 2 12 2 2 2 2" xfId="56586"/>
    <cellStyle name="40% - Accent6 2 12 2 2 3" xfId="39539"/>
    <cellStyle name="40% - Accent6 2 12 2 3" xfId="21747"/>
    <cellStyle name="40% - Accent6 2 12 2 3 2" xfId="50608"/>
    <cellStyle name="40% - Accent6 2 12 2 4" xfId="33498"/>
    <cellStyle name="40% - Accent6 2 12 3" xfId="7792"/>
    <cellStyle name="40% - Accent6 2 12 3 2" xfId="24839"/>
    <cellStyle name="40% - Accent6 2 12 3 2 2" xfId="53700"/>
    <cellStyle name="40% - Accent6 2 12 3 3" xfId="36653"/>
    <cellStyle name="40% - Accent6 2 12 4" xfId="12398"/>
    <cellStyle name="40% - Accent6 2 12 4 2" xfId="19067"/>
    <cellStyle name="40% - Accent6 2 12 4 2 2" xfId="47928"/>
    <cellStyle name="40% - Accent6 2 12 4 3" xfId="41259"/>
    <cellStyle name="40% - Accent6 2 12 5" xfId="16387"/>
    <cellStyle name="40% - Accent6 2 12 5 2" xfId="45248"/>
    <cellStyle name="40% - Accent6 2 12 6" xfId="30612"/>
    <cellStyle name="40% - Accent6 2 13" xfId="1956"/>
    <cellStyle name="40% - Accent6 2 13 2" xfId="4843"/>
    <cellStyle name="40% - Accent6 2 13 2 2" xfId="10884"/>
    <cellStyle name="40% - Accent6 2 13 2 2 2" xfId="27931"/>
    <cellStyle name="40% - Accent6 2 13 2 2 2 2" xfId="56792"/>
    <cellStyle name="40% - Accent6 2 13 2 2 3" xfId="39745"/>
    <cellStyle name="40% - Accent6 2 13 2 3" xfId="21953"/>
    <cellStyle name="40% - Accent6 2 13 2 3 2" xfId="50814"/>
    <cellStyle name="40% - Accent6 2 13 2 4" xfId="33704"/>
    <cellStyle name="40% - Accent6 2 13 3" xfId="7998"/>
    <cellStyle name="40% - Accent6 2 13 3 2" xfId="25045"/>
    <cellStyle name="40% - Accent6 2 13 3 2 2" xfId="53906"/>
    <cellStyle name="40% - Accent6 2 13 3 3" xfId="36859"/>
    <cellStyle name="40% - Accent6 2 13 4" xfId="13647"/>
    <cellStyle name="40% - Accent6 2 13 4 2" xfId="19273"/>
    <cellStyle name="40% - Accent6 2 13 4 2 2" xfId="48134"/>
    <cellStyle name="40% - Accent6 2 13 4 3" xfId="42508"/>
    <cellStyle name="40% - Accent6 2 13 5" xfId="16593"/>
    <cellStyle name="40% - Accent6 2 13 5 2" xfId="45454"/>
    <cellStyle name="40% - Accent6 2 13 6" xfId="30818"/>
    <cellStyle name="40% - Accent6 2 14" xfId="2368"/>
    <cellStyle name="40% - Accent6 2 14 2" xfId="5255"/>
    <cellStyle name="40% - Accent6 2 14 2 2" xfId="11296"/>
    <cellStyle name="40% - Accent6 2 14 2 2 2" xfId="28343"/>
    <cellStyle name="40% - Accent6 2 14 2 2 2 2" xfId="57204"/>
    <cellStyle name="40% - Accent6 2 14 2 2 3" xfId="40157"/>
    <cellStyle name="40% - Accent6 2 14 2 3" xfId="22365"/>
    <cellStyle name="40% - Accent6 2 14 2 3 2" xfId="51226"/>
    <cellStyle name="40% - Accent6 2 14 2 4" xfId="34116"/>
    <cellStyle name="40% - Accent6 2 14 3" xfId="8410"/>
    <cellStyle name="40% - Accent6 2 14 3 2" xfId="25457"/>
    <cellStyle name="40% - Accent6 2 14 3 2 2" xfId="54318"/>
    <cellStyle name="40% - Accent6 2 14 3 3" xfId="37271"/>
    <cellStyle name="40% - Accent6 2 14 4" xfId="14014"/>
    <cellStyle name="40% - Accent6 2 14 4 2" xfId="19685"/>
    <cellStyle name="40% - Accent6 2 14 4 2 2" xfId="48546"/>
    <cellStyle name="40% - Accent6 2 14 4 3" xfId="42875"/>
    <cellStyle name="40% - Accent6 2 14 5" xfId="17005"/>
    <cellStyle name="40% - Accent6 2 14 5 2" xfId="45866"/>
    <cellStyle name="40% - Accent6 2 14 6" xfId="31230"/>
    <cellStyle name="40% - Accent6 2 15" xfId="2577"/>
    <cellStyle name="40% - Accent6 2 15 2" xfId="5463"/>
    <cellStyle name="40% - Accent6 2 15 2 2" xfId="11504"/>
    <cellStyle name="40% - Accent6 2 15 2 2 2" xfId="28551"/>
    <cellStyle name="40% - Accent6 2 15 2 2 2 2" xfId="57412"/>
    <cellStyle name="40% - Accent6 2 15 2 2 3" xfId="40365"/>
    <cellStyle name="40% - Accent6 2 15 2 3" xfId="22573"/>
    <cellStyle name="40% - Accent6 2 15 2 3 2" xfId="51434"/>
    <cellStyle name="40% - Accent6 2 15 2 4" xfId="34324"/>
    <cellStyle name="40% - Accent6 2 15 3" xfId="8618"/>
    <cellStyle name="40% - Accent6 2 15 3 2" xfId="25665"/>
    <cellStyle name="40% - Accent6 2 15 3 2 2" xfId="54526"/>
    <cellStyle name="40% - Accent6 2 15 3 3" xfId="37479"/>
    <cellStyle name="40% - Accent6 2 15 4" xfId="12778"/>
    <cellStyle name="40% - Accent6 2 15 4 2" xfId="19893"/>
    <cellStyle name="40% - Accent6 2 15 4 2 2" xfId="48754"/>
    <cellStyle name="40% - Accent6 2 15 4 3" xfId="41639"/>
    <cellStyle name="40% - Accent6 2 15 5" xfId="17213"/>
    <cellStyle name="40% - Accent6 2 15 5 2" xfId="46074"/>
    <cellStyle name="40% - Accent6 2 15 6" xfId="31438"/>
    <cellStyle name="40% - Accent6 2 16" xfId="2989"/>
    <cellStyle name="40% - Accent6 2 16 2" xfId="9030"/>
    <cellStyle name="40% - Accent6 2 16 2 2" xfId="26077"/>
    <cellStyle name="40% - Accent6 2 16 2 2 2" xfId="54938"/>
    <cellStyle name="40% - Accent6 2 16 2 3" xfId="37891"/>
    <cellStyle name="40% - Accent6 2 16 3" xfId="12764"/>
    <cellStyle name="40% - Accent6 2 16 3 2" xfId="20099"/>
    <cellStyle name="40% - Accent6 2 16 3 2 2" xfId="48960"/>
    <cellStyle name="40% - Accent6 2 16 3 3" xfId="41625"/>
    <cellStyle name="40% - Accent6 2 16 4" xfId="14739"/>
    <cellStyle name="40% - Accent6 2 16 4 2" xfId="43600"/>
    <cellStyle name="40% - Accent6 2 16 5" xfId="31850"/>
    <cellStyle name="40% - Accent6 2 17" xfId="2783"/>
    <cellStyle name="40% - Accent6 2 17 2" xfId="8824"/>
    <cellStyle name="40% - Accent6 2 17 2 2" xfId="25871"/>
    <cellStyle name="40% - Accent6 2 17 2 2 2" xfId="54732"/>
    <cellStyle name="40% - Accent6 2 17 2 3" xfId="37685"/>
    <cellStyle name="40% - Accent6 2 17 3" xfId="17419"/>
    <cellStyle name="40% - Accent6 2 17 3 2" xfId="46280"/>
    <cellStyle name="40% - Accent6 2 17 4" xfId="31644"/>
    <cellStyle name="40% - Accent6 2 18" xfId="5669"/>
    <cellStyle name="40% - Accent6 2 18 2" xfId="11710"/>
    <cellStyle name="40% - Accent6 2 18 2 2" xfId="28757"/>
    <cellStyle name="40% - Accent6 2 18 2 2 2" xfId="57618"/>
    <cellStyle name="40% - Accent6 2 18 2 3" xfId="40571"/>
    <cellStyle name="40% - Accent6 2 18 3" xfId="22779"/>
    <cellStyle name="40% - Accent6 2 18 3 2" xfId="51640"/>
    <cellStyle name="40% - Accent6 2 18 4" xfId="34530"/>
    <cellStyle name="40% - Accent6 2 19" xfId="5886"/>
    <cellStyle name="40% - Accent6 2 19 2" xfId="22985"/>
    <cellStyle name="40% - Accent6 2 19 2 2" xfId="51846"/>
    <cellStyle name="40% - Accent6 2 19 3" xfId="34747"/>
    <cellStyle name="40% - Accent6 2 2" xfId="128"/>
    <cellStyle name="40% - Accent6 2 2 10" xfId="1776"/>
    <cellStyle name="40% - Accent6 2 2 10 2" xfId="4663"/>
    <cellStyle name="40% - Accent6 2 2 10 2 2" xfId="10704"/>
    <cellStyle name="40% - Accent6 2 2 10 2 2 2" xfId="27751"/>
    <cellStyle name="40% - Accent6 2 2 10 2 2 2 2" xfId="56612"/>
    <cellStyle name="40% - Accent6 2 2 10 2 2 3" xfId="39565"/>
    <cellStyle name="40% - Accent6 2 2 10 2 3" xfId="21773"/>
    <cellStyle name="40% - Accent6 2 2 10 2 3 2" xfId="50634"/>
    <cellStyle name="40% - Accent6 2 2 10 2 4" xfId="33524"/>
    <cellStyle name="40% - Accent6 2 2 10 3" xfId="7818"/>
    <cellStyle name="40% - Accent6 2 2 10 3 2" xfId="24865"/>
    <cellStyle name="40% - Accent6 2 2 10 3 2 2" xfId="53726"/>
    <cellStyle name="40% - Accent6 2 2 10 3 3" xfId="36679"/>
    <cellStyle name="40% - Accent6 2 2 10 4" xfId="13396"/>
    <cellStyle name="40% - Accent6 2 2 10 4 2" xfId="19093"/>
    <cellStyle name="40% - Accent6 2 2 10 4 2 2" xfId="47954"/>
    <cellStyle name="40% - Accent6 2 2 10 4 3" xfId="42257"/>
    <cellStyle name="40% - Accent6 2 2 10 5" xfId="16413"/>
    <cellStyle name="40% - Accent6 2 2 10 5 2" xfId="45274"/>
    <cellStyle name="40% - Accent6 2 2 10 6" xfId="30638"/>
    <cellStyle name="40% - Accent6 2 2 11" xfId="1982"/>
    <cellStyle name="40% - Accent6 2 2 11 2" xfId="4869"/>
    <cellStyle name="40% - Accent6 2 2 11 2 2" xfId="10910"/>
    <cellStyle name="40% - Accent6 2 2 11 2 2 2" xfId="27957"/>
    <cellStyle name="40% - Accent6 2 2 11 2 2 2 2" xfId="56818"/>
    <cellStyle name="40% - Accent6 2 2 11 2 2 3" xfId="39771"/>
    <cellStyle name="40% - Accent6 2 2 11 2 3" xfId="21979"/>
    <cellStyle name="40% - Accent6 2 2 11 2 3 2" xfId="50840"/>
    <cellStyle name="40% - Accent6 2 2 11 2 4" xfId="33730"/>
    <cellStyle name="40% - Accent6 2 2 11 3" xfId="8024"/>
    <cellStyle name="40% - Accent6 2 2 11 3 2" xfId="25071"/>
    <cellStyle name="40% - Accent6 2 2 11 3 2 2" xfId="53932"/>
    <cellStyle name="40% - Accent6 2 2 11 3 3" xfId="36885"/>
    <cellStyle name="40% - Accent6 2 2 11 4" xfId="13543"/>
    <cellStyle name="40% - Accent6 2 2 11 4 2" xfId="19299"/>
    <cellStyle name="40% - Accent6 2 2 11 4 2 2" xfId="48160"/>
    <cellStyle name="40% - Accent6 2 2 11 4 3" xfId="42404"/>
    <cellStyle name="40% - Accent6 2 2 11 5" xfId="16619"/>
    <cellStyle name="40% - Accent6 2 2 11 5 2" xfId="45480"/>
    <cellStyle name="40% - Accent6 2 2 11 6" xfId="30844"/>
    <cellStyle name="40% - Accent6 2 2 12" xfId="2394"/>
    <cellStyle name="40% - Accent6 2 2 12 2" xfId="5281"/>
    <cellStyle name="40% - Accent6 2 2 12 2 2" xfId="11322"/>
    <cellStyle name="40% - Accent6 2 2 12 2 2 2" xfId="28369"/>
    <cellStyle name="40% - Accent6 2 2 12 2 2 2 2" xfId="57230"/>
    <cellStyle name="40% - Accent6 2 2 12 2 2 3" xfId="40183"/>
    <cellStyle name="40% - Accent6 2 2 12 2 3" xfId="22391"/>
    <cellStyle name="40% - Accent6 2 2 12 2 3 2" xfId="51252"/>
    <cellStyle name="40% - Accent6 2 2 12 2 4" xfId="34142"/>
    <cellStyle name="40% - Accent6 2 2 12 3" xfId="8436"/>
    <cellStyle name="40% - Accent6 2 2 12 3 2" xfId="25483"/>
    <cellStyle name="40% - Accent6 2 2 12 3 2 2" xfId="54344"/>
    <cellStyle name="40% - Accent6 2 2 12 3 3" xfId="37297"/>
    <cellStyle name="40% - Accent6 2 2 12 4" xfId="12175"/>
    <cellStyle name="40% - Accent6 2 2 12 4 2" xfId="19711"/>
    <cellStyle name="40% - Accent6 2 2 12 4 2 2" xfId="48572"/>
    <cellStyle name="40% - Accent6 2 2 12 4 3" xfId="41036"/>
    <cellStyle name="40% - Accent6 2 2 12 5" xfId="17031"/>
    <cellStyle name="40% - Accent6 2 2 12 5 2" xfId="45892"/>
    <cellStyle name="40% - Accent6 2 2 12 6" xfId="31256"/>
    <cellStyle name="40% - Accent6 2 2 13" xfId="2603"/>
    <cellStyle name="40% - Accent6 2 2 13 2" xfId="5489"/>
    <cellStyle name="40% - Accent6 2 2 13 2 2" xfId="11530"/>
    <cellStyle name="40% - Accent6 2 2 13 2 2 2" xfId="28577"/>
    <cellStyle name="40% - Accent6 2 2 13 2 2 2 2" xfId="57438"/>
    <cellStyle name="40% - Accent6 2 2 13 2 2 3" xfId="40391"/>
    <cellStyle name="40% - Accent6 2 2 13 2 3" xfId="22599"/>
    <cellStyle name="40% - Accent6 2 2 13 2 3 2" xfId="51460"/>
    <cellStyle name="40% - Accent6 2 2 13 2 4" xfId="34350"/>
    <cellStyle name="40% - Accent6 2 2 13 3" xfId="8644"/>
    <cellStyle name="40% - Accent6 2 2 13 3 2" xfId="25691"/>
    <cellStyle name="40% - Accent6 2 2 13 3 2 2" xfId="54552"/>
    <cellStyle name="40% - Accent6 2 2 13 3 3" xfId="37505"/>
    <cellStyle name="40% - Accent6 2 2 13 4" xfId="13642"/>
    <cellStyle name="40% - Accent6 2 2 13 4 2" xfId="19919"/>
    <cellStyle name="40% - Accent6 2 2 13 4 2 2" xfId="48780"/>
    <cellStyle name="40% - Accent6 2 2 13 4 3" xfId="42503"/>
    <cellStyle name="40% - Accent6 2 2 13 5" xfId="17239"/>
    <cellStyle name="40% - Accent6 2 2 13 5 2" xfId="46100"/>
    <cellStyle name="40% - Accent6 2 2 13 6" xfId="31464"/>
    <cellStyle name="40% - Accent6 2 2 14" xfId="3015"/>
    <cellStyle name="40% - Accent6 2 2 14 2" xfId="9056"/>
    <cellStyle name="40% - Accent6 2 2 14 2 2" xfId="26103"/>
    <cellStyle name="40% - Accent6 2 2 14 2 2 2" xfId="54964"/>
    <cellStyle name="40% - Accent6 2 2 14 2 3" xfId="37917"/>
    <cellStyle name="40% - Accent6 2 2 14 3" xfId="13915"/>
    <cellStyle name="40% - Accent6 2 2 14 3 2" xfId="20125"/>
    <cellStyle name="40% - Accent6 2 2 14 3 2 2" xfId="48986"/>
    <cellStyle name="40% - Accent6 2 2 14 3 3" xfId="42776"/>
    <cellStyle name="40% - Accent6 2 2 14 4" xfId="14765"/>
    <cellStyle name="40% - Accent6 2 2 14 4 2" xfId="43626"/>
    <cellStyle name="40% - Accent6 2 2 14 5" xfId="31876"/>
    <cellStyle name="40% - Accent6 2 2 15" xfId="2809"/>
    <cellStyle name="40% - Accent6 2 2 15 2" xfId="8850"/>
    <cellStyle name="40% - Accent6 2 2 15 2 2" xfId="25897"/>
    <cellStyle name="40% - Accent6 2 2 15 2 2 2" xfId="54758"/>
    <cellStyle name="40% - Accent6 2 2 15 2 3" xfId="37711"/>
    <cellStyle name="40% - Accent6 2 2 15 3" xfId="17445"/>
    <cellStyle name="40% - Accent6 2 2 15 3 2" xfId="46306"/>
    <cellStyle name="40% - Accent6 2 2 15 4" xfId="31670"/>
    <cellStyle name="40% - Accent6 2 2 16" xfId="5695"/>
    <cellStyle name="40% - Accent6 2 2 16 2" xfId="11736"/>
    <cellStyle name="40% - Accent6 2 2 16 2 2" xfId="28783"/>
    <cellStyle name="40% - Accent6 2 2 16 2 2 2" xfId="57644"/>
    <cellStyle name="40% - Accent6 2 2 16 2 3" xfId="40597"/>
    <cellStyle name="40% - Accent6 2 2 16 3" xfId="22805"/>
    <cellStyle name="40% - Accent6 2 2 16 3 2" xfId="51666"/>
    <cellStyle name="40% - Accent6 2 2 16 4" xfId="34556"/>
    <cellStyle name="40% - Accent6 2 2 17" xfId="5912"/>
    <cellStyle name="40% - Accent6 2 2 17 2" xfId="23011"/>
    <cellStyle name="40% - Accent6 2 2 17 2 2" xfId="51872"/>
    <cellStyle name="40% - Accent6 2 2 17 3" xfId="34773"/>
    <cellStyle name="40% - Accent6 2 2 18" xfId="6170"/>
    <cellStyle name="40% - Accent6 2 2 18 2" xfId="23217"/>
    <cellStyle name="40% - Accent6 2 2 18 2 2" xfId="52078"/>
    <cellStyle name="40% - Accent6 2 2 18 3" xfId="35031"/>
    <cellStyle name="40% - Accent6 2 2 19" xfId="14559"/>
    <cellStyle name="40% - Accent6 2 2 19 2" xfId="43420"/>
    <cellStyle name="40% - Accent6 2 2 2" xfId="334"/>
    <cellStyle name="40% - Accent6 2 2 2 10" xfId="2497"/>
    <cellStyle name="40% - Accent6 2 2 2 10 2" xfId="5384"/>
    <cellStyle name="40% - Accent6 2 2 2 10 2 2" xfId="11425"/>
    <cellStyle name="40% - Accent6 2 2 2 10 2 2 2" xfId="28472"/>
    <cellStyle name="40% - Accent6 2 2 2 10 2 2 2 2" xfId="57333"/>
    <cellStyle name="40% - Accent6 2 2 2 10 2 2 3" xfId="40286"/>
    <cellStyle name="40% - Accent6 2 2 2 10 2 3" xfId="22494"/>
    <cellStyle name="40% - Accent6 2 2 2 10 2 3 2" xfId="51355"/>
    <cellStyle name="40% - Accent6 2 2 2 10 2 4" xfId="34245"/>
    <cellStyle name="40% - Accent6 2 2 2 10 3" xfId="8539"/>
    <cellStyle name="40% - Accent6 2 2 2 10 3 2" xfId="25586"/>
    <cellStyle name="40% - Accent6 2 2 2 10 3 2 2" xfId="54447"/>
    <cellStyle name="40% - Accent6 2 2 2 10 3 3" xfId="37400"/>
    <cellStyle name="40% - Accent6 2 2 2 10 4" xfId="13386"/>
    <cellStyle name="40% - Accent6 2 2 2 10 4 2" xfId="19814"/>
    <cellStyle name="40% - Accent6 2 2 2 10 4 2 2" xfId="48675"/>
    <cellStyle name="40% - Accent6 2 2 2 10 4 3" xfId="42247"/>
    <cellStyle name="40% - Accent6 2 2 2 10 5" xfId="17134"/>
    <cellStyle name="40% - Accent6 2 2 2 10 5 2" xfId="45995"/>
    <cellStyle name="40% - Accent6 2 2 2 10 6" xfId="31359"/>
    <cellStyle name="40% - Accent6 2 2 2 11" xfId="2706"/>
    <cellStyle name="40% - Accent6 2 2 2 11 2" xfId="5592"/>
    <cellStyle name="40% - Accent6 2 2 2 11 2 2" xfId="11633"/>
    <cellStyle name="40% - Accent6 2 2 2 11 2 2 2" xfId="28680"/>
    <cellStyle name="40% - Accent6 2 2 2 11 2 2 2 2" xfId="57541"/>
    <cellStyle name="40% - Accent6 2 2 2 11 2 2 3" xfId="40494"/>
    <cellStyle name="40% - Accent6 2 2 2 11 2 3" xfId="22702"/>
    <cellStyle name="40% - Accent6 2 2 2 11 2 3 2" xfId="51563"/>
    <cellStyle name="40% - Accent6 2 2 2 11 2 4" xfId="34453"/>
    <cellStyle name="40% - Accent6 2 2 2 11 3" xfId="8747"/>
    <cellStyle name="40% - Accent6 2 2 2 11 3 2" xfId="25794"/>
    <cellStyle name="40% - Accent6 2 2 2 11 3 2 2" xfId="54655"/>
    <cellStyle name="40% - Accent6 2 2 2 11 3 3" xfId="37608"/>
    <cellStyle name="40% - Accent6 2 2 2 11 4" xfId="13690"/>
    <cellStyle name="40% - Accent6 2 2 2 11 4 2" xfId="20022"/>
    <cellStyle name="40% - Accent6 2 2 2 11 4 2 2" xfId="48883"/>
    <cellStyle name="40% - Accent6 2 2 2 11 4 3" xfId="42551"/>
    <cellStyle name="40% - Accent6 2 2 2 11 5" xfId="17342"/>
    <cellStyle name="40% - Accent6 2 2 2 11 5 2" xfId="46203"/>
    <cellStyle name="40% - Accent6 2 2 2 11 6" xfId="31567"/>
    <cellStyle name="40% - Accent6 2 2 2 12" xfId="3221"/>
    <cellStyle name="40% - Accent6 2 2 2 12 2" xfId="9262"/>
    <cellStyle name="40% - Accent6 2 2 2 12 2 2" xfId="26309"/>
    <cellStyle name="40% - Accent6 2 2 2 12 2 2 2" xfId="55170"/>
    <cellStyle name="40% - Accent6 2 2 2 12 2 3" xfId="38123"/>
    <cellStyle name="40% - Accent6 2 2 2 12 3" xfId="6063"/>
    <cellStyle name="40% - Accent6 2 2 2 12 3 2" xfId="20331"/>
    <cellStyle name="40% - Accent6 2 2 2 12 3 2 2" xfId="49192"/>
    <cellStyle name="40% - Accent6 2 2 2 12 3 3" xfId="34924"/>
    <cellStyle name="40% - Accent6 2 2 2 12 4" xfId="14971"/>
    <cellStyle name="40% - Accent6 2 2 2 12 4 2" xfId="43832"/>
    <cellStyle name="40% - Accent6 2 2 2 12 5" xfId="32082"/>
    <cellStyle name="40% - Accent6 2 2 2 13" xfId="2912"/>
    <cellStyle name="40% - Accent6 2 2 2 13 2" xfId="8953"/>
    <cellStyle name="40% - Accent6 2 2 2 13 2 2" xfId="26000"/>
    <cellStyle name="40% - Accent6 2 2 2 13 2 2 2" xfId="54861"/>
    <cellStyle name="40% - Accent6 2 2 2 13 2 3" xfId="37814"/>
    <cellStyle name="40% - Accent6 2 2 2 13 3" xfId="17548"/>
    <cellStyle name="40% - Accent6 2 2 2 13 3 2" xfId="46409"/>
    <cellStyle name="40% - Accent6 2 2 2 13 4" xfId="31773"/>
    <cellStyle name="40% - Accent6 2 2 2 14" xfId="5798"/>
    <cellStyle name="40% - Accent6 2 2 2 14 2" xfId="11839"/>
    <cellStyle name="40% - Accent6 2 2 2 14 2 2" xfId="28886"/>
    <cellStyle name="40% - Accent6 2 2 2 14 2 2 2" xfId="57747"/>
    <cellStyle name="40% - Accent6 2 2 2 14 2 3" xfId="40700"/>
    <cellStyle name="40% - Accent6 2 2 2 14 3" xfId="22908"/>
    <cellStyle name="40% - Accent6 2 2 2 14 3 2" xfId="51769"/>
    <cellStyle name="40% - Accent6 2 2 2 14 4" xfId="34659"/>
    <cellStyle name="40% - Accent6 2 2 2 15" xfId="6015"/>
    <cellStyle name="40% - Accent6 2 2 2 15 2" xfId="23114"/>
    <cellStyle name="40% - Accent6 2 2 2 15 2 2" xfId="51975"/>
    <cellStyle name="40% - Accent6 2 2 2 15 3" xfId="34876"/>
    <cellStyle name="40% - Accent6 2 2 2 16" xfId="6376"/>
    <cellStyle name="40% - Accent6 2 2 2 16 2" xfId="23423"/>
    <cellStyle name="40% - Accent6 2 2 2 16 2 2" xfId="52284"/>
    <cellStyle name="40% - Accent6 2 2 2 16 3" xfId="35237"/>
    <cellStyle name="40% - Accent6 2 2 2 17" xfId="14662"/>
    <cellStyle name="40% - Accent6 2 2 2 17 2" xfId="43523"/>
    <cellStyle name="40% - Accent6 2 2 2 18" xfId="29196"/>
    <cellStyle name="40% - Accent6 2 2 2 2" xfId="540"/>
    <cellStyle name="40% - Accent6 2 2 2 2 2" xfId="2291"/>
    <cellStyle name="40% - Accent6 2 2 2 2 2 2" xfId="5178"/>
    <cellStyle name="40% - Accent6 2 2 2 2 2 2 2" xfId="11219"/>
    <cellStyle name="40% - Accent6 2 2 2 2 2 2 2 2" xfId="28266"/>
    <cellStyle name="40% - Accent6 2 2 2 2 2 2 2 2 2" xfId="57127"/>
    <cellStyle name="40% - Accent6 2 2 2 2 2 2 2 3" xfId="40080"/>
    <cellStyle name="40% - Accent6 2 2 2 2 2 2 3" xfId="22288"/>
    <cellStyle name="40% - Accent6 2 2 2 2 2 2 3 2" xfId="51149"/>
    <cellStyle name="40% - Accent6 2 2 2 2 2 2 4" xfId="34039"/>
    <cellStyle name="40% - Accent6 2 2 2 2 2 3" xfId="8333"/>
    <cellStyle name="40% - Accent6 2 2 2 2 2 3 2" xfId="25380"/>
    <cellStyle name="40% - Accent6 2 2 2 2 2 3 2 2" xfId="54241"/>
    <cellStyle name="40% - Accent6 2 2 2 2 2 3 3" xfId="37194"/>
    <cellStyle name="40% - Accent6 2 2 2 2 2 4" xfId="12732"/>
    <cellStyle name="40% - Accent6 2 2 2 2 2 4 2" xfId="19608"/>
    <cellStyle name="40% - Accent6 2 2 2 2 2 4 2 2" xfId="48469"/>
    <cellStyle name="40% - Accent6 2 2 2 2 2 4 3" xfId="41593"/>
    <cellStyle name="40% - Accent6 2 2 2 2 2 5" xfId="16928"/>
    <cellStyle name="40% - Accent6 2 2 2 2 2 5 2" xfId="45789"/>
    <cellStyle name="40% - Accent6 2 2 2 2 2 6" xfId="31153"/>
    <cellStyle name="40% - Accent6 2 2 2 2 3" xfId="3427"/>
    <cellStyle name="40% - Accent6 2 2 2 2 3 2" xfId="9468"/>
    <cellStyle name="40% - Accent6 2 2 2 2 3 2 2" xfId="26515"/>
    <cellStyle name="40% - Accent6 2 2 2 2 3 2 2 2" xfId="55376"/>
    <cellStyle name="40% - Accent6 2 2 2 2 3 2 3" xfId="38329"/>
    <cellStyle name="40% - Accent6 2 2 2 2 3 3" xfId="20537"/>
    <cellStyle name="40% - Accent6 2 2 2 2 3 3 2" xfId="49398"/>
    <cellStyle name="40% - Accent6 2 2 2 2 3 4" xfId="32288"/>
    <cellStyle name="40% - Accent6 2 2 2 2 4" xfId="6582"/>
    <cellStyle name="40% - Accent6 2 2 2 2 4 2" xfId="23629"/>
    <cellStyle name="40% - Accent6 2 2 2 2 4 2 2" xfId="52490"/>
    <cellStyle name="40% - Accent6 2 2 2 2 4 3" xfId="35443"/>
    <cellStyle name="40% - Accent6 2 2 2 2 5" xfId="13760"/>
    <cellStyle name="40% - Accent6 2 2 2 2 5 2" xfId="17857"/>
    <cellStyle name="40% - Accent6 2 2 2 2 5 2 2" xfId="46718"/>
    <cellStyle name="40% - Accent6 2 2 2 2 5 3" xfId="42621"/>
    <cellStyle name="40% - Accent6 2 2 2 2 6" xfId="15177"/>
    <cellStyle name="40% - Accent6 2 2 2 2 6 2" xfId="44038"/>
    <cellStyle name="40% - Accent6 2 2 2 2 7" xfId="29402"/>
    <cellStyle name="40% - Accent6 2 2 2 3" xfId="849"/>
    <cellStyle name="40% - Accent6 2 2 2 3 2" xfId="3736"/>
    <cellStyle name="40% - Accent6 2 2 2 3 2 2" xfId="9777"/>
    <cellStyle name="40% - Accent6 2 2 2 3 2 2 2" xfId="26824"/>
    <cellStyle name="40% - Accent6 2 2 2 3 2 2 2 2" xfId="55685"/>
    <cellStyle name="40% - Accent6 2 2 2 3 2 2 3" xfId="38638"/>
    <cellStyle name="40% - Accent6 2 2 2 3 2 3" xfId="20846"/>
    <cellStyle name="40% - Accent6 2 2 2 3 2 3 2" xfId="49707"/>
    <cellStyle name="40% - Accent6 2 2 2 3 2 4" xfId="32597"/>
    <cellStyle name="40% - Accent6 2 2 2 3 3" xfId="6891"/>
    <cellStyle name="40% - Accent6 2 2 2 3 3 2" xfId="23938"/>
    <cellStyle name="40% - Accent6 2 2 2 3 3 2 2" xfId="52799"/>
    <cellStyle name="40% - Accent6 2 2 2 3 3 3" xfId="35752"/>
    <cellStyle name="40% - Accent6 2 2 2 3 4" xfId="14371"/>
    <cellStyle name="40% - Accent6 2 2 2 3 4 2" xfId="18166"/>
    <cellStyle name="40% - Accent6 2 2 2 3 4 2 2" xfId="47027"/>
    <cellStyle name="40% - Accent6 2 2 2 3 4 3" xfId="43232"/>
    <cellStyle name="40% - Accent6 2 2 2 3 5" xfId="15486"/>
    <cellStyle name="40% - Accent6 2 2 2 3 5 2" xfId="44347"/>
    <cellStyle name="40% - Accent6 2 2 2 3 6" xfId="29711"/>
    <cellStyle name="40% - Accent6 2 2 2 4" xfId="1055"/>
    <cellStyle name="40% - Accent6 2 2 2 4 2" xfId="3942"/>
    <cellStyle name="40% - Accent6 2 2 2 4 2 2" xfId="9983"/>
    <cellStyle name="40% - Accent6 2 2 2 4 2 2 2" xfId="27030"/>
    <cellStyle name="40% - Accent6 2 2 2 4 2 2 2 2" xfId="55891"/>
    <cellStyle name="40% - Accent6 2 2 2 4 2 2 3" xfId="38844"/>
    <cellStyle name="40% - Accent6 2 2 2 4 2 3" xfId="21052"/>
    <cellStyle name="40% - Accent6 2 2 2 4 2 3 2" xfId="49913"/>
    <cellStyle name="40% - Accent6 2 2 2 4 2 4" xfId="32803"/>
    <cellStyle name="40% - Accent6 2 2 2 4 3" xfId="7097"/>
    <cellStyle name="40% - Accent6 2 2 2 4 3 2" xfId="24144"/>
    <cellStyle name="40% - Accent6 2 2 2 4 3 2 2" xfId="53005"/>
    <cellStyle name="40% - Accent6 2 2 2 4 3 3" xfId="35958"/>
    <cellStyle name="40% - Accent6 2 2 2 4 4" xfId="12247"/>
    <cellStyle name="40% - Accent6 2 2 2 4 4 2" xfId="18372"/>
    <cellStyle name="40% - Accent6 2 2 2 4 4 2 2" xfId="47233"/>
    <cellStyle name="40% - Accent6 2 2 2 4 4 3" xfId="41108"/>
    <cellStyle name="40% - Accent6 2 2 2 4 5" xfId="15692"/>
    <cellStyle name="40% - Accent6 2 2 2 4 5 2" xfId="44553"/>
    <cellStyle name="40% - Accent6 2 2 2 4 6" xfId="29917"/>
    <cellStyle name="40% - Accent6 2 2 2 5" xfId="1261"/>
    <cellStyle name="40% - Accent6 2 2 2 5 2" xfId="4148"/>
    <cellStyle name="40% - Accent6 2 2 2 5 2 2" xfId="10189"/>
    <cellStyle name="40% - Accent6 2 2 2 5 2 2 2" xfId="27236"/>
    <cellStyle name="40% - Accent6 2 2 2 5 2 2 2 2" xfId="56097"/>
    <cellStyle name="40% - Accent6 2 2 2 5 2 2 3" xfId="39050"/>
    <cellStyle name="40% - Accent6 2 2 2 5 2 3" xfId="21258"/>
    <cellStyle name="40% - Accent6 2 2 2 5 2 3 2" xfId="50119"/>
    <cellStyle name="40% - Accent6 2 2 2 5 2 4" xfId="33009"/>
    <cellStyle name="40% - Accent6 2 2 2 5 3" xfId="7303"/>
    <cellStyle name="40% - Accent6 2 2 2 5 3 2" xfId="24350"/>
    <cellStyle name="40% - Accent6 2 2 2 5 3 2 2" xfId="53211"/>
    <cellStyle name="40% - Accent6 2 2 2 5 3 3" xfId="36164"/>
    <cellStyle name="40% - Accent6 2 2 2 5 4" xfId="14426"/>
    <cellStyle name="40% - Accent6 2 2 2 5 4 2" xfId="18578"/>
    <cellStyle name="40% - Accent6 2 2 2 5 4 2 2" xfId="47439"/>
    <cellStyle name="40% - Accent6 2 2 2 5 4 3" xfId="43287"/>
    <cellStyle name="40% - Accent6 2 2 2 5 5" xfId="15898"/>
    <cellStyle name="40% - Accent6 2 2 2 5 5 2" xfId="44759"/>
    <cellStyle name="40% - Accent6 2 2 2 5 6" xfId="30123"/>
    <cellStyle name="40% - Accent6 2 2 2 6" xfId="1467"/>
    <cellStyle name="40% - Accent6 2 2 2 6 2" xfId="4354"/>
    <cellStyle name="40% - Accent6 2 2 2 6 2 2" xfId="10395"/>
    <cellStyle name="40% - Accent6 2 2 2 6 2 2 2" xfId="27442"/>
    <cellStyle name="40% - Accent6 2 2 2 6 2 2 2 2" xfId="56303"/>
    <cellStyle name="40% - Accent6 2 2 2 6 2 2 3" xfId="39256"/>
    <cellStyle name="40% - Accent6 2 2 2 6 2 3" xfId="21464"/>
    <cellStyle name="40% - Accent6 2 2 2 6 2 3 2" xfId="50325"/>
    <cellStyle name="40% - Accent6 2 2 2 6 2 4" xfId="33215"/>
    <cellStyle name="40% - Accent6 2 2 2 6 3" xfId="7509"/>
    <cellStyle name="40% - Accent6 2 2 2 6 3 2" xfId="24556"/>
    <cellStyle name="40% - Accent6 2 2 2 6 3 2 2" xfId="53417"/>
    <cellStyle name="40% - Accent6 2 2 2 6 3 3" xfId="36370"/>
    <cellStyle name="40% - Accent6 2 2 2 6 4" xfId="14452"/>
    <cellStyle name="40% - Accent6 2 2 2 6 4 2" xfId="18784"/>
    <cellStyle name="40% - Accent6 2 2 2 6 4 2 2" xfId="47645"/>
    <cellStyle name="40% - Accent6 2 2 2 6 4 3" xfId="43313"/>
    <cellStyle name="40% - Accent6 2 2 2 6 5" xfId="16104"/>
    <cellStyle name="40% - Accent6 2 2 2 6 5 2" xfId="44965"/>
    <cellStyle name="40% - Accent6 2 2 2 6 6" xfId="30329"/>
    <cellStyle name="40% - Accent6 2 2 2 7" xfId="1673"/>
    <cellStyle name="40% - Accent6 2 2 2 7 2" xfId="4560"/>
    <cellStyle name="40% - Accent6 2 2 2 7 2 2" xfId="10601"/>
    <cellStyle name="40% - Accent6 2 2 2 7 2 2 2" xfId="27648"/>
    <cellStyle name="40% - Accent6 2 2 2 7 2 2 2 2" xfId="56509"/>
    <cellStyle name="40% - Accent6 2 2 2 7 2 2 3" xfId="39462"/>
    <cellStyle name="40% - Accent6 2 2 2 7 2 3" xfId="21670"/>
    <cellStyle name="40% - Accent6 2 2 2 7 2 3 2" xfId="50531"/>
    <cellStyle name="40% - Accent6 2 2 2 7 2 4" xfId="33421"/>
    <cellStyle name="40% - Accent6 2 2 2 7 3" xfId="7715"/>
    <cellStyle name="40% - Accent6 2 2 2 7 3 2" xfId="24762"/>
    <cellStyle name="40% - Accent6 2 2 2 7 3 2 2" xfId="53623"/>
    <cellStyle name="40% - Accent6 2 2 2 7 3 3" xfId="36576"/>
    <cellStyle name="40% - Accent6 2 2 2 7 4" xfId="13826"/>
    <cellStyle name="40% - Accent6 2 2 2 7 4 2" xfId="18990"/>
    <cellStyle name="40% - Accent6 2 2 2 7 4 2 2" xfId="47851"/>
    <cellStyle name="40% - Accent6 2 2 2 7 4 3" xfId="42687"/>
    <cellStyle name="40% - Accent6 2 2 2 7 5" xfId="16310"/>
    <cellStyle name="40% - Accent6 2 2 2 7 5 2" xfId="45171"/>
    <cellStyle name="40% - Accent6 2 2 2 7 6" xfId="30535"/>
    <cellStyle name="40% - Accent6 2 2 2 8" xfId="1879"/>
    <cellStyle name="40% - Accent6 2 2 2 8 2" xfId="4766"/>
    <cellStyle name="40% - Accent6 2 2 2 8 2 2" xfId="10807"/>
    <cellStyle name="40% - Accent6 2 2 2 8 2 2 2" xfId="27854"/>
    <cellStyle name="40% - Accent6 2 2 2 8 2 2 2 2" xfId="56715"/>
    <cellStyle name="40% - Accent6 2 2 2 8 2 2 3" xfId="39668"/>
    <cellStyle name="40% - Accent6 2 2 2 8 2 3" xfId="21876"/>
    <cellStyle name="40% - Accent6 2 2 2 8 2 3 2" xfId="50737"/>
    <cellStyle name="40% - Accent6 2 2 2 8 2 4" xfId="33627"/>
    <cellStyle name="40% - Accent6 2 2 2 8 3" xfId="7921"/>
    <cellStyle name="40% - Accent6 2 2 2 8 3 2" xfId="24968"/>
    <cellStyle name="40% - Accent6 2 2 2 8 3 2 2" xfId="53829"/>
    <cellStyle name="40% - Accent6 2 2 2 8 3 3" xfId="36782"/>
    <cellStyle name="40% - Accent6 2 2 2 8 4" xfId="14347"/>
    <cellStyle name="40% - Accent6 2 2 2 8 4 2" xfId="19196"/>
    <cellStyle name="40% - Accent6 2 2 2 8 4 2 2" xfId="48057"/>
    <cellStyle name="40% - Accent6 2 2 2 8 4 3" xfId="43208"/>
    <cellStyle name="40% - Accent6 2 2 2 8 5" xfId="16516"/>
    <cellStyle name="40% - Accent6 2 2 2 8 5 2" xfId="45377"/>
    <cellStyle name="40% - Accent6 2 2 2 8 6" xfId="30741"/>
    <cellStyle name="40% - Accent6 2 2 2 9" xfId="2085"/>
    <cellStyle name="40% - Accent6 2 2 2 9 2" xfId="4972"/>
    <cellStyle name="40% - Accent6 2 2 2 9 2 2" xfId="11013"/>
    <cellStyle name="40% - Accent6 2 2 2 9 2 2 2" xfId="28060"/>
    <cellStyle name="40% - Accent6 2 2 2 9 2 2 2 2" xfId="56921"/>
    <cellStyle name="40% - Accent6 2 2 2 9 2 2 3" xfId="39874"/>
    <cellStyle name="40% - Accent6 2 2 2 9 2 3" xfId="22082"/>
    <cellStyle name="40% - Accent6 2 2 2 9 2 3 2" xfId="50943"/>
    <cellStyle name="40% - Accent6 2 2 2 9 2 4" xfId="33833"/>
    <cellStyle name="40% - Accent6 2 2 2 9 3" xfId="8127"/>
    <cellStyle name="40% - Accent6 2 2 2 9 3 2" xfId="25174"/>
    <cellStyle name="40% - Accent6 2 2 2 9 3 2 2" xfId="54035"/>
    <cellStyle name="40% - Accent6 2 2 2 9 3 3" xfId="36988"/>
    <cellStyle name="40% - Accent6 2 2 2 9 4" xfId="12921"/>
    <cellStyle name="40% - Accent6 2 2 2 9 4 2" xfId="19402"/>
    <cellStyle name="40% - Accent6 2 2 2 9 4 2 2" xfId="48263"/>
    <cellStyle name="40% - Accent6 2 2 2 9 4 3" xfId="41782"/>
    <cellStyle name="40% - Accent6 2 2 2 9 5" xfId="16722"/>
    <cellStyle name="40% - Accent6 2 2 2 9 5 2" xfId="45583"/>
    <cellStyle name="40% - Accent6 2 2 2 9 6" xfId="30947"/>
    <cellStyle name="40% - Accent6 2 2 20" xfId="28990"/>
    <cellStyle name="40% - Accent6 2 2 3" xfId="231"/>
    <cellStyle name="40% - Accent6 2 2 3 2" xfId="643"/>
    <cellStyle name="40% - Accent6 2 2 3 2 2" xfId="3530"/>
    <cellStyle name="40% - Accent6 2 2 3 2 2 2" xfId="9571"/>
    <cellStyle name="40% - Accent6 2 2 3 2 2 2 2" xfId="26618"/>
    <cellStyle name="40% - Accent6 2 2 3 2 2 2 2 2" xfId="55479"/>
    <cellStyle name="40% - Accent6 2 2 3 2 2 2 3" xfId="38432"/>
    <cellStyle name="40% - Accent6 2 2 3 2 2 3" xfId="20640"/>
    <cellStyle name="40% - Accent6 2 2 3 2 2 3 2" xfId="49501"/>
    <cellStyle name="40% - Accent6 2 2 3 2 2 4" xfId="32391"/>
    <cellStyle name="40% - Accent6 2 2 3 2 3" xfId="6685"/>
    <cellStyle name="40% - Accent6 2 2 3 2 3 2" xfId="23732"/>
    <cellStyle name="40% - Accent6 2 2 3 2 3 2 2" xfId="52593"/>
    <cellStyle name="40% - Accent6 2 2 3 2 3 3" xfId="35546"/>
    <cellStyle name="40% - Accent6 2 2 3 2 4" xfId="11931"/>
    <cellStyle name="40% - Accent6 2 2 3 2 4 2" xfId="17960"/>
    <cellStyle name="40% - Accent6 2 2 3 2 4 2 2" xfId="46821"/>
    <cellStyle name="40% - Accent6 2 2 3 2 4 3" xfId="40792"/>
    <cellStyle name="40% - Accent6 2 2 3 2 5" xfId="15280"/>
    <cellStyle name="40% - Accent6 2 2 3 2 5 2" xfId="44141"/>
    <cellStyle name="40% - Accent6 2 2 3 2 6" xfId="29505"/>
    <cellStyle name="40% - Accent6 2 2 3 3" xfId="2188"/>
    <cellStyle name="40% - Accent6 2 2 3 3 2" xfId="5075"/>
    <cellStyle name="40% - Accent6 2 2 3 3 2 2" xfId="11116"/>
    <cellStyle name="40% - Accent6 2 2 3 3 2 2 2" xfId="28163"/>
    <cellStyle name="40% - Accent6 2 2 3 3 2 2 2 2" xfId="57024"/>
    <cellStyle name="40% - Accent6 2 2 3 3 2 2 3" xfId="39977"/>
    <cellStyle name="40% - Accent6 2 2 3 3 2 3" xfId="22185"/>
    <cellStyle name="40% - Accent6 2 2 3 3 2 3 2" xfId="51046"/>
    <cellStyle name="40% - Accent6 2 2 3 3 2 4" xfId="33936"/>
    <cellStyle name="40% - Accent6 2 2 3 3 3" xfId="8230"/>
    <cellStyle name="40% - Accent6 2 2 3 3 3 2" xfId="25277"/>
    <cellStyle name="40% - Accent6 2 2 3 3 3 2 2" xfId="54138"/>
    <cellStyle name="40% - Accent6 2 2 3 3 3 3" xfId="37091"/>
    <cellStyle name="40% - Accent6 2 2 3 3 4" xfId="12763"/>
    <cellStyle name="40% - Accent6 2 2 3 3 4 2" xfId="19505"/>
    <cellStyle name="40% - Accent6 2 2 3 3 4 2 2" xfId="48366"/>
    <cellStyle name="40% - Accent6 2 2 3 3 4 3" xfId="41624"/>
    <cellStyle name="40% - Accent6 2 2 3 3 5" xfId="16825"/>
    <cellStyle name="40% - Accent6 2 2 3 3 5 2" xfId="45686"/>
    <cellStyle name="40% - Accent6 2 2 3 3 6" xfId="31050"/>
    <cellStyle name="40% - Accent6 2 2 3 4" xfId="3118"/>
    <cellStyle name="40% - Accent6 2 2 3 4 2" xfId="9159"/>
    <cellStyle name="40% - Accent6 2 2 3 4 2 2" xfId="26206"/>
    <cellStyle name="40% - Accent6 2 2 3 4 2 2 2" xfId="55067"/>
    <cellStyle name="40% - Accent6 2 2 3 4 2 3" xfId="38020"/>
    <cellStyle name="40% - Accent6 2 2 3 4 3" xfId="20228"/>
    <cellStyle name="40% - Accent6 2 2 3 4 3 2" xfId="49089"/>
    <cellStyle name="40% - Accent6 2 2 3 4 4" xfId="31979"/>
    <cellStyle name="40% - Accent6 2 2 3 5" xfId="6273"/>
    <cellStyle name="40% - Accent6 2 2 3 5 2" xfId="23320"/>
    <cellStyle name="40% - Accent6 2 2 3 5 2 2" xfId="52181"/>
    <cellStyle name="40% - Accent6 2 2 3 5 3" xfId="35134"/>
    <cellStyle name="40% - Accent6 2 2 3 6" xfId="12863"/>
    <cellStyle name="40% - Accent6 2 2 3 6 2" xfId="17651"/>
    <cellStyle name="40% - Accent6 2 2 3 6 2 2" xfId="46512"/>
    <cellStyle name="40% - Accent6 2 2 3 6 3" xfId="41724"/>
    <cellStyle name="40% - Accent6 2 2 3 7" xfId="14868"/>
    <cellStyle name="40% - Accent6 2 2 3 7 2" xfId="43729"/>
    <cellStyle name="40% - Accent6 2 2 3 8" xfId="29093"/>
    <cellStyle name="40% - Accent6 2 2 4" xfId="437"/>
    <cellStyle name="40% - Accent6 2 2 4 2" xfId="3324"/>
    <cellStyle name="40% - Accent6 2 2 4 2 2" xfId="9365"/>
    <cellStyle name="40% - Accent6 2 2 4 2 2 2" xfId="26412"/>
    <cellStyle name="40% - Accent6 2 2 4 2 2 2 2" xfId="55273"/>
    <cellStyle name="40% - Accent6 2 2 4 2 2 3" xfId="38226"/>
    <cellStyle name="40% - Accent6 2 2 4 2 3" xfId="20434"/>
    <cellStyle name="40% - Accent6 2 2 4 2 3 2" xfId="49295"/>
    <cellStyle name="40% - Accent6 2 2 4 2 4" xfId="32185"/>
    <cellStyle name="40% - Accent6 2 2 4 3" xfId="6479"/>
    <cellStyle name="40% - Accent6 2 2 4 3 2" xfId="23526"/>
    <cellStyle name="40% - Accent6 2 2 4 3 2 2" xfId="52387"/>
    <cellStyle name="40% - Accent6 2 2 4 3 3" xfId="35340"/>
    <cellStyle name="40% - Accent6 2 2 4 4" xfId="14036"/>
    <cellStyle name="40% - Accent6 2 2 4 4 2" xfId="17754"/>
    <cellStyle name="40% - Accent6 2 2 4 4 2 2" xfId="46615"/>
    <cellStyle name="40% - Accent6 2 2 4 4 3" xfId="42897"/>
    <cellStyle name="40% - Accent6 2 2 4 5" xfId="15074"/>
    <cellStyle name="40% - Accent6 2 2 4 5 2" xfId="43935"/>
    <cellStyle name="40% - Accent6 2 2 4 6" xfId="29299"/>
    <cellStyle name="40% - Accent6 2 2 5" xfId="746"/>
    <cellStyle name="40% - Accent6 2 2 5 2" xfId="3633"/>
    <cellStyle name="40% - Accent6 2 2 5 2 2" xfId="9674"/>
    <cellStyle name="40% - Accent6 2 2 5 2 2 2" xfId="26721"/>
    <cellStyle name="40% - Accent6 2 2 5 2 2 2 2" xfId="55582"/>
    <cellStyle name="40% - Accent6 2 2 5 2 2 3" xfId="38535"/>
    <cellStyle name="40% - Accent6 2 2 5 2 3" xfId="20743"/>
    <cellStyle name="40% - Accent6 2 2 5 2 3 2" xfId="49604"/>
    <cellStyle name="40% - Accent6 2 2 5 2 4" xfId="32494"/>
    <cellStyle name="40% - Accent6 2 2 5 3" xfId="6788"/>
    <cellStyle name="40% - Accent6 2 2 5 3 2" xfId="23835"/>
    <cellStyle name="40% - Accent6 2 2 5 3 2 2" xfId="52696"/>
    <cellStyle name="40% - Accent6 2 2 5 3 3" xfId="35649"/>
    <cellStyle name="40% - Accent6 2 2 5 4" xfId="12036"/>
    <cellStyle name="40% - Accent6 2 2 5 4 2" xfId="18063"/>
    <cellStyle name="40% - Accent6 2 2 5 4 2 2" xfId="46924"/>
    <cellStyle name="40% - Accent6 2 2 5 4 3" xfId="40897"/>
    <cellStyle name="40% - Accent6 2 2 5 5" xfId="15383"/>
    <cellStyle name="40% - Accent6 2 2 5 5 2" xfId="44244"/>
    <cellStyle name="40% - Accent6 2 2 5 6" xfId="29608"/>
    <cellStyle name="40% - Accent6 2 2 6" xfId="952"/>
    <cellStyle name="40% - Accent6 2 2 6 2" xfId="3839"/>
    <cellStyle name="40% - Accent6 2 2 6 2 2" xfId="9880"/>
    <cellStyle name="40% - Accent6 2 2 6 2 2 2" xfId="26927"/>
    <cellStyle name="40% - Accent6 2 2 6 2 2 2 2" xfId="55788"/>
    <cellStyle name="40% - Accent6 2 2 6 2 2 3" xfId="38741"/>
    <cellStyle name="40% - Accent6 2 2 6 2 3" xfId="20949"/>
    <cellStyle name="40% - Accent6 2 2 6 2 3 2" xfId="49810"/>
    <cellStyle name="40% - Accent6 2 2 6 2 4" xfId="32700"/>
    <cellStyle name="40% - Accent6 2 2 6 3" xfId="6994"/>
    <cellStyle name="40% - Accent6 2 2 6 3 2" xfId="24041"/>
    <cellStyle name="40% - Accent6 2 2 6 3 2 2" xfId="52902"/>
    <cellStyle name="40% - Accent6 2 2 6 3 3" xfId="35855"/>
    <cellStyle name="40% - Accent6 2 2 6 4" xfId="13891"/>
    <cellStyle name="40% - Accent6 2 2 6 4 2" xfId="18269"/>
    <cellStyle name="40% - Accent6 2 2 6 4 2 2" xfId="47130"/>
    <cellStyle name="40% - Accent6 2 2 6 4 3" xfId="42752"/>
    <cellStyle name="40% - Accent6 2 2 6 5" xfId="15589"/>
    <cellStyle name="40% - Accent6 2 2 6 5 2" xfId="44450"/>
    <cellStyle name="40% - Accent6 2 2 6 6" xfId="29814"/>
    <cellStyle name="40% - Accent6 2 2 7" xfId="1158"/>
    <cellStyle name="40% - Accent6 2 2 7 2" xfId="4045"/>
    <cellStyle name="40% - Accent6 2 2 7 2 2" xfId="10086"/>
    <cellStyle name="40% - Accent6 2 2 7 2 2 2" xfId="27133"/>
    <cellStyle name="40% - Accent6 2 2 7 2 2 2 2" xfId="55994"/>
    <cellStyle name="40% - Accent6 2 2 7 2 2 3" xfId="38947"/>
    <cellStyle name="40% - Accent6 2 2 7 2 3" xfId="21155"/>
    <cellStyle name="40% - Accent6 2 2 7 2 3 2" xfId="50016"/>
    <cellStyle name="40% - Accent6 2 2 7 2 4" xfId="32906"/>
    <cellStyle name="40% - Accent6 2 2 7 3" xfId="7200"/>
    <cellStyle name="40% - Accent6 2 2 7 3 2" xfId="24247"/>
    <cellStyle name="40% - Accent6 2 2 7 3 2 2" xfId="53108"/>
    <cellStyle name="40% - Accent6 2 2 7 3 3" xfId="36061"/>
    <cellStyle name="40% - Accent6 2 2 7 4" xfId="14431"/>
    <cellStyle name="40% - Accent6 2 2 7 4 2" xfId="18475"/>
    <cellStyle name="40% - Accent6 2 2 7 4 2 2" xfId="47336"/>
    <cellStyle name="40% - Accent6 2 2 7 4 3" xfId="43292"/>
    <cellStyle name="40% - Accent6 2 2 7 5" xfId="15795"/>
    <cellStyle name="40% - Accent6 2 2 7 5 2" xfId="44656"/>
    <cellStyle name="40% - Accent6 2 2 7 6" xfId="30020"/>
    <cellStyle name="40% - Accent6 2 2 8" xfId="1364"/>
    <cellStyle name="40% - Accent6 2 2 8 2" xfId="4251"/>
    <cellStyle name="40% - Accent6 2 2 8 2 2" xfId="10292"/>
    <cellStyle name="40% - Accent6 2 2 8 2 2 2" xfId="27339"/>
    <cellStyle name="40% - Accent6 2 2 8 2 2 2 2" xfId="56200"/>
    <cellStyle name="40% - Accent6 2 2 8 2 2 3" xfId="39153"/>
    <cellStyle name="40% - Accent6 2 2 8 2 3" xfId="21361"/>
    <cellStyle name="40% - Accent6 2 2 8 2 3 2" xfId="50222"/>
    <cellStyle name="40% - Accent6 2 2 8 2 4" xfId="33112"/>
    <cellStyle name="40% - Accent6 2 2 8 3" xfId="7406"/>
    <cellStyle name="40% - Accent6 2 2 8 3 2" xfId="24453"/>
    <cellStyle name="40% - Accent6 2 2 8 3 2 2" xfId="53314"/>
    <cellStyle name="40% - Accent6 2 2 8 3 3" xfId="36267"/>
    <cellStyle name="40% - Accent6 2 2 8 4" xfId="12616"/>
    <cellStyle name="40% - Accent6 2 2 8 4 2" xfId="18681"/>
    <cellStyle name="40% - Accent6 2 2 8 4 2 2" xfId="47542"/>
    <cellStyle name="40% - Accent6 2 2 8 4 3" xfId="41477"/>
    <cellStyle name="40% - Accent6 2 2 8 5" xfId="16001"/>
    <cellStyle name="40% - Accent6 2 2 8 5 2" xfId="44862"/>
    <cellStyle name="40% - Accent6 2 2 8 6" xfId="30226"/>
    <cellStyle name="40% - Accent6 2 2 9" xfId="1570"/>
    <cellStyle name="40% - Accent6 2 2 9 2" xfId="4457"/>
    <cellStyle name="40% - Accent6 2 2 9 2 2" xfId="10498"/>
    <cellStyle name="40% - Accent6 2 2 9 2 2 2" xfId="27545"/>
    <cellStyle name="40% - Accent6 2 2 9 2 2 2 2" xfId="56406"/>
    <cellStyle name="40% - Accent6 2 2 9 2 2 3" xfId="39359"/>
    <cellStyle name="40% - Accent6 2 2 9 2 3" xfId="21567"/>
    <cellStyle name="40% - Accent6 2 2 9 2 3 2" xfId="50428"/>
    <cellStyle name="40% - Accent6 2 2 9 2 4" xfId="33318"/>
    <cellStyle name="40% - Accent6 2 2 9 3" xfId="7612"/>
    <cellStyle name="40% - Accent6 2 2 9 3 2" xfId="24659"/>
    <cellStyle name="40% - Accent6 2 2 9 3 2 2" xfId="53520"/>
    <cellStyle name="40% - Accent6 2 2 9 3 3" xfId="36473"/>
    <cellStyle name="40% - Accent6 2 2 9 4" xfId="13209"/>
    <cellStyle name="40% - Accent6 2 2 9 4 2" xfId="18887"/>
    <cellStyle name="40% - Accent6 2 2 9 4 2 2" xfId="47748"/>
    <cellStyle name="40% - Accent6 2 2 9 4 3" xfId="42070"/>
    <cellStyle name="40% - Accent6 2 2 9 5" xfId="16207"/>
    <cellStyle name="40% - Accent6 2 2 9 5 2" xfId="45068"/>
    <cellStyle name="40% - Accent6 2 2 9 6" xfId="30432"/>
    <cellStyle name="40% - Accent6 2 20" xfId="6144"/>
    <cellStyle name="40% - Accent6 2 20 2" xfId="23191"/>
    <cellStyle name="40% - Accent6 2 20 2 2" xfId="52052"/>
    <cellStyle name="40% - Accent6 2 20 3" xfId="35005"/>
    <cellStyle name="40% - Accent6 2 21" xfId="14533"/>
    <cellStyle name="40% - Accent6 2 21 2" xfId="43394"/>
    <cellStyle name="40% - Accent6 2 22" xfId="28964"/>
    <cellStyle name="40% - Accent6 2 3" xfId="154"/>
    <cellStyle name="40% - Accent6 2 3 10" xfId="1802"/>
    <cellStyle name="40% - Accent6 2 3 10 2" xfId="4689"/>
    <cellStyle name="40% - Accent6 2 3 10 2 2" xfId="10730"/>
    <cellStyle name="40% - Accent6 2 3 10 2 2 2" xfId="27777"/>
    <cellStyle name="40% - Accent6 2 3 10 2 2 2 2" xfId="56638"/>
    <cellStyle name="40% - Accent6 2 3 10 2 2 3" xfId="39591"/>
    <cellStyle name="40% - Accent6 2 3 10 2 3" xfId="21799"/>
    <cellStyle name="40% - Accent6 2 3 10 2 3 2" xfId="50660"/>
    <cellStyle name="40% - Accent6 2 3 10 2 4" xfId="33550"/>
    <cellStyle name="40% - Accent6 2 3 10 3" xfId="7844"/>
    <cellStyle name="40% - Accent6 2 3 10 3 2" xfId="24891"/>
    <cellStyle name="40% - Accent6 2 3 10 3 2 2" xfId="53752"/>
    <cellStyle name="40% - Accent6 2 3 10 3 3" xfId="36705"/>
    <cellStyle name="40% - Accent6 2 3 10 4" xfId="12270"/>
    <cellStyle name="40% - Accent6 2 3 10 4 2" xfId="19119"/>
    <cellStyle name="40% - Accent6 2 3 10 4 2 2" xfId="47980"/>
    <cellStyle name="40% - Accent6 2 3 10 4 3" xfId="41131"/>
    <cellStyle name="40% - Accent6 2 3 10 5" xfId="16439"/>
    <cellStyle name="40% - Accent6 2 3 10 5 2" xfId="45300"/>
    <cellStyle name="40% - Accent6 2 3 10 6" xfId="30664"/>
    <cellStyle name="40% - Accent6 2 3 11" xfId="2008"/>
    <cellStyle name="40% - Accent6 2 3 11 2" xfId="4895"/>
    <cellStyle name="40% - Accent6 2 3 11 2 2" xfId="10936"/>
    <cellStyle name="40% - Accent6 2 3 11 2 2 2" xfId="27983"/>
    <cellStyle name="40% - Accent6 2 3 11 2 2 2 2" xfId="56844"/>
    <cellStyle name="40% - Accent6 2 3 11 2 2 3" xfId="39797"/>
    <cellStyle name="40% - Accent6 2 3 11 2 3" xfId="22005"/>
    <cellStyle name="40% - Accent6 2 3 11 2 3 2" xfId="50866"/>
    <cellStyle name="40% - Accent6 2 3 11 2 4" xfId="33756"/>
    <cellStyle name="40% - Accent6 2 3 11 3" xfId="8050"/>
    <cellStyle name="40% - Accent6 2 3 11 3 2" xfId="25097"/>
    <cellStyle name="40% - Accent6 2 3 11 3 2 2" xfId="53958"/>
    <cellStyle name="40% - Accent6 2 3 11 3 3" xfId="36911"/>
    <cellStyle name="40% - Accent6 2 3 11 4" xfId="13101"/>
    <cellStyle name="40% - Accent6 2 3 11 4 2" xfId="19325"/>
    <cellStyle name="40% - Accent6 2 3 11 4 2 2" xfId="48186"/>
    <cellStyle name="40% - Accent6 2 3 11 4 3" xfId="41962"/>
    <cellStyle name="40% - Accent6 2 3 11 5" xfId="16645"/>
    <cellStyle name="40% - Accent6 2 3 11 5 2" xfId="45506"/>
    <cellStyle name="40% - Accent6 2 3 11 6" xfId="30870"/>
    <cellStyle name="40% - Accent6 2 3 12" xfId="2420"/>
    <cellStyle name="40% - Accent6 2 3 12 2" xfId="5307"/>
    <cellStyle name="40% - Accent6 2 3 12 2 2" xfId="11348"/>
    <cellStyle name="40% - Accent6 2 3 12 2 2 2" xfId="28395"/>
    <cellStyle name="40% - Accent6 2 3 12 2 2 2 2" xfId="57256"/>
    <cellStyle name="40% - Accent6 2 3 12 2 2 3" xfId="40209"/>
    <cellStyle name="40% - Accent6 2 3 12 2 3" xfId="22417"/>
    <cellStyle name="40% - Accent6 2 3 12 2 3 2" xfId="51278"/>
    <cellStyle name="40% - Accent6 2 3 12 2 4" xfId="34168"/>
    <cellStyle name="40% - Accent6 2 3 12 3" xfId="8462"/>
    <cellStyle name="40% - Accent6 2 3 12 3 2" xfId="25509"/>
    <cellStyle name="40% - Accent6 2 3 12 3 2 2" xfId="54370"/>
    <cellStyle name="40% - Accent6 2 3 12 3 3" xfId="37323"/>
    <cellStyle name="40% - Accent6 2 3 12 4" xfId="12709"/>
    <cellStyle name="40% - Accent6 2 3 12 4 2" xfId="19737"/>
    <cellStyle name="40% - Accent6 2 3 12 4 2 2" xfId="48598"/>
    <cellStyle name="40% - Accent6 2 3 12 4 3" xfId="41570"/>
    <cellStyle name="40% - Accent6 2 3 12 5" xfId="17057"/>
    <cellStyle name="40% - Accent6 2 3 12 5 2" xfId="45918"/>
    <cellStyle name="40% - Accent6 2 3 12 6" xfId="31282"/>
    <cellStyle name="40% - Accent6 2 3 13" xfId="2629"/>
    <cellStyle name="40% - Accent6 2 3 13 2" xfId="5515"/>
    <cellStyle name="40% - Accent6 2 3 13 2 2" xfId="11556"/>
    <cellStyle name="40% - Accent6 2 3 13 2 2 2" xfId="28603"/>
    <cellStyle name="40% - Accent6 2 3 13 2 2 2 2" xfId="57464"/>
    <cellStyle name="40% - Accent6 2 3 13 2 2 3" xfId="40417"/>
    <cellStyle name="40% - Accent6 2 3 13 2 3" xfId="22625"/>
    <cellStyle name="40% - Accent6 2 3 13 2 3 2" xfId="51486"/>
    <cellStyle name="40% - Accent6 2 3 13 2 4" xfId="34376"/>
    <cellStyle name="40% - Accent6 2 3 13 3" xfId="8670"/>
    <cellStyle name="40% - Accent6 2 3 13 3 2" xfId="25717"/>
    <cellStyle name="40% - Accent6 2 3 13 3 2 2" xfId="54578"/>
    <cellStyle name="40% - Accent6 2 3 13 3 3" xfId="37531"/>
    <cellStyle name="40% - Accent6 2 3 13 4" xfId="13330"/>
    <cellStyle name="40% - Accent6 2 3 13 4 2" xfId="19945"/>
    <cellStyle name="40% - Accent6 2 3 13 4 2 2" xfId="48806"/>
    <cellStyle name="40% - Accent6 2 3 13 4 3" xfId="42191"/>
    <cellStyle name="40% - Accent6 2 3 13 5" xfId="17265"/>
    <cellStyle name="40% - Accent6 2 3 13 5 2" xfId="46126"/>
    <cellStyle name="40% - Accent6 2 3 13 6" xfId="31490"/>
    <cellStyle name="40% - Accent6 2 3 14" xfId="3041"/>
    <cellStyle name="40% - Accent6 2 3 14 2" xfId="9082"/>
    <cellStyle name="40% - Accent6 2 3 14 2 2" xfId="26129"/>
    <cellStyle name="40% - Accent6 2 3 14 2 2 2" xfId="54990"/>
    <cellStyle name="40% - Accent6 2 3 14 2 3" xfId="37943"/>
    <cellStyle name="40% - Accent6 2 3 14 3" xfId="13230"/>
    <cellStyle name="40% - Accent6 2 3 14 3 2" xfId="20151"/>
    <cellStyle name="40% - Accent6 2 3 14 3 2 2" xfId="49012"/>
    <cellStyle name="40% - Accent6 2 3 14 3 3" xfId="42091"/>
    <cellStyle name="40% - Accent6 2 3 14 4" xfId="14791"/>
    <cellStyle name="40% - Accent6 2 3 14 4 2" xfId="43652"/>
    <cellStyle name="40% - Accent6 2 3 14 5" xfId="31902"/>
    <cellStyle name="40% - Accent6 2 3 15" xfId="2835"/>
    <cellStyle name="40% - Accent6 2 3 15 2" xfId="8876"/>
    <cellStyle name="40% - Accent6 2 3 15 2 2" xfId="25923"/>
    <cellStyle name="40% - Accent6 2 3 15 2 2 2" xfId="54784"/>
    <cellStyle name="40% - Accent6 2 3 15 2 3" xfId="37737"/>
    <cellStyle name="40% - Accent6 2 3 15 3" xfId="17471"/>
    <cellStyle name="40% - Accent6 2 3 15 3 2" xfId="46332"/>
    <cellStyle name="40% - Accent6 2 3 15 4" xfId="31696"/>
    <cellStyle name="40% - Accent6 2 3 16" xfId="5721"/>
    <cellStyle name="40% - Accent6 2 3 16 2" xfId="11762"/>
    <cellStyle name="40% - Accent6 2 3 16 2 2" xfId="28809"/>
    <cellStyle name="40% - Accent6 2 3 16 2 2 2" xfId="57670"/>
    <cellStyle name="40% - Accent6 2 3 16 2 3" xfId="40623"/>
    <cellStyle name="40% - Accent6 2 3 16 3" xfId="22831"/>
    <cellStyle name="40% - Accent6 2 3 16 3 2" xfId="51692"/>
    <cellStyle name="40% - Accent6 2 3 16 4" xfId="34582"/>
    <cellStyle name="40% - Accent6 2 3 17" xfId="5938"/>
    <cellStyle name="40% - Accent6 2 3 17 2" xfId="23037"/>
    <cellStyle name="40% - Accent6 2 3 17 2 2" xfId="51898"/>
    <cellStyle name="40% - Accent6 2 3 17 3" xfId="34799"/>
    <cellStyle name="40% - Accent6 2 3 18" xfId="6196"/>
    <cellStyle name="40% - Accent6 2 3 18 2" xfId="23243"/>
    <cellStyle name="40% - Accent6 2 3 18 2 2" xfId="52104"/>
    <cellStyle name="40% - Accent6 2 3 18 3" xfId="35057"/>
    <cellStyle name="40% - Accent6 2 3 19" xfId="14585"/>
    <cellStyle name="40% - Accent6 2 3 19 2" xfId="43446"/>
    <cellStyle name="40% - Accent6 2 3 2" xfId="360"/>
    <cellStyle name="40% - Accent6 2 3 2 10" xfId="2523"/>
    <cellStyle name="40% - Accent6 2 3 2 10 2" xfId="5410"/>
    <cellStyle name="40% - Accent6 2 3 2 10 2 2" xfId="11451"/>
    <cellStyle name="40% - Accent6 2 3 2 10 2 2 2" xfId="28498"/>
    <cellStyle name="40% - Accent6 2 3 2 10 2 2 2 2" xfId="57359"/>
    <cellStyle name="40% - Accent6 2 3 2 10 2 2 3" xfId="40312"/>
    <cellStyle name="40% - Accent6 2 3 2 10 2 3" xfId="22520"/>
    <cellStyle name="40% - Accent6 2 3 2 10 2 3 2" xfId="51381"/>
    <cellStyle name="40% - Accent6 2 3 2 10 2 4" xfId="34271"/>
    <cellStyle name="40% - Accent6 2 3 2 10 3" xfId="8565"/>
    <cellStyle name="40% - Accent6 2 3 2 10 3 2" xfId="25612"/>
    <cellStyle name="40% - Accent6 2 3 2 10 3 2 2" xfId="54473"/>
    <cellStyle name="40% - Accent6 2 3 2 10 3 3" xfId="37426"/>
    <cellStyle name="40% - Accent6 2 3 2 10 4" xfId="12984"/>
    <cellStyle name="40% - Accent6 2 3 2 10 4 2" xfId="19840"/>
    <cellStyle name="40% - Accent6 2 3 2 10 4 2 2" xfId="48701"/>
    <cellStyle name="40% - Accent6 2 3 2 10 4 3" xfId="41845"/>
    <cellStyle name="40% - Accent6 2 3 2 10 5" xfId="17160"/>
    <cellStyle name="40% - Accent6 2 3 2 10 5 2" xfId="46021"/>
    <cellStyle name="40% - Accent6 2 3 2 10 6" xfId="31385"/>
    <cellStyle name="40% - Accent6 2 3 2 11" xfId="2732"/>
    <cellStyle name="40% - Accent6 2 3 2 11 2" xfId="5618"/>
    <cellStyle name="40% - Accent6 2 3 2 11 2 2" xfId="11659"/>
    <cellStyle name="40% - Accent6 2 3 2 11 2 2 2" xfId="28706"/>
    <cellStyle name="40% - Accent6 2 3 2 11 2 2 2 2" xfId="57567"/>
    <cellStyle name="40% - Accent6 2 3 2 11 2 2 3" xfId="40520"/>
    <cellStyle name="40% - Accent6 2 3 2 11 2 3" xfId="22728"/>
    <cellStyle name="40% - Accent6 2 3 2 11 2 3 2" xfId="51589"/>
    <cellStyle name="40% - Accent6 2 3 2 11 2 4" xfId="34479"/>
    <cellStyle name="40% - Accent6 2 3 2 11 3" xfId="8773"/>
    <cellStyle name="40% - Accent6 2 3 2 11 3 2" xfId="25820"/>
    <cellStyle name="40% - Accent6 2 3 2 11 3 2 2" xfId="54681"/>
    <cellStyle name="40% - Accent6 2 3 2 11 3 3" xfId="37634"/>
    <cellStyle name="40% - Accent6 2 3 2 11 4" xfId="13535"/>
    <cellStyle name="40% - Accent6 2 3 2 11 4 2" xfId="20048"/>
    <cellStyle name="40% - Accent6 2 3 2 11 4 2 2" xfId="48909"/>
    <cellStyle name="40% - Accent6 2 3 2 11 4 3" xfId="42396"/>
    <cellStyle name="40% - Accent6 2 3 2 11 5" xfId="17368"/>
    <cellStyle name="40% - Accent6 2 3 2 11 5 2" xfId="46229"/>
    <cellStyle name="40% - Accent6 2 3 2 11 6" xfId="31593"/>
    <cellStyle name="40% - Accent6 2 3 2 12" xfId="3247"/>
    <cellStyle name="40% - Accent6 2 3 2 12 2" xfId="9288"/>
    <cellStyle name="40% - Accent6 2 3 2 12 2 2" xfId="26335"/>
    <cellStyle name="40% - Accent6 2 3 2 12 2 2 2" xfId="55196"/>
    <cellStyle name="40% - Accent6 2 3 2 12 2 3" xfId="38149"/>
    <cellStyle name="40% - Accent6 2 3 2 12 3" xfId="12950"/>
    <cellStyle name="40% - Accent6 2 3 2 12 3 2" xfId="20357"/>
    <cellStyle name="40% - Accent6 2 3 2 12 3 2 2" xfId="49218"/>
    <cellStyle name="40% - Accent6 2 3 2 12 3 3" xfId="41811"/>
    <cellStyle name="40% - Accent6 2 3 2 12 4" xfId="14997"/>
    <cellStyle name="40% - Accent6 2 3 2 12 4 2" xfId="43858"/>
    <cellStyle name="40% - Accent6 2 3 2 12 5" xfId="32108"/>
    <cellStyle name="40% - Accent6 2 3 2 13" xfId="2938"/>
    <cellStyle name="40% - Accent6 2 3 2 13 2" xfId="8979"/>
    <cellStyle name="40% - Accent6 2 3 2 13 2 2" xfId="26026"/>
    <cellStyle name="40% - Accent6 2 3 2 13 2 2 2" xfId="54887"/>
    <cellStyle name="40% - Accent6 2 3 2 13 2 3" xfId="37840"/>
    <cellStyle name="40% - Accent6 2 3 2 13 3" xfId="17574"/>
    <cellStyle name="40% - Accent6 2 3 2 13 3 2" xfId="46435"/>
    <cellStyle name="40% - Accent6 2 3 2 13 4" xfId="31799"/>
    <cellStyle name="40% - Accent6 2 3 2 14" xfId="5824"/>
    <cellStyle name="40% - Accent6 2 3 2 14 2" xfId="11865"/>
    <cellStyle name="40% - Accent6 2 3 2 14 2 2" xfId="28912"/>
    <cellStyle name="40% - Accent6 2 3 2 14 2 2 2" xfId="57773"/>
    <cellStyle name="40% - Accent6 2 3 2 14 2 3" xfId="40726"/>
    <cellStyle name="40% - Accent6 2 3 2 14 3" xfId="22934"/>
    <cellStyle name="40% - Accent6 2 3 2 14 3 2" xfId="51795"/>
    <cellStyle name="40% - Accent6 2 3 2 14 4" xfId="34685"/>
    <cellStyle name="40% - Accent6 2 3 2 15" xfId="6041"/>
    <cellStyle name="40% - Accent6 2 3 2 15 2" xfId="23140"/>
    <cellStyle name="40% - Accent6 2 3 2 15 2 2" xfId="52001"/>
    <cellStyle name="40% - Accent6 2 3 2 15 3" xfId="34902"/>
    <cellStyle name="40% - Accent6 2 3 2 16" xfId="6402"/>
    <cellStyle name="40% - Accent6 2 3 2 16 2" xfId="23449"/>
    <cellStyle name="40% - Accent6 2 3 2 16 2 2" xfId="52310"/>
    <cellStyle name="40% - Accent6 2 3 2 16 3" xfId="35263"/>
    <cellStyle name="40% - Accent6 2 3 2 17" xfId="14688"/>
    <cellStyle name="40% - Accent6 2 3 2 17 2" xfId="43549"/>
    <cellStyle name="40% - Accent6 2 3 2 18" xfId="29222"/>
    <cellStyle name="40% - Accent6 2 3 2 2" xfId="566"/>
    <cellStyle name="40% - Accent6 2 3 2 2 2" xfId="2317"/>
    <cellStyle name="40% - Accent6 2 3 2 2 2 2" xfId="5204"/>
    <cellStyle name="40% - Accent6 2 3 2 2 2 2 2" xfId="11245"/>
    <cellStyle name="40% - Accent6 2 3 2 2 2 2 2 2" xfId="28292"/>
    <cellStyle name="40% - Accent6 2 3 2 2 2 2 2 2 2" xfId="57153"/>
    <cellStyle name="40% - Accent6 2 3 2 2 2 2 2 3" xfId="40106"/>
    <cellStyle name="40% - Accent6 2 3 2 2 2 2 3" xfId="22314"/>
    <cellStyle name="40% - Accent6 2 3 2 2 2 2 3 2" xfId="51175"/>
    <cellStyle name="40% - Accent6 2 3 2 2 2 2 4" xfId="34065"/>
    <cellStyle name="40% - Accent6 2 3 2 2 2 3" xfId="8359"/>
    <cellStyle name="40% - Accent6 2 3 2 2 2 3 2" xfId="25406"/>
    <cellStyle name="40% - Accent6 2 3 2 2 2 3 2 2" xfId="54267"/>
    <cellStyle name="40% - Accent6 2 3 2 2 2 3 3" xfId="37220"/>
    <cellStyle name="40% - Accent6 2 3 2 2 2 4" xfId="14113"/>
    <cellStyle name="40% - Accent6 2 3 2 2 2 4 2" xfId="19634"/>
    <cellStyle name="40% - Accent6 2 3 2 2 2 4 2 2" xfId="48495"/>
    <cellStyle name="40% - Accent6 2 3 2 2 2 4 3" xfId="42974"/>
    <cellStyle name="40% - Accent6 2 3 2 2 2 5" xfId="16954"/>
    <cellStyle name="40% - Accent6 2 3 2 2 2 5 2" xfId="45815"/>
    <cellStyle name="40% - Accent6 2 3 2 2 2 6" xfId="31179"/>
    <cellStyle name="40% - Accent6 2 3 2 2 3" xfId="3453"/>
    <cellStyle name="40% - Accent6 2 3 2 2 3 2" xfId="9494"/>
    <cellStyle name="40% - Accent6 2 3 2 2 3 2 2" xfId="26541"/>
    <cellStyle name="40% - Accent6 2 3 2 2 3 2 2 2" xfId="55402"/>
    <cellStyle name="40% - Accent6 2 3 2 2 3 2 3" xfId="38355"/>
    <cellStyle name="40% - Accent6 2 3 2 2 3 3" xfId="20563"/>
    <cellStyle name="40% - Accent6 2 3 2 2 3 3 2" xfId="49424"/>
    <cellStyle name="40% - Accent6 2 3 2 2 3 4" xfId="32314"/>
    <cellStyle name="40% - Accent6 2 3 2 2 4" xfId="6608"/>
    <cellStyle name="40% - Accent6 2 3 2 2 4 2" xfId="23655"/>
    <cellStyle name="40% - Accent6 2 3 2 2 4 2 2" xfId="52516"/>
    <cellStyle name="40% - Accent6 2 3 2 2 4 3" xfId="35469"/>
    <cellStyle name="40% - Accent6 2 3 2 2 5" xfId="14338"/>
    <cellStyle name="40% - Accent6 2 3 2 2 5 2" xfId="17883"/>
    <cellStyle name="40% - Accent6 2 3 2 2 5 2 2" xfId="46744"/>
    <cellStyle name="40% - Accent6 2 3 2 2 5 3" xfId="43199"/>
    <cellStyle name="40% - Accent6 2 3 2 2 6" xfId="15203"/>
    <cellStyle name="40% - Accent6 2 3 2 2 6 2" xfId="44064"/>
    <cellStyle name="40% - Accent6 2 3 2 2 7" xfId="29428"/>
    <cellStyle name="40% - Accent6 2 3 2 3" xfId="875"/>
    <cellStyle name="40% - Accent6 2 3 2 3 2" xfId="3762"/>
    <cellStyle name="40% - Accent6 2 3 2 3 2 2" xfId="9803"/>
    <cellStyle name="40% - Accent6 2 3 2 3 2 2 2" xfId="26850"/>
    <cellStyle name="40% - Accent6 2 3 2 3 2 2 2 2" xfId="55711"/>
    <cellStyle name="40% - Accent6 2 3 2 3 2 2 3" xfId="38664"/>
    <cellStyle name="40% - Accent6 2 3 2 3 2 3" xfId="20872"/>
    <cellStyle name="40% - Accent6 2 3 2 3 2 3 2" xfId="49733"/>
    <cellStyle name="40% - Accent6 2 3 2 3 2 4" xfId="32623"/>
    <cellStyle name="40% - Accent6 2 3 2 3 3" xfId="6917"/>
    <cellStyle name="40% - Accent6 2 3 2 3 3 2" xfId="23964"/>
    <cellStyle name="40% - Accent6 2 3 2 3 3 2 2" xfId="52825"/>
    <cellStyle name="40% - Accent6 2 3 2 3 3 3" xfId="35778"/>
    <cellStyle name="40% - Accent6 2 3 2 3 4" xfId="14172"/>
    <cellStyle name="40% - Accent6 2 3 2 3 4 2" xfId="18192"/>
    <cellStyle name="40% - Accent6 2 3 2 3 4 2 2" xfId="47053"/>
    <cellStyle name="40% - Accent6 2 3 2 3 4 3" xfId="43033"/>
    <cellStyle name="40% - Accent6 2 3 2 3 5" xfId="15512"/>
    <cellStyle name="40% - Accent6 2 3 2 3 5 2" xfId="44373"/>
    <cellStyle name="40% - Accent6 2 3 2 3 6" xfId="29737"/>
    <cellStyle name="40% - Accent6 2 3 2 4" xfId="1081"/>
    <cellStyle name="40% - Accent6 2 3 2 4 2" xfId="3968"/>
    <cellStyle name="40% - Accent6 2 3 2 4 2 2" xfId="10009"/>
    <cellStyle name="40% - Accent6 2 3 2 4 2 2 2" xfId="27056"/>
    <cellStyle name="40% - Accent6 2 3 2 4 2 2 2 2" xfId="55917"/>
    <cellStyle name="40% - Accent6 2 3 2 4 2 2 3" xfId="38870"/>
    <cellStyle name="40% - Accent6 2 3 2 4 2 3" xfId="21078"/>
    <cellStyle name="40% - Accent6 2 3 2 4 2 3 2" xfId="49939"/>
    <cellStyle name="40% - Accent6 2 3 2 4 2 4" xfId="32829"/>
    <cellStyle name="40% - Accent6 2 3 2 4 3" xfId="7123"/>
    <cellStyle name="40% - Accent6 2 3 2 4 3 2" xfId="24170"/>
    <cellStyle name="40% - Accent6 2 3 2 4 3 2 2" xfId="53031"/>
    <cellStyle name="40% - Accent6 2 3 2 4 3 3" xfId="35984"/>
    <cellStyle name="40% - Accent6 2 3 2 4 4" xfId="12117"/>
    <cellStyle name="40% - Accent6 2 3 2 4 4 2" xfId="18398"/>
    <cellStyle name="40% - Accent6 2 3 2 4 4 2 2" xfId="47259"/>
    <cellStyle name="40% - Accent6 2 3 2 4 4 3" xfId="40978"/>
    <cellStyle name="40% - Accent6 2 3 2 4 5" xfId="15718"/>
    <cellStyle name="40% - Accent6 2 3 2 4 5 2" xfId="44579"/>
    <cellStyle name="40% - Accent6 2 3 2 4 6" xfId="29943"/>
    <cellStyle name="40% - Accent6 2 3 2 5" xfId="1287"/>
    <cellStyle name="40% - Accent6 2 3 2 5 2" xfId="4174"/>
    <cellStyle name="40% - Accent6 2 3 2 5 2 2" xfId="10215"/>
    <cellStyle name="40% - Accent6 2 3 2 5 2 2 2" xfId="27262"/>
    <cellStyle name="40% - Accent6 2 3 2 5 2 2 2 2" xfId="56123"/>
    <cellStyle name="40% - Accent6 2 3 2 5 2 2 3" xfId="39076"/>
    <cellStyle name="40% - Accent6 2 3 2 5 2 3" xfId="21284"/>
    <cellStyle name="40% - Accent6 2 3 2 5 2 3 2" xfId="50145"/>
    <cellStyle name="40% - Accent6 2 3 2 5 2 4" xfId="33035"/>
    <cellStyle name="40% - Accent6 2 3 2 5 3" xfId="7329"/>
    <cellStyle name="40% - Accent6 2 3 2 5 3 2" xfId="24376"/>
    <cellStyle name="40% - Accent6 2 3 2 5 3 2 2" xfId="53237"/>
    <cellStyle name="40% - Accent6 2 3 2 5 3 3" xfId="36190"/>
    <cellStyle name="40% - Accent6 2 3 2 5 4" xfId="13382"/>
    <cellStyle name="40% - Accent6 2 3 2 5 4 2" xfId="18604"/>
    <cellStyle name="40% - Accent6 2 3 2 5 4 2 2" xfId="47465"/>
    <cellStyle name="40% - Accent6 2 3 2 5 4 3" xfId="42243"/>
    <cellStyle name="40% - Accent6 2 3 2 5 5" xfId="15924"/>
    <cellStyle name="40% - Accent6 2 3 2 5 5 2" xfId="44785"/>
    <cellStyle name="40% - Accent6 2 3 2 5 6" xfId="30149"/>
    <cellStyle name="40% - Accent6 2 3 2 6" xfId="1493"/>
    <cellStyle name="40% - Accent6 2 3 2 6 2" xfId="4380"/>
    <cellStyle name="40% - Accent6 2 3 2 6 2 2" xfId="10421"/>
    <cellStyle name="40% - Accent6 2 3 2 6 2 2 2" xfId="27468"/>
    <cellStyle name="40% - Accent6 2 3 2 6 2 2 2 2" xfId="56329"/>
    <cellStyle name="40% - Accent6 2 3 2 6 2 2 3" xfId="39282"/>
    <cellStyle name="40% - Accent6 2 3 2 6 2 3" xfId="21490"/>
    <cellStyle name="40% - Accent6 2 3 2 6 2 3 2" xfId="50351"/>
    <cellStyle name="40% - Accent6 2 3 2 6 2 4" xfId="33241"/>
    <cellStyle name="40% - Accent6 2 3 2 6 3" xfId="7535"/>
    <cellStyle name="40% - Accent6 2 3 2 6 3 2" xfId="24582"/>
    <cellStyle name="40% - Accent6 2 3 2 6 3 2 2" xfId="53443"/>
    <cellStyle name="40% - Accent6 2 3 2 6 3 3" xfId="36396"/>
    <cellStyle name="40% - Accent6 2 3 2 6 4" xfId="13174"/>
    <cellStyle name="40% - Accent6 2 3 2 6 4 2" xfId="18810"/>
    <cellStyle name="40% - Accent6 2 3 2 6 4 2 2" xfId="47671"/>
    <cellStyle name="40% - Accent6 2 3 2 6 4 3" xfId="42035"/>
    <cellStyle name="40% - Accent6 2 3 2 6 5" xfId="16130"/>
    <cellStyle name="40% - Accent6 2 3 2 6 5 2" xfId="44991"/>
    <cellStyle name="40% - Accent6 2 3 2 6 6" xfId="30355"/>
    <cellStyle name="40% - Accent6 2 3 2 7" xfId="1699"/>
    <cellStyle name="40% - Accent6 2 3 2 7 2" xfId="4586"/>
    <cellStyle name="40% - Accent6 2 3 2 7 2 2" xfId="10627"/>
    <cellStyle name="40% - Accent6 2 3 2 7 2 2 2" xfId="27674"/>
    <cellStyle name="40% - Accent6 2 3 2 7 2 2 2 2" xfId="56535"/>
    <cellStyle name="40% - Accent6 2 3 2 7 2 2 3" xfId="39488"/>
    <cellStyle name="40% - Accent6 2 3 2 7 2 3" xfId="21696"/>
    <cellStyle name="40% - Accent6 2 3 2 7 2 3 2" xfId="50557"/>
    <cellStyle name="40% - Accent6 2 3 2 7 2 4" xfId="33447"/>
    <cellStyle name="40% - Accent6 2 3 2 7 3" xfId="7741"/>
    <cellStyle name="40% - Accent6 2 3 2 7 3 2" xfId="24788"/>
    <cellStyle name="40% - Accent6 2 3 2 7 3 2 2" xfId="53649"/>
    <cellStyle name="40% - Accent6 2 3 2 7 3 3" xfId="36602"/>
    <cellStyle name="40% - Accent6 2 3 2 7 4" xfId="13582"/>
    <cellStyle name="40% - Accent6 2 3 2 7 4 2" xfId="19016"/>
    <cellStyle name="40% - Accent6 2 3 2 7 4 2 2" xfId="47877"/>
    <cellStyle name="40% - Accent6 2 3 2 7 4 3" xfId="42443"/>
    <cellStyle name="40% - Accent6 2 3 2 7 5" xfId="16336"/>
    <cellStyle name="40% - Accent6 2 3 2 7 5 2" xfId="45197"/>
    <cellStyle name="40% - Accent6 2 3 2 7 6" xfId="30561"/>
    <cellStyle name="40% - Accent6 2 3 2 8" xfId="1905"/>
    <cellStyle name="40% - Accent6 2 3 2 8 2" xfId="4792"/>
    <cellStyle name="40% - Accent6 2 3 2 8 2 2" xfId="10833"/>
    <cellStyle name="40% - Accent6 2 3 2 8 2 2 2" xfId="27880"/>
    <cellStyle name="40% - Accent6 2 3 2 8 2 2 2 2" xfId="56741"/>
    <cellStyle name="40% - Accent6 2 3 2 8 2 2 3" xfId="39694"/>
    <cellStyle name="40% - Accent6 2 3 2 8 2 3" xfId="21902"/>
    <cellStyle name="40% - Accent6 2 3 2 8 2 3 2" xfId="50763"/>
    <cellStyle name="40% - Accent6 2 3 2 8 2 4" xfId="33653"/>
    <cellStyle name="40% - Accent6 2 3 2 8 3" xfId="7947"/>
    <cellStyle name="40% - Accent6 2 3 2 8 3 2" xfId="24994"/>
    <cellStyle name="40% - Accent6 2 3 2 8 3 2 2" xfId="53855"/>
    <cellStyle name="40% - Accent6 2 3 2 8 3 3" xfId="36808"/>
    <cellStyle name="40% - Accent6 2 3 2 8 4" xfId="14116"/>
    <cellStyle name="40% - Accent6 2 3 2 8 4 2" xfId="19222"/>
    <cellStyle name="40% - Accent6 2 3 2 8 4 2 2" xfId="48083"/>
    <cellStyle name="40% - Accent6 2 3 2 8 4 3" xfId="42977"/>
    <cellStyle name="40% - Accent6 2 3 2 8 5" xfId="16542"/>
    <cellStyle name="40% - Accent6 2 3 2 8 5 2" xfId="45403"/>
    <cellStyle name="40% - Accent6 2 3 2 8 6" xfId="30767"/>
    <cellStyle name="40% - Accent6 2 3 2 9" xfId="2111"/>
    <cellStyle name="40% - Accent6 2 3 2 9 2" xfId="4998"/>
    <cellStyle name="40% - Accent6 2 3 2 9 2 2" xfId="11039"/>
    <cellStyle name="40% - Accent6 2 3 2 9 2 2 2" xfId="28086"/>
    <cellStyle name="40% - Accent6 2 3 2 9 2 2 2 2" xfId="56947"/>
    <cellStyle name="40% - Accent6 2 3 2 9 2 2 3" xfId="39900"/>
    <cellStyle name="40% - Accent6 2 3 2 9 2 3" xfId="22108"/>
    <cellStyle name="40% - Accent6 2 3 2 9 2 3 2" xfId="50969"/>
    <cellStyle name="40% - Accent6 2 3 2 9 2 4" xfId="33859"/>
    <cellStyle name="40% - Accent6 2 3 2 9 3" xfId="8153"/>
    <cellStyle name="40% - Accent6 2 3 2 9 3 2" xfId="25200"/>
    <cellStyle name="40% - Accent6 2 3 2 9 3 2 2" xfId="54061"/>
    <cellStyle name="40% - Accent6 2 3 2 9 3 3" xfId="37014"/>
    <cellStyle name="40% - Accent6 2 3 2 9 4" xfId="12872"/>
    <cellStyle name="40% - Accent6 2 3 2 9 4 2" xfId="19428"/>
    <cellStyle name="40% - Accent6 2 3 2 9 4 2 2" xfId="48289"/>
    <cellStyle name="40% - Accent6 2 3 2 9 4 3" xfId="41733"/>
    <cellStyle name="40% - Accent6 2 3 2 9 5" xfId="16748"/>
    <cellStyle name="40% - Accent6 2 3 2 9 5 2" xfId="45609"/>
    <cellStyle name="40% - Accent6 2 3 2 9 6" xfId="30973"/>
    <cellStyle name="40% - Accent6 2 3 20" xfId="29016"/>
    <cellStyle name="40% - Accent6 2 3 3" xfId="257"/>
    <cellStyle name="40% - Accent6 2 3 3 2" xfId="669"/>
    <cellStyle name="40% - Accent6 2 3 3 2 2" xfId="3556"/>
    <cellStyle name="40% - Accent6 2 3 3 2 2 2" xfId="9597"/>
    <cellStyle name="40% - Accent6 2 3 3 2 2 2 2" xfId="26644"/>
    <cellStyle name="40% - Accent6 2 3 3 2 2 2 2 2" xfId="55505"/>
    <cellStyle name="40% - Accent6 2 3 3 2 2 2 3" xfId="38458"/>
    <cellStyle name="40% - Accent6 2 3 3 2 2 3" xfId="20666"/>
    <cellStyle name="40% - Accent6 2 3 3 2 2 3 2" xfId="49527"/>
    <cellStyle name="40% - Accent6 2 3 3 2 2 4" xfId="32417"/>
    <cellStyle name="40% - Accent6 2 3 3 2 3" xfId="6711"/>
    <cellStyle name="40% - Accent6 2 3 3 2 3 2" xfId="23758"/>
    <cellStyle name="40% - Accent6 2 3 3 2 3 2 2" xfId="52619"/>
    <cellStyle name="40% - Accent6 2 3 3 2 3 3" xfId="35572"/>
    <cellStyle name="40% - Accent6 2 3 3 2 4" xfId="13660"/>
    <cellStyle name="40% - Accent6 2 3 3 2 4 2" xfId="17986"/>
    <cellStyle name="40% - Accent6 2 3 3 2 4 2 2" xfId="46847"/>
    <cellStyle name="40% - Accent6 2 3 3 2 4 3" xfId="42521"/>
    <cellStyle name="40% - Accent6 2 3 3 2 5" xfId="15306"/>
    <cellStyle name="40% - Accent6 2 3 3 2 5 2" xfId="44167"/>
    <cellStyle name="40% - Accent6 2 3 3 2 6" xfId="29531"/>
    <cellStyle name="40% - Accent6 2 3 3 3" xfId="2214"/>
    <cellStyle name="40% - Accent6 2 3 3 3 2" xfId="5101"/>
    <cellStyle name="40% - Accent6 2 3 3 3 2 2" xfId="11142"/>
    <cellStyle name="40% - Accent6 2 3 3 3 2 2 2" xfId="28189"/>
    <cellStyle name="40% - Accent6 2 3 3 3 2 2 2 2" xfId="57050"/>
    <cellStyle name="40% - Accent6 2 3 3 3 2 2 3" xfId="40003"/>
    <cellStyle name="40% - Accent6 2 3 3 3 2 3" xfId="22211"/>
    <cellStyle name="40% - Accent6 2 3 3 3 2 3 2" xfId="51072"/>
    <cellStyle name="40% - Accent6 2 3 3 3 2 4" xfId="33962"/>
    <cellStyle name="40% - Accent6 2 3 3 3 3" xfId="8256"/>
    <cellStyle name="40% - Accent6 2 3 3 3 3 2" xfId="25303"/>
    <cellStyle name="40% - Accent6 2 3 3 3 3 2 2" xfId="54164"/>
    <cellStyle name="40% - Accent6 2 3 3 3 3 3" xfId="37117"/>
    <cellStyle name="40% - Accent6 2 3 3 3 4" xfId="14204"/>
    <cellStyle name="40% - Accent6 2 3 3 3 4 2" xfId="19531"/>
    <cellStyle name="40% - Accent6 2 3 3 3 4 2 2" xfId="48392"/>
    <cellStyle name="40% - Accent6 2 3 3 3 4 3" xfId="43065"/>
    <cellStyle name="40% - Accent6 2 3 3 3 5" xfId="16851"/>
    <cellStyle name="40% - Accent6 2 3 3 3 5 2" xfId="45712"/>
    <cellStyle name="40% - Accent6 2 3 3 3 6" xfId="31076"/>
    <cellStyle name="40% - Accent6 2 3 3 4" xfId="3144"/>
    <cellStyle name="40% - Accent6 2 3 3 4 2" xfId="9185"/>
    <cellStyle name="40% - Accent6 2 3 3 4 2 2" xfId="26232"/>
    <cellStyle name="40% - Accent6 2 3 3 4 2 2 2" xfId="55093"/>
    <cellStyle name="40% - Accent6 2 3 3 4 2 3" xfId="38046"/>
    <cellStyle name="40% - Accent6 2 3 3 4 3" xfId="20254"/>
    <cellStyle name="40% - Accent6 2 3 3 4 3 2" xfId="49115"/>
    <cellStyle name="40% - Accent6 2 3 3 4 4" xfId="32005"/>
    <cellStyle name="40% - Accent6 2 3 3 5" xfId="6299"/>
    <cellStyle name="40% - Accent6 2 3 3 5 2" xfId="23346"/>
    <cellStyle name="40% - Accent6 2 3 3 5 2 2" xfId="52207"/>
    <cellStyle name="40% - Accent6 2 3 3 5 3" xfId="35160"/>
    <cellStyle name="40% - Accent6 2 3 3 6" xfId="12295"/>
    <cellStyle name="40% - Accent6 2 3 3 6 2" xfId="17677"/>
    <cellStyle name="40% - Accent6 2 3 3 6 2 2" xfId="46538"/>
    <cellStyle name="40% - Accent6 2 3 3 6 3" xfId="41156"/>
    <cellStyle name="40% - Accent6 2 3 3 7" xfId="14894"/>
    <cellStyle name="40% - Accent6 2 3 3 7 2" xfId="43755"/>
    <cellStyle name="40% - Accent6 2 3 3 8" xfId="29119"/>
    <cellStyle name="40% - Accent6 2 3 4" xfId="463"/>
    <cellStyle name="40% - Accent6 2 3 4 2" xfId="3350"/>
    <cellStyle name="40% - Accent6 2 3 4 2 2" xfId="9391"/>
    <cellStyle name="40% - Accent6 2 3 4 2 2 2" xfId="26438"/>
    <cellStyle name="40% - Accent6 2 3 4 2 2 2 2" xfId="55299"/>
    <cellStyle name="40% - Accent6 2 3 4 2 2 3" xfId="38252"/>
    <cellStyle name="40% - Accent6 2 3 4 2 3" xfId="20460"/>
    <cellStyle name="40% - Accent6 2 3 4 2 3 2" xfId="49321"/>
    <cellStyle name="40% - Accent6 2 3 4 2 4" xfId="32211"/>
    <cellStyle name="40% - Accent6 2 3 4 3" xfId="6505"/>
    <cellStyle name="40% - Accent6 2 3 4 3 2" xfId="23552"/>
    <cellStyle name="40% - Accent6 2 3 4 3 2 2" xfId="52413"/>
    <cellStyle name="40% - Accent6 2 3 4 3 3" xfId="35366"/>
    <cellStyle name="40% - Accent6 2 3 4 4" xfId="12388"/>
    <cellStyle name="40% - Accent6 2 3 4 4 2" xfId="17780"/>
    <cellStyle name="40% - Accent6 2 3 4 4 2 2" xfId="46641"/>
    <cellStyle name="40% - Accent6 2 3 4 4 3" xfId="41249"/>
    <cellStyle name="40% - Accent6 2 3 4 5" xfId="15100"/>
    <cellStyle name="40% - Accent6 2 3 4 5 2" xfId="43961"/>
    <cellStyle name="40% - Accent6 2 3 4 6" xfId="29325"/>
    <cellStyle name="40% - Accent6 2 3 5" xfId="772"/>
    <cellStyle name="40% - Accent6 2 3 5 2" xfId="3659"/>
    <cellStyle name="40% - Accent6 2 3 5 2 2" xfId="9700"/>
    <cellStyle name="40% - Accent6 2 3 5 2 2 2" xfId="26747"/>
    <cellStyle name="40% - Accent6 2 3 5 2 2 2 2" xfId="55608"/>
    <cellStyle name="40% - Accent6 2 3 5 2 2 3" xfId="38561"/>
    <cellStyle name="40% - Accent6 2 3 5 2 3" xfId="20769"/>
    <cellStyle name="40% - Accent6 2 3 5 2 3 2" xfId="49630"/>
    <cellStyle name="40% - Accent6 2 3 5 2 4" xfId="32520"/>
    <cellStyle name="40% - Accent6 2 3 5 3" xfId="6814"/>
    <cellStyle name="40% - Accent6 2 3 5 3 2" xfId="23861"/>
    <cellStyle name="40% - Accent6 2 3 5 3 2 2" xfId="52722"/>
    <cellStyle name="40% - Accent6 2 3 5 3 3" xfId="35675"/>
    <cellStyle name="40% - Accent6 2 3 5 4" xfId="12530"/>
    <cellStyle name="40% - Accent6 2 3 5 4 2" xfId="18089"/>
    <cellStyle name="40% - Accent6 2 3 5 4 2 2" xfId="46950"/>
    <cellStyle name="40% - Accent6 2 3 5 4 3" xfId="41391"/>
    <cellStyle name="40% - Accent6 2 3 5 5" xfId="15409"/>
    <cellStyle name="40% - Accent6 2 3 5 5 2" xfId="44270"/>
    <cellStyle name="40% - Accent6 2 3 5 6" xfId="29634"/>
    <cellStyle name="40% - Accent6 2 3 6" xfId="978"/>
    <cellStyle name="40% - Accent6 2 3 6 2" xfId="3865"/>
    <cellStyle name="40% - Accent6 2 3 6 2 2" xfId="9906"/>
    <cellStyle name="40% - Accent6 2 3 6 2 2 2" xfId="26953"/>
    <cellStyle name="40% - Accent6 2 3 6 2 2 2 2" xfId="55814"/>
    <cellStyle name="40% - Accent6 2 3 6 2 2 3" xfId="38767"/>
    <cellStyle name="40% - Accent6 2 3 6 2 3" xfId="20975"/>
    <cellStyle name="40% - Accent6 2 3 6 2 3 2" xfId="49836"/>
    <cellStyle name="40% - Accent6 2 3 6 2 4" xfId="32726"/>
    <cellStyle name="40% - Accent6 2 3 6 3" xfId="7020"/>
    <cellStyle name="40% - Accent6 2 3 6 3 2" xfId="24067"/>
    <cellStyle name="40% - Accent6 2 3 6 3 2 2" xfId="52928"/>
    <cellStyle name="40% - Accent6 2 3 6 3 3" xfId="35881"/>
    <cellStyle name="40% - Accent6 2 3 6 4" xfId="12624"/>
    <cellStyle name="40% - Accent6 2 3 6 4 2" xfId="18295"/>
    <cellStyle name="40% - Accent6 2 3 6 4 2 2" xfId="47156"/>
    <cellStyle name="40% - Accent6 2 3 6 4 3" xfId="41485"/>
    <cellStyle name="40% - Accent6 2 3 6 5" xfId="15615"/>
    <cellStyle name="40% - Accent6 2 3 6 5 2" xfId="44476"/>
    <cellStyle name="40% - Accent6 2 3 6 6" xfId="29840"/>
    <cellStyle name="40% - Accent6 2 3 7" xfId="1184"/>
    <cellStyle name="40% - Accent6 2 3 7 2" xfId="4071"/>
    <cellStyle name="40% - Accent6 2 3 7 2 2" xfId="10112"/>
    <cellStyle name="40% - Accent6 2 3 7 2 2 2" xfId="27159"/>
    <cellStyle name="40% - Accent6 2 3 7 2 2 2 2" xfId="56020"/>
    <cellStyle name="40% - Accent6 2 3 7 2 2 3" xfId="38973"/>
    <cellStyle name="40% - Accent6 2 3 7 2 3" xfId="21181"/>
    <cellStyle name="40% - Accent6 2 3 7 2 3 2" xfId="50042"/>
    <cellStyle name="40% - Accent6 2 3 7 2 4" xfId="32932"/>
    <cellStyle name="40% - Accent6 2 3 7 3" xfId="7226"/>
    <cellStyle name="40% - Accent6 2 3 7 3 2" xfId="24273"/>
    <cellStyle name="40% - Accent6 2 3 7 3 2 2" xfId="53134"/>
    <cellStyle name="40% - Accent6 2 3 7 3 3" xfId="36087"/>
    <cellStyle name="40% - Accent6 2 3 7 4" xfId="13673"/>
    <cellStyle name="40% - Accent6 2 3 7 4 2" xfId="18501"/>
    <cellStyle name="40% - Accent6 2 3 7 4 2 2" xfId="47362"/>
    <cellStyle name="40% - Accent6 2 3 7 4 3" xfId="42534"/>
    <cellStyle name="40% - Accent6 2 3 7 5" xfId="15821"/>
    <cellStyle name="40% - Accent6 2 3 7 5 2" xfId="44682"/>
    <cellStyle name="40% - Accent6 2 3 7 6" xfId="30046"/>
    <cellStyle name="40% - Accent6 2 3 8" xfId="1390"/>
    <cellStyle name="40% - Accent6 2 3 8 2" xfId="4277"/>
    <cellStyle name="40% - Accent6 2 3 8 2 2" xfId="10318"/>
    <cellStyle name="40% - Accent6 2 3 8 2 2 2" xfId="27365"/>
    <cellStyle name="40% - Accent6 2 3 8 2 2 2 2" xfId="56226"/>
    <cellStyle name="40% - Accent6 2 3 8 2 2 3" xfId="39179"/>
    <cellStyle name="40% - Accent6 2 3 8 2 3" xfId="21387"/>
    <cellStyle name="40% - Accent6 2 3 8 2 3 2" xfId="50248"/>
    <cellStyle name="40% - Accent6 2 3 8 2 4" xfId="33138"/>
    <cellStyle name="40% - Accent6 2 3 8 3" xfId="7432"/>
    <cellStyle name="40% - Accent6 2 3 8 3 2" xfId="24479"/>
    <cellStyle name="40% - Accent6 2 3 8 3 2 2" xfId="53340"/>
    <cellStyle name="40% - Accent6 2 3 8 3 3" xfId="36293"/>
    <cellStyle name="40% - Accent6 2 3 8 4" xfId="13511"/>
    <cellStyle name="40% - Accent6 2 3 8 4 2" xfId="18707"/>
    <cellStyle name="40% - Accent6 2 3 8 4 2 2" xfId="47568"/>
    <cellStyle name="40% - Accent6 2 3 8 4 3" xfId="42372"/>
    <cellStyle name="40% - Accent6 2 3 8 5" xfId="16027"/>
    <cellStyle name="40% - Accent6 2 3 8 5 2" xfId="44888"/>
    <cellStyle name="40% - Accent6 2 3 8 6" xfId="30252"/>
    <cellStyle name="40% - Accent6 2 3 9" xfId="1596"/>
    <cellStyle name="40% - Accent6 2 3 9 2" xfId="4483"/>
    <cellStyle name="40% - Accent6 2 3 9 2 2" xfId="10524"/>
    <cellStyle name="40% - Accent6 2 3 9 2 2 2" xfId="27571"/>
    <cellStyle name="40% - Accent6 2 3 9 2 2 2 2" xfId="56432"/>
    <cellStyle name="40% - Accent6 2 3 9 2 2 3" xfId="39385"/>
    <cellStyle name="40% - Accent6 2 3 9 2 3" xfId="21593"/>
    <cellStyle name="40% - Accent6 2 3 9 2 3 2" xfId="50454"/>
    <cellStyle name="40% - Accent6 2 3 9 2 4" xfId="33344"/>
    <cellStyle name="40% - Accent6 2 3 9 3" xfId="7638"/>
    <cellStyle name="40% - Accent6 2 3 9 3 2" xfId="24685"/>
    <cellStyle name="40% - Accent6 2 3 9 3 2 2" xfId="53546"/>
    <cellStyle name="40% - Accent6 2 3 9 3 3" xfId="36499"/>
    <cellStyle name="40% - Accent6 2 3 9 4" xfId="6055"/>
    <cellStyle name="40% - Accent6 2 3 9 4 2" xfId="18913"/>
    <cellStyle name="40% - Accent6 2 3 9 4 2 2" xfId="47774"/>
    <cellStyle name="40% - Accent6 2 3 9 4 3" xfId="34916"/>
    <cellStyle name="40% - Accent6 2 3 9 5" xfId="16233"/>
    <cellStyle name="40% - Accent6 2 3 9 5 2" xfId="45094"/>
    <cellStyle name="40% - Accent6 2 3 9 6" xfId="30458"/>
    <cellStyle name="40% - Accent6 2 4" xfId="308"/>
    <cellStyle name="40% - Accent6 2 4 10" xfId="2471"/>
    <cellStyle name="40% - Accent6 2 4 10 2" xfId="5358"/>
    <cellStyle name="40% - Accent6 2 4 10 2 2" xfId="11399"/>
    <cellStyle name="40% - Accent6 2 4 10 2 2 2" xfId="28446"/>
    <cellStyle name="40% - Accent6 2 4 10 2 2 2 2" xfId="57307"/>
    <cellStyle name="40% - Accent6 2 4 10 2 2 3" xfId="40260"/>
    <cellStyle name="40% - Accent6 2 4 10 2 3" xfId="22468"/>
    <cellStyle name="40% - Accent6 2 4 10 2 3 2" xfId="51329"/>
    <cellStyle name="40% - Accent6 2 4 10 2 4" xfId="34219"/>
    <cellStyle name="40% - Accent6 2 4 10 3" xfId="8513"/>
    <cellStyle name="40% - Accent6 2 4 10 3 2" xfId="25560"/>
    <cellStyle name="40% - Accent6 2 4 10 3 2 2" xfId="54421"/>
    <cellStyle name="40% - Accent6 2 4 10 3 3" xfId="37374"/>
    <cellStyle name="40% - Accent6 2 4 10 4" xfId="14471"/>
    <cellStyle name="40% - Accent6 2 4 10 4 2" xfId="19788"/>
    <cellStyle name="40% - Accent6 2 4 10 4 2 2" xfId="48649"/>
    <cellStyle name="40% - Accent6 2 4 10 4 3" xfId="43332"/>
    <cellStyle name="40% - Accent6 2 4 10 5" xfId="17108"/>
    <cellStyle name="40% - Accent6 2 4 10 5 2" xfId="45969"/>
    <cellStyle name="40% - Accent6 2 4 10 6" xfId="31333"/>
    <cellStyle name="40% - Accent6 2 4 11" xfId="2680"/>
    <cellStyle name="40% - Accent6 2 4 11 2" xfId="5566"/>
    <cellStyle name="40% - Accent6 2 4 11 2 2" xfId="11607"/>
    <cellStyle name="40% - Accent6 2 4 11 2 2 2" xfId="28654"/>
    <cellStyle name="40% - Accent6 2 4 11 2 2 2 2" xfId="57515"/>
    <cellStyle name="40% - Accent6 2 4 11 2 2 3" xfId="40468"/>
    <cellStyle name="40% - Accent6 2 4 11 2 3" xfId="22676"/>
    <cellStyle name="40% - Accent6 2 4 11 2 3 2" xfId="51537"/>
    <cellStyle name="40% - Accent6 2 4 11 2 4" xfId="34427"/>
    <cellStyle name="40% - Accent6 2 4 11 3" xfId="8721"/>
    <cellStyle name="40% - Accent6 2 4 11 3 2" xfId="25768"/>
    <cellStyle name="40% - Accent6 2 4 11 3 2 2" xfId="54629"/>
    <cellStyle name="40% - Accent6 2 4 11 3 3" xfId="37582"/>
    <cellStyle name="40% - Accent6 2 4 11 4" xfId="13844"/>
    <cellStyle name="40% - Accent6 2 4 11 4 2" xfId="19996"/>
    <cellStyle name="40% - Accent6 2 4 11 4 2 2" xfId="48857"/>
    <cellStyle name="40% - Accent6 2 4 11 4 3" xfId="42705"/>
    <cellStyle name="40% - Accent6 2 4 11 5" xfId="17316"/>
    <cellStyle name="40% - Accent6 2 4 11 5 2" xfId="46177"/>
    <cellStyle name="40% - Accent6 2 4 11 6" xfId="31541"/>
    <cellStyle name="40% - Accent6 2 4 12" xfId="3195"/>
    <cellStyle name="40% - Accent6 2 4 12 2" xfId="9236"/>
    <cellStyle name="40% - Accent6 2 4 12 2 2" xfId="26283"/>
    <cellStyle name="40% - Accent6 2 4 12 2 2 2" xfId="55144"/>
    <cellStyle name="40% - Accent6 2 4 12 2 3" xfId="38097"/>
    <cellStyle name="40% - Accent6 2 4 12 3" xfId="12837"/>
    <cellStyle name="40% - Accent6 2 4 12 3 2" xfId="20305"/>
    <cellStyle name="40% - Accent6 2 4 12 3 2 2" xfId="49166"/>
    <cellStyle name="40% - Accent6 2 4 12 3 3" xfId="41698"/>
    <cellStyle name="40% - Accent6 2 4 12 4" xfId="14945"/>
    <cellStyle name="40% - Accent6 2 4 12 4 2" xfId="43806"/>
    <cellStyle name="40% - Accent6 2 4 12 5" xfId="32056"/>
    <cellStyle name="40% - Accent6 2 4 13" xfId="2886"/>
    <cellStyle name="40% - Accent6 2 4 13 2" xfId="8927"/>
    <cellStyle name="40% - Accent6 2 4 13 2 2" xfId="25974"/>
    <cellStyle name="40% - Accent6 2 4 13 2 2 2" xfId="54835"/>
    <cellStyle name="40% - Accent6 2 4 13 2 3" xfId="37788"/>
    <cellStyle name="40% - Accent6 2 4 13 3" xfId="17522"/>
    <cellStyle name="40% - Accent6 2 4 13 3 2" xfId="46383"/>
    <cellStyle name="40% - Accent6 2 4 13 4" xfId="31747"/>
    <cellStyle name="40% - Accent6 2 4 14" xfId="5772"/>
    <cellStyle name="40% - Accent6 2 4 14 2" xfId="11813"/>
    <cellStyle name="40% - Accent6 2 4 14 2 2" xfId="28860"/>
    <cellStyle name="40% - Accent6 2 4 14 2 2 2" xfId="57721"/>
    <cellStyle name="40% - Accent6 2 4 14 2 3" xfId="40674"/>
    <cellStyle name="40% - Accent6 2 4 14 3" xfId="22882"/>
    <cellStyle name="40% - Accent6 2 4 14 3 2" xfId="51743"/>
    <cellStyle name="40% - Accent6 2 4 14 4" xfId="34633"/>
    <cellStyle name="40% - Accent6 2 4 15" xfId="5989"/>
    <cellStyle name="40% - Accent6 2 4 15 2" xfId="23088"/>
    <cellStyle name="40% - Accent6 2 4 15 2 2" xfId="51949"/>
    <cellStyle name="40% - Accent6 2 4 15 3" xfId="34850"/>
    <cellStyle name="40% - Accent6 2 4 16" xfId="6350"/>
    <cellStyle name="40% - Accent6 2 4 16 2" xfId="23397"/>
    <cellStyle name="40% - Accent6 2 4 16 2 2" xfId="52258"/>
    <cellStyle name="40% - Accent6 2 4 16 3" xfId="35211"/>
    <cellStyle name="40% - Accent6 2 4 17" xfId="14636"/>
    <cellStyle name="40% - Accent6 2 4 17 2" xfId="43497"/>
    <cellStyle name="40% - Accent6 2 4 18" xfId="29170"/>
    <cellStyle name="40% - Accent6 2 4 2" xfId="514"/>
    <cellStyle name="40% - Accent6 2 4 2 2" xfId="2265"/>
    <cellStyle name="40% - Accent6 2 4 2 2 2" xfId="5152"/>
    <cellStyle name="40% - Accent6 2 4 2 2 2 2" xfId="11193"/>
    <cellStyle name="40% - Accent6 2 4 2 2 2 2 2" xfId="28240"/>
    <cellStyle name="40% - Accent6 2 4 2 2 2 2 2 2" xfId="57101"/>
    <cellStyle name="40% - Accent6 2 4 2 2 2 2 3" xfId="40054"/>
    <cellStyle name="40% - Accent6 2 4 2 2 2 3" xfId="22262"/>
    <cellStyle name="40% - Accent6 2 4 2 2 2 3 2" xfId="51123"/>
    <cellStyle name="40% - Accent6 2 4 2 2 2 4" xfId="34013"/>
    <cellStyle name="40% - Accent6 2 4 2 2 3" xfId="8307"/>
    <cellStyle name="40% - Accent6 2 4 2 2 3 2" xfId="25354"/>
    <cellStyle name="40% - Accent6 2 4 2 2 3 2 2" xfId="54215"/>
    <cellStyle name="40% - Accent6 2 4 2 2 3 3" xfId="37168"/>
    <cellStyle name="40% - Accent6 2 4 2 2 4" xfId="12893"/>
    <cellStyle name="40% - Accent6 2 4 2 2 4 2" xfId="19582"/>
    <cellStyle name="40% - Accent6 2 4 2 2 4 2 2" xfId="48443"/>
    <cellStyle name="40% - Accent6 2 4 2 2 4 3" xfId="41754"/>
    <cellStyle name="40% - Accent6 2 4 2 2 5" xfId="16902"/>
    <cellStyle name="40% - Accent6 2 4 2 2 5 2" xfId="45763"/>
    <cellStyle name="40% - Accent6 2 4 2 2 6" xfId="31127"/>
    <cellStyle name="40% - Accent6 2 4 2 3" xfId="3401"/>
    <cellStyle name="40% - Accent6 2 4 2 3 2" xfId="9442"/>
    <cellStyle name="40% - Accent6 2 4 2 3 2 2" xfId="26489"/>
    <cellStyle name="40% - Accent6 2 4 2 3 2 2 2" xfId="55350"/>
    <cellStyle name="40% - Accent6 2 4 2 3 2 3" xfId="38303"/>
    <cellStyle name="40% - Accent6 2 4 2 3 3" xfId="20511"/>
    <cellStyle name="40% - Accent6 2 4 2 3 3 2" xfId="49372"/>
    <cellStyle name="40% - Accent6 2 4 2 3 4" xfId="32262"/>
    <cellStyle name="40% - Accent6 2 4 2 4" xfId="6556"/>
    <cellStyle name="40% - Accent6 2 4 2 4 2" xfId="23603"/>
    <cellStyle name="40% - Accent6 2 4 2 4 2 2" xfId="52464"/>
    <cellStyle name="40% - Accent6 2 4 2 4 3" xfId="35417"/>
    <cellStyle name="40% - Accent6 2 4 2 5" xfId="13477"/>
    <cellStyle name="40% - Accent6 2 4 2 5 2" xfId="17831"/>
    <cellStyle name="40% - Accent6 2 4 2 5 2 2" xfId="46692"/>
    <cellStyle name="40% - Accent6 2 4 2 5 3" xfId="42338"/>
    <cellStyle name="40% - Accent6 2 4 2 6" xfId="15151"/>
    <cellStyle name="40% - Accent6 2 4 2 6 2" xfId="44012"/>
    <cellStyle name="40% - Accent6 2 4 2 7" xfId="29376"/>
    <cellStyle name="40% - Accent6 2 4 3" xfId="823"/>
    <cellStyle name="40% - Accent6 2 4 3 2" xfId="3710"/>
    <cellStyle name="40% - Accent6 2 4 3 2 2" xfId="9751"/>
    <cellStyle name="40% - Accent6 2 4 3 2 2 2" xfId="26798"/>
    <cellStyle name="40% - Accent6 2 4 3 2 2 2 2" xfId="55659"/>
    <cellStyle name="40% - Accent6 2 4 3 2 2 3" xfId="38612"/>
    <cellStyle name="40% - Accent6 2 4 3 2 3" xfId="20820"/>
    <cellStyle name="40% - Accent6 2 4 3 2 3 2" xfId="49681"/>
    <cellStyle name="40% - Accent6 2 4 3 2 4" xfId="32571"/>
    <cellStyle name="40% - Accent6 2 4 3 3" xfId="6865"/>
    <cellStyle name="40% - Accent6 2 4 3 3 2" xfId="23912"/>
    <cellStyle name="40% - Accent6 2 4 3 3 2 2" xfId="52773"/>
    <cellStyle name="40% - Accent6 2 4 3 3 3" xfId="35726"/>
    <cellStyle name="40% - Accent6 2 4 3 4" xfId="13577"/>
    <cellStyle name="40% - Accent6 2 4 3 4 2" xfId="18140"/>
    <cellStyle name="40% - Accent6 2 4 3 4 2 2" xfId="47001"/>
    <cellStyle name="40% - Accent6 2 4 3 4 3" xfId="42438"/>
    <cellStyle name="40% - Accent6 2 4 3 5" xfId="15460"/>
    <cellStyle name="40% - Accent6 2 4 3 5 2" xfId="44321"/>
    <cellStyle name="40% - Accent6 2 4 3 6" xfId="29685"/>
    <cellStyle name="40% - Accent6 2 4 4" xfId="1029"/>
    <cellStyle name="40% - Accent6 2 4 4 2" xfId="3916"/>
    <cellStyle name="40% - Accent6 2 4 4 2 2" xfId="9957"/>
    <cellStyle name="40% - Accent6 2 4 4 2 2 2" xfId="27004"/>
    <cellStyle name="40% - Accent6 2 4 4 2 2 2 2" xfId="55865"/>
    <cellStyle name="40% - Accent6 2 4 4 2 2 3" xfId="38818"/>
    <cellStyle name="40% - Accent6 2 4 4 2 3" xfId="21026"/>
    <cellStyle name="40% - Accent6 2 4 4 2 3 2" xfId="49887"/>
    <cellStyle name="40% - Accent6 2 4 4 2 4" xfId="32777"/>
    <cellStyle name="40% - Accent6 2 4 4 3" xfId="7071"/>
    <cellStyle name="40% - Accent6 2 4 4 3 2" xfId="24118"/>
    <cellStyle name="40% - Accent6 2 4 4 3 2 2" xfId="52979"/>
    <cellStyle name="40% - Accent6 2 4 4 3 3" xfId="35932"/>
    <cellStyle name="40% - Accent6 2 4 4 4" xfId="12168"/>
    <cellStyle name="40% - Accent6 2 4 4 4 2" xfId="18346"/>
    <cellStyle name="40% - Accent6 2 4 4 4 2 2" xfId="47207"/>
    <cellStyle name="40% - Accent6 2 4 4 4 3" xfId="41029"/>
    <cellStyle name="40% - Accent6 2 4 4 5" xfId="15666"/>
    <cellStyle name="40% - Accent6 2 4 4 5 2" xfId="44527"/>
    <cellStyle name="40% - Accent6 2 4 4 6" xfId="29891"/>
    <cellStyle name="40% - Accent6 2 4 5" xfId="1235"/>
    <cellStyle name="40% - Accent6 2 4 5 2" xfId="4122"/>
    <cellStyle name="40% - Accent6 2 4 5 2 2" xfId="10163"/>
    <cellStyle name="40% - Accent6 2 4 5 2 2 2" xfId="27210"/>
    <cellStyle name="40% - Accent6 2 4 5 2 2 2 2" xfId="56071"/>
    <cellStyle name="40% - Accent6 2 4 5 2 2 3" xfId="39024"/>
    <cellStyle name="40% - Accent6 2 4 5 2 3" xfId="21232"/>
    <cellStyle name="40% - Accent6 2 4 5 2 3 2" xfId="50093"/>
    <cellStyle name="40% - Accent6 2 4 5 2 4" xfId="32983"/>
    <cellStyle name="40% - Accent6 2 4 5 3" xfId="7277"/>
    <cellStyle name="40% - Accent6 2 4 5 3 2" xfId="24324"/>
    <cellStyle name="40% - Accent6 2 4 5 3 2 2" xfId="53185"/>
    <cellStyle name="40% - Accent6 2 4 5 3 3" xfId="36138"/>
    <cellStyle name="40% - Accent6 2 4 5 4" xfId="13135"/>
    <cellStyle name="40% - Accent6 2 4 5 4 2" xfId="18552"/>
    <cellStyle name="40% - Accent6 2 4 5 4 2 2" xfId="47413"/>
    <cellStyle name="40% - Accent6 2 4 5 4 3" xfId="41996"/>
    <cellStyle name="40% - Accent6 2 4 5 5" xfId="15872"/>
    <cellStyle name="40% - Accent6 2 4 5 5 2" xfId="44733"/>
    <cellStyle name="40% - Accent6 2 4 5 6" xfId="30097"/>
    <cellStyle name="40% - Accent6 2 4 6" xfId="1441"/>
    <cellStyle name="40% - Accent6 2 4 6 2" xfId="4328"/>
    <cellStyle name="40% - Accent6 2 4 6 2 2" xfId="10369"/>
    <cellStyle name="40% - Accent6 2 4 6 2 2 2" xfId="27416"/>
    <cellStyle name="40% - Accent6 2 4 6 2 2 2 2" xfId="56277"/>
    <cellStyle name="40% - Accent6 2 4 6 2 2 3" xfId="39230"/>
    <cellStyle name="40% - Accent6 2 4 6 2 3" xfId="21438"/>
    <cellStyle name="40% - Accent6 2 4 6 2 3 2" xfId="50299"/>
    <cellStyle name="40% - Accent6 2 4 6 2 4" xfId="33189"/>
    <cellStyle name="40% - Accent6 2 4 6 3" xfId="7483"/>
    <cellStyle name="40% - Accent6 2 4 6 3 2" xfId="24530"/>
    <cellStyle name="40% - Accent6 2 4 6 3 2 2" xfId="53391"/>
    <cellStyle name="40% - Accent6 2 4 6 3 3" xfId="36344"/>
    <cellStyle name="40% - Accent6 2 4 6 4" xfId="12932"/>
    <cellStyle name="40% - Accent6 2 4 6 4 2" xfId="18758"/>
    <cellStyle name="40% - Accent6 2 4 6 4 2 2" xfId="47619"/>
    <cellStyle name="40% - Accent6 2 4 6 4 3" xfId="41793"/>
    <cellStyle name="40% - Accent6 2 4 6 5" xfId="16078"/>
    <cellStyle name="40% - Accent6 2 4 6 5 2" xfId="44939"/>
    <cellStyle name="40% - Accent6 2 4 6 6" xfId="30303"/>
    <cellStyle name="40% - Accent6 2 4 7" xfId="1647"/>
    <cellStyle name="40% - Accent6 2 4 7 2" xfId="4534"/>
    <cellStyle name="40% - Accent6 2 4 7 2 2" xfId="10575"/>
    <cellStyle name="40% - Accent6 2 4 7 2 2 2" xfId="27622"/>
    <cellStyle name="40% - Accent6 2 4 7 2 2 2 2" xfId="56483"/>
    <cellStyle name="40% - Accent6 2 4 7 2 2 3" xfId="39436"/>
    <cellStyle name="40% - Accent6 2 4 7 2 3" xfId="21644"/>
    <cellStyle name="40% - Accent6 2 4 7 2 3 2" xfId="50505"/>
    <cellStyle name="40% - Accent6 2 4 7 2 4" xfId="33395"/>
    <cellStyle name="40% - Accent6 2 4 7 3" xfId="7689"/>
    <cellStyle name="40% - Accent6 2 4 7 3 2" xfId="24736"/>
    <cellStyle name="40% - Accent6 2 4 7 3 2 2" xfId="53597"/>
    <cellStyle name="40% - Accent6 2 4 7 3 3" xfId="36550"/>
    <cellStyle name="40% - Accent6 2 4 7 4" xfId="13249"/>
    <cellStyle name="40% - Accent6 2 4 7 4 2" xfId="18964"/>
    <cellStyle name="40% - Accent6 2 4 7 4 2 2" xfId="47825"/>
    <cellStyle name="40% - Accent6 2 4 7 4 3" xfId="42110"/>
    <cellStyle name="40% - Accent6 2 4 7 5" xfId="16284"/>
    <cellStyle name="40% - Accent6 2 4 7 5 2" xfId="45145"/>
    <cellStyle name="40% - Accent6 2 4 7 6" xfId="30509"/>
    <cellStyle name="40% - Accent6 2 4 8" xfId="1853"/>
    <cellStyle name="40% - Accent6 2 4 8 2" xfId="4740"/>
    <cellStyle name="40% - Accent6 2 4 8 2 2" xfId="10781"/>
    <cellStyle name="40% - Accent6 2 4 8 2 2 2" xfId="27828"/>
    <cellStyle name="40% - Accent6 2 4 8 2 2 2 2" xfId="56689"/>
    <cellStyle name="40% - Accent6 2 4 8 2 2 3" xfId="39642"/>
    <cellStyle name="40% - Accent6 2 4 8 2 3" xfId="21850"/>
    <cellStyle name="40% - Accent6 2 4 8 2 3 2" xfId="50711"/>
    <cellStyle name="40% - Accent6 2 4 8 2 4" xfId="33601"/>
    <cellStyle name="40% - Accent6 2 4 8 3" xfId="7895"/>
    <cellStyle name="40% - Accent6 2 4 8 3 2" xfId="24942"/>
    <cellStyle name="40% - Accent6 2 4 8 3 2 2" xfId="53803"/>
    <cellStyle name="40% - Accent6 2 4 8 3 3" xfId="36756"/>
    <cellStyle name="40% - Accent6 2 4 8 4" xfId="12246"/>
    <cellStyle name="40% - Accent6 2 4 8 4 2" xfId="19170"/>
    <cellStyle name="40% - Accent6 2 4 8 4 2 2" xfId="48031"/>
    <cellStyle name="40% - Accent6 2 4 8 4 3" xfId="41107"/>
    <cellStyle name="40% - Accent6 2 4 8 5" xfId="16490"/>
    <cellStyle name="40% - Accent6 2 4 8 5 2" xfId="45351"/>
    <cellStyle name="40% - Accent6 2 4 8 6" xfId="30715"/>
    <cellStyle name="40% - Accent6 2 4 9" xfId="2059"/>
    <cellStyle name="40% - Accent6 2 4 9 2" xfId="4946"/>
    <cellStyle name="40% - Accent6 2 4 9 2 2" xfId="10987"/>
    <cellStyle name="40% - Accent6 2 4 9 2 2 2" xfId="28034"/>
    <cellStyle name="40% - Accent6 2 4 9 2 2 2 2" xfId="56895"/>
    <cellStyle name="40% - Accent6 2 4 9 2 2 3" xfId="39848"/>
    <cellStyle name="40% - Accent6 2 4 9 2 3" xfId="22056"/>
    <cellStyle name="40% - Accent6 2 4 9 2 3 2" xfId="50917"/>
    <cellStyle name="40% - Accent6 2 4 9 2 4" xfId="33807"/>
    <cellStyle name="40% - Accent6 2 4 9 3" xfId="8101"/>
    <cellStyle name="40% - Accent6 2 4 9 3 2" xfId="25148"/>
    <cellStyle name="40% - Accent6 2 4 9 3 2 2" xfId="54009"/>
    <cellStyle name="40% - Accent6 2 4 9 3 3" xfId="36962"/>
    <cellStyle name="40% - Accent6 2 4 9 4" xfId="12967"/>
    <cellStyle name="40% - Accent6 2 4 9 4 2" xfId="19376"/>
    <cellStyle name="40% - Accent6 2 4 9 4 2 2" xfId="48237"/>
    <cellStyle name="40% - Accent6 2 4 9 4 3" xfId="41828"/>
    <cellStyle name="40% - Accent6 2 4 9 5" xfId="16696"/>
    <cellStyle name="40% - Accent6 2 4 9 5 2" xfId="45557"/>
    <cellStyle name="40% - Accent6 2 4 9 6" xfId="30921"/>
    <cellStyle name="40% - Accent6 2 5" xfId="205"/>
    <cellStyle name="40% - Accent6 2 5 2" xfId="617"/>
    <cellStyle name="40% - Accent6 2 5 2 2" xfId="3504"/>
    <cellStyle name="40% - Accent6 2 5 2 2 2" xfId="9545"/>
    <cellStyle name="40% - Accent6 2 5 2 2 2 2" xfId="26592"/>
    <cellStyle name="40% - Accent6 2 5 2 2 2 2 2" xfId="55453"/>
    <cellStyle name="40% - Accent6 2 5 2 2 2 3" xfId="38406"/>
    <cellStyle name="40% - Accent6 2 5 2 2 3" xfId="20614"/>
    <cellStyle name="40% - Accent6 2 5 2 2 3 2" xfId="49475"/>
    <cellStyle name="40% - Accent6 2 5 2 2 4" xfId="32365"/>
    <cellStyle name="40% - Accent6 2 5 2 3" xfId="6659"/>
    <cellStyle name="40% - Accent6 2 5 2 3 2" xfId="23706"/>
    <cellStyle name="40% - Accent6 2 5 2 3 2 2" xfId="52567"/>
    <cellStyle name="40% - Accent6 2 5 2 3 3" xfId="35520"/>
    <cellStyle name="40% - Accent6 2 5 2 4" xfId="13009"/>
    <cellStyle name="40% - Accent6 2 5 2 4 2" xfId="17934"/>
    <cellStyle name="40% - Accent6 2 5 2 4 2 2" xfId="46795"/>
    <cellStyle name="40% - Accent6 2 5 2 4 3" xfId="41870"/>
    <cellStyle name="40% - Accent6 2 5 2 5" xfId="15254"/>
    <cellStyle name="40% - Accent6 2 5 2 5 2" xfId="44115"/>
    <cellStyle name="40% - Accent6 2 5 2 6" xfId="29479"/>
    <cellStyle name="40% - Accent6 2 5 3" xfId="2162"/>
    <cellStyle name="40% - Accent6 2 5 3 2" xfId="5049"/>
    <cellStyle name="40% - Accent6 2 5 3 2 2" xfId="11090"/>
    <cellStyle name="40% - Accent6 2 5 3 2 2 2" xfId="28137"/>
    <cellStyle name="40% - Accent6 2 5 3 2 2 2 2" xfId="56998"/>
    <cellStyle name="40% - Accent6 2 5 3 2 2 3" xfId="39951"/>
    <cellStyle name="40% - Accent6 2 5 3 2 3" xfId="22159"/>
    <cellStyle name="40% - Accent6 2 5 3 2 3 2" xfId="51020"/>
    <cellStyle name="40% - Accent6 2 5 3 2 4" xfId="33910"/>
    <cellStyle name="40% - Accent6 2 5 3 3" xfId="8204"/>
    <cellStyle name="40% - Accent6 2 5 3 3 2" xfId="25251"/>
    <cellStyle name="40% - Accent6 2 5 3 3 2 2" xfId="54112"/>
    <cellStyle name="40% - Accent6 2 5 3 3 3" xfId="37065"/>
    <cellStyle name="40% - Accent6 2 5 3 4" xfId="13916"/>
    <cellStyle name="40% - Accent6 2 5 3 4 2" xfId="19479"/>
    <cellStyle name="40% - Accent6 2 5 3 4 2 2" xfId="48340"/>
    <cellStyle name="40% - Accent6 2 5 3 4 3" xfId="42777"/>
    <cellStyle name="40% - Accent6 2 5 3 5" xfId="16799"/>
    <cellStyle name="40% - Accent6 2 5 3 5 2" xfId="45660"/>
    <cellStyle name="40% - Accent6 2 5 3 6" xfId="31024"/>
    <cellStyle name="40% - Accent6 2 5 4" xfId="3092"/>
    <cellStyle name="40% - Accent6 2 5 4 2" xfId="9133"/>
    <cellStyle name="40% - Accent6 2 5 4 2 2" xfId="26180"/>
    <cellStyle name="40% - Accent6 2 5 4 2 2 2" xfId="55041"/>
    <cellStyle name="40% - Accent6 2 5 4 2 3" xfId="37994"/>
    <cellStyle name="40% - Accent6 2 5 4 3" xfId="20202"/>
    <cellStyle name="40% - Accent6 2 5 4 3 2" xfId="49063"/>
    <cellStyle name="40% - Accent6 2 5 4 4" xfId="31953"/>
    <cellStyle name="40% - Accent6 2 5 5" xfId="6247"/>
    <cellStyle name="40% - Accent6 2 5 5 2" xfId="23294"/>
    <cellStyle name="40% - Accent6 2 5 5 2 2" xfId="52155"/>
    <cellStyle name="40% - Accent6 2 5 5 3" xfId="35108"/>
    <cellStyle name="40% - Accent6 2 5 6" xfId="14473"/>
    <cellStyle name="40% - Accent6 2 5 6 2" xfId="17625"/>
    <cellStyle name="40% - Accent6 2 5 6 2 2" xfId="46486"/>
    <cellStyle name="40% - Accent6 2 5 6 3" xfId="43334"/>
    <cellStyle name="40% - Accent6 2 5 7" xfId="14842"/>
    <cellStyle name="40% - Accent6 2 5 7 2" xfId="43703"/>
    <cellStyle name="40% - Accent6 2 5 8" xfId="29067"/>
    <cellStyle name="40% - Accent6 2 6" xfId="411"/>
    <cellStyle name="40% - Accent6 2 6 2" xfId="3298"/>
    <cellStyle name="40% - Accent6 2 6 2 2" xfId="9339"/>
    <cellStyle name="40% - Accent6 2 6 2 2 2" xfId="26386"/>
    <cellStyle name="40% - Accent6 2 6 2 2 2 2" xfId="55247"/>
    <cellStyle name="40% - Accent6 2 6 2 2 3" xfId="38200"/>
    <cellStyle name="40% - Accent6 2 6 2 3" xfId="20408"/>
    <cellStyle name="40% - Accent6 2 6 2 3 2" xfId="49269"/>
    <cellStyle name="40% - Accent6 2 6 2 4" xfId="32159"/>
    <cellStyle name="40% - Accent6 2 6 3" xfId="6453"/>
    <cellStyle name="40% - Accent6 2 6 3 2" xfId="23500"/>
    <cellStyle name="40% - Accent6 2 6 3 2 2" xfId="52361"/>
    <cellStyle name="40% - Accent6 2 6 3 3" xfId="35314"/>
    <cellStyle name="40% - Accent6 2 6 4" xfId="14009"/>
    <cellStyle name="40% - Accent6 2 6 4 2" xfId="17728"/>
    <cellStyle name="40% - Accent6 2 6 4 2 2" xfId="46589"/>
    <cellStyle name="40% - Accent6 2 6 4 3" xfId="42870"/>
    <cellStyle name="40% - Accent6 2 6 5" xfId="15048"/>
    <cellStyle name="40% - Accent6 2 6 5 2" xfId="43909"/>
    <cellStyle name="40% - Accent6 2 6 6" xfId="29273"/>
    <cellStyle name="40% - Accent6 2 7" xfId="720"/>
    <cellStyle name="40% - Accent6 2 7 2" xfId="3607"/>
    <cellStyle name="40% - Accent6 2 7 2 2" xfId="9648"/>
    <cellStyle name="40% - Accent6 2 7 2 2 2" xfId="26695"/>
    <cellStyle name="40% - Accent6 2 7 2 2 2 2" xfId="55556"/>
    <cellStyle name="40% - Accent6 2 7 2 2 3" xfId="38509"/>
    <cellStyle name="40% - Accent6 2 7 2 3" xfId="20717"/>
    <cellStyle name="40% - Accent6 2 7 2 3 2" xfId="49578"/>
    <cellStyle name="40% - Accent6 2 7 2 4" xfId="32468"/>
    <cellStyle name="40% - Accent6 2 7 3" xfId="6762"/>
    <cellStyle name="40% - Accent6 2 7 3 2" xfId="23809"/>
    <cellStyle name="40% - Accent6 2 7 3 2 2" xfId="52670"/>
    <cellStyle name="40% - Accent6 2 7 3 3" xfId="35623"/>
    <cellStyle name="40% - Accent6 2 7 4" xfId="14205"/>
    <cellStyle name="40% - Accent6 2 7 4 2" xfId="18037"/>
    <cellStyle name="40% - Accent6 2 7 4 2 2" xfId="46898"/>
    <cellStyle name="40% - Accent6 2 7 4 3" xfId="43066"/>
    <cellStyle name="40% - Accent6 2 7 5" xfId="15357"/>
    <cellStyle name="40% - Accent6 2 7 5 2" xfId="44218"/>
    <cellStyle name="40% - Accent6 2 7 6" xfId="29582"/>
    <cellStyle name="40% - Accent6 2 8" xfId="926"/>
    <cellStyle name="40% - Accent6 2 8 2" xfId="3813"/>
    <cellStyle name="40% - Accent6 2 8 2 2" xfId="9854"/>
    <cellStyle name="40% - Accent6 2 8 2 2 2" xfId="26901"/>
    <cellStyle name="40% - Accent6 2 8 2 2 2 2" xfId="55762"/>
    <cellStyle name="40% - Accent6 2 8 2 2 3" xfId="38715"/>
    <cellStyle name="40% - Accent6 2 8 2 3" xfId="20923"/>
    <cellStyle name="40% - Accent6 2 8 2 3 2" xfId="49784"/>
    <cellStyle name="40% - Accent6 2 8 2 4" xfId="32674"/>
    <cellStyle name="40% - Accent6 2 8 3" xfId="6968"/>
    <cellStyle name="40% - Accent6 2 8 3 2" xfId="24015"/>
    <cellStyle name="40% - Accent6 2 8 3 2 2" xfId="52876"/>
    <cellStyle name="40% - Accent6 2 8 3 3" xfId="35829"/>
    <cellStyle name="40% - Accent6 2 8 4" xfId="12801"/>
    <cellStyle name="40% - Accent6 2 8 4 2" xfId="18243"/>
    <cellStyle name="40% - Accent6 2 8 4 2 2" xfId="47104"/>
    <cellStyle name="40% - Accent6 2 8 4 3" xfId="41662"/>
    <cellStyle name="40% - Accent6 2 8 5" xfId="15563"/>
    <cellStyle name="40% - Accent6 2 8 5 2" xfId="44424"/>
    <cellStyle name="40% - Accent6 2 8 6" xfId="29788"/>
    <cellStyle name="40% - Accent6 2 9" xfId="1132"/>
    <cellStyle name="40% - Accent6 2 9 2" xfId="4019"/>
    <cellStyle name="40% - Accent6 2 9 2 2" xfId="10060"/>
    <cellStyle name="40% - Accent6 2 9 2 2 2" xfId="27107"/>
    <cellStyle name="40% - Accent6 2 9 2 2 2 2" xfId="55968"/>
    <cellStyle name="40% - Accent6 2 9 2 2 3" xfId="38921"/>
    <cellStyle name="40% - Accent6 2 9 2 3" xfId="21129"/>
    <cellStyle name="40% - Accent6 2 9 2 3 2" xfId="49990"/>
    <cellStyle name="40% - Accent6 2 9 2 4" xfId="32880"/>
    <cellStyle name="40% - Accent6 2 9 3" xfId="7174"/>
    <cellStyle name="40% - Accent6 2 9 3 2" xfId="24221"/>
    <cellStyle name="40% - Accent6 2 9 3 2 2" xfId="53082"/>
    <cellStyle name="40% - Accent6 2 9 3 3" xfId="36035"/>
    <cellStyle name="40% - Accent6 2 9 4" xfId="12292"/>
    <cellStyle name="40% - Accent6 2 9 4 2" xfId="18449"/>
    <cellStyle name="40% - Accent6 2 9 4 2 2" xfId="47310"/>
    <cellStyle name="40% - Accent6 2 9 4 3" xfId="41153"/>
    <cellStyle name="40% - Accent6 2 9 5" xfId="15769"/>
    <cellStyle name="40% - Accent6 2 9 5 2" xfId="44630"/>
    <cellStyle name="40% - Accent6 2 9 6" xfId="29994"/>
    <cellStyle name="40% - Accent6 20" xfId="5872"/>
    <cellStyle name="40% - Accent6 20 2" xfId="22971"/>
    <cellStyle name="40% - Accent6 20 2 2" xfId="51832"/>
    <cellStyle name="40% - Accent6 20 3" xfId="34733"/>
    <cellStyle name="40% - Accent6 21" xfId="6130"/>
    <cellStyle name="40% - Accent6 21 2" xfId="23177"/>
    <cellStyle name="40% - Accent6 21 2 2" xfId="52038"/>
    <cellStyle name="40% - Accent6 21 3" xfId="34991"/>
    <cellStyle name="40% - Accent6 22" xfId="14519"/>
    <cellStyle name="40% - Accent6 22 2" xfId="43380"/>
    <cellStyle name="40% - Accent6 23" xfId="28950"/>
    <cellStyle name="40% - Accent6 3" xfId="115"/>
    <cellStyle name="40% - Accent6 3 10" xfId="1763"/>
    <cellStyle name="40% - Accent6 3 10 2" xfId="4650"/>
    <cellStyle name="40% - Accent6 3 10 2 2" xfId="10691"/>
    <cellStyle name="40% - Accent6 3 10 2 2 2" xfId="27738"/>
    <cellStyle name="40% - Accent6 3 10 2 2 2 2" xfId="56599"/>
    <cellStyle name="40% - Accent6 3 10 2 2 3" xfId="39552"/>
    <cellStyle name="40% - Accent6 3 10 2 3" xfId="21760"/>
    <cellStyle name="40% - Accent6 3 10 2 3 2" xfId="50621"/>
    <cellStyle name="40% - Accent6 3 10 2 4" xfId="33511"/>
    <cellStyle name="40% - Accent6 3 10 3" xfId="7805"/>
    <cellStyle name="40% - Accent6 3 10 3 2" xfId="24852"/>
    <cellStyle name="40% - Accent6 3 10 3 2 2" xfId="53713"/>
    <cellStyle name="40% - Accent6 3 10 3 3" xfId="36666"/>
    <cellStyle name="40% - Accent6 3 10 4" xfId="12100"/>
    <cellStyle name="40% - Accent6 3 10 4 2" xfId="19080"/>
    <cellStyle name="40% - Accent6 3 10 4 2 2" xfId="47941"/>
    <cellStyle name="40% - Accent6 3 10 4 3" xfId="40961"/>
    <cellStyle name="40% - Accent6 3 10 5" xfId="16400"/>
    <cellStyle name="40% - Accent6 3 10 5 2" xfId="45261"/>
    <cellStyle name="40% - Accent6 3 10 6" xfId="30625"/>
    <cellStyle name="40% - Accent6 3 11" xfId="1969"/>
    <cellStyle name="40% - Accent6 3 11 2" xfId="4856"/>
    <cellStyle name="40% - Accent6 3 11 2 2" xfId="10897"/>
    <cellStyle name="40% - Accent6 3 11 2 2 2" xfId="27944"/>
    <cellStyle name="40% - Accent6 3 11 2 2 2 2" xfId="56805"/>
    <cellStyle name="40% - Accent6 3 11 2 2 3" xfId="39758"/>
    <cellStyle name="40% - Accent6 3 11 2 3" xfId="21966"/>
    <cellStyle name="40% - Accent6 3 11 2 3 2" xfId="50827"/>
    <cellStyle name="40% - Accent6 3 11 2 4" xfId="33717"/>
    <cellStyle name="40% - Accent6 3 11 3" xfId="8011"/>
    <cellStyle name="40% - Accent6 3 11 3 2" xfId="25058"/>
    <cellStyle name="40% - Accent6 3 11 3 2 2" xfId="53919"/>
    <cellStyle name="40% - Accent6 3 11 3 3" xfId="36872"/>
    <cellStyle name="40% - Accent6 3 11 4" xfId="13507"/>
    <cellStyle name="40% - Accent6 3 11 4 2" xfId="19286"/>
    <cellStyle name="40% - Accent6 3 11 4 2 2" xfId="48147"/>
    <cellStyle name="40% - Accent6 3 11 4 3" xfId="42368"/>
    <cellStyle name="40% - Accent6 3 11 5" xfId="16606"/>
    <cellStyle name="40% - Accent6 3 11 5 2" xfId="45467"/>
    <cellStyle name="40% - Accent6 3 11 6" xfId="30831"/>
    <cellStyle name="40% - Accent6 3 12" xfId="2381"/>
    <cellStyle name="40% - Accent6 3 12 2" xfId="5268"/>
    <cellStyle name="40% - Accent6 3 12 2 2" xfId="11309"/>
    <cellStyle name="40% - Accent6 3 12 2 2 2" xfId="28356"/>
    <cellStyle name="40% - Accent6 3 12 2 2 2 2" xfId="57217"/>
    <cellStyle name="40% - Accent6 3 12 2 2 3" xfId="40170"/>
    <cellStyle name="40% - Accent6 3 12 2 3" xfId="22378"/>
    <cellStyle name="40% - Accent6 3 12 2 3 2" xfId="51239"/>
    <cellStyle name="40% - Accent6 3 12 2 4" xfId="34129"/>
    <cellStyle name="40% - Accent6 3 12 3" xfId="8423"/>
    <cellStyle name="40% - Accent6 3 12 3 2" xfId="25470"/>
    <cellStyle name="40% - Accent6 3 12 3 2 2" xfId="54331"/>
    <cellStyle name="40% - Accent6 3 12 3 3" xfId="37284"/>
    <cellStyle name="40% - Accent6 3 12 4" xfId="14447"/>
    <cellStyle name="40% - Accent6 3 12 4 2" xfId="19698"/>
    <cellStyle name="40% - Accent6 3 12 4 2 2" xfId="48559"/>
    <cellStyle name="40% - Accent6 3 12 4 3" xfId="43308"/>
    <cellStyle name="40% - Accent6 3 12 5" xfId="17018"/>
    <cellStyle name="40% - Accent6 3 12 5 2" xfId="45879"/>
    <cellStyle name="40% - Accent6 3 12 6" xfId="31243"/>
    <cellStyle name="40% - Accent6 3 13" xfId="2590"/>
    <cellStyle name="40% - Accent6 3 13 2" xfId="5476"/>
    <cellStyle name="40% - Accent6 3 13 2 2" xfId="11517"/>
    <cellStyle name="40% - Accent6 3 13 2 2 2" xfId="28564"/>
    <cellStyle name="40% - Accent6 3 13 2 2 2 2" xfId="57425"/>
    <cellStyle name="40% - Accent6 3 13 2 2 3" xfId="40378"/>
    <cellStyle name="40% - Accent6 3 13 2 3" xfId="22586"/>
    <cellStyle name="40% - Accent6 3 13 2 3 2" xfId="51447"/>
    <cellStyle name="40% - Accent6 3 13 2 4" xfId="34337"/>
    <cellStyle name="40% - Accent6 3 13 3" xfId="8631"/>
    <cellStyle name="40% - Accent6 3 13 3 2" xfId="25678"/>
    <cellStyle name="40% - Accent6 3 13 3 2 2" xfId="54539"/>
    <cellStyle name="40% - Accent6 3 13 3 3" xfId="37492"/>
    <cellStyle name="40% - Accent6 3 13 4" xfId="13747"/>
    <cellStyle name="40% - Accent6 3 13 4 2" xfId="19906"/>
    <cellStyle name="40% - Accent6 3 13 4 2 2" xfId="48767"/>
    <cellStyle name="40% - Accent6 3 13 4 3" xfId="42608"/>
    <cellStyle name="40% - Accent6 3 13 5" xfId="17226"/>
    <cellStyle name="40% - Accent6 3 13 5 2" xfId="46087"/>
    <cellStyle name="40% - Accent6 3 13 6" xfId="31451"/>
    <cellStyle name="40% - Accent6 3 14" xfId="3002"/>
    <cellStyle name="40% - Accent6 3 14 2" xfId="9043"/>
    <cellStyle name="40% - Accent6 3 14 2 2" xfId="26090"/>
    <cellStyle name="40% - Accent6 3 14 2 2 2" xfId="54951"/>
    <cellStyle name="40% - Accent6 3 14 2 3" xfId="37904"/>
    <cellStyle name="40% - Accent6 3 14 3" xfId="12216"/>
    <cellStyle name="40% - Accent6 3 14 3 2" xfId="20112"/>
    <cellStyle name="40% - Accent6 3 14 3 2 2" xfId="48973"/>
    <cellStyle name="40% - Accent6 3 14 3 3" xfId="41077"/>
    <cellStyle name="40% - Accent6 3 14 4" xfId="14752"/>
    <cellStyle name="40% - Accent6 3 14 4 2" xfId="43613"/>
    <cellStyle name="40% - Accent6 3 14 5" xfId="31863"/>
    <cellStyle name="40% - Accent6 3 15" xfId="2796"/>
    <cellStyle name="40% - Accent6 3 15 2" xfId="8837"/>
    <cellStyle name="40% - Accent6 3 15 2 2" xfId="25884"/>
    <cellStyle name="40% - Accent6 3 15 2 2 2" xfId="54745"/>
    <cellStyle name="40% - Accent6 3 15 2 3" xfId="37698"/>
    <cellStyle name="40% - Accent6 3 15 3" xfId="17432"/>
    <cellStyle name="40% - Accent6 3 15 3 2" xfId="46293"/>
    <cellStyle name="40% - Accent6 3 15 4" xfId="31657"/>
    <cellStyle name="40% - Accent6 3 16" xfId="5682"/>
    <cellStyle name="40% - Accent6 3 16 2" xfId="11723"/>
    <cellStyle name="40% - Accent6 3 16 2 2" xfId="28770"/>
    <cellStyle name="40% - Accent6 3 16 2 2 2" xfId="57631"/>
    <cellStyle name="40% - Accent6 3 16 2 3" xfId="40584"/>
    <cellStyle name="40% - Accent6 3 16 3" xfId="22792"/>
    <cellStyle name="40% - Accent6 3 16 3 2" xfId="51653"/>
    <cellStyle name="40% - Accent6 3 16 4" xfId="34543"/>
    <cellStyle name="40% - Accent6 3 17" xfId="5899"/>
    <cellStyle name="40% - Accent6 3 17 2" xfId="22998"/>
    <cellStyle name="40% - Accent6 3 17 2 2" xfId="51859"/>
    <cellStyle name="40% - Accent6 3 17 3" xfId="34760"/>
    <cellStyle name="40% - Accent6 3 18" xfId="6157"/>
    <cellStyle name="40% - Accent6 3 18 2" xfId="23204"/>
    <cellStyle name="40% - Accent6 3 18 2 2" xfId="52065"/>
    <cellStyle name="40% - Accent6 3 18 3" xfId="35018"/>
    <cellStyle name="40% - Accent6 3 19" xfId="14546"/>
    <cellStyle name="40% - Accent6 3 19 2" xfId="43407"/>
    <cellStyle name="40% - Accent6 3 2" xfId="321"/>
    <cellStyle name="40% - Accent6 3 2 10" xfId="2484"/>
    <cellStyle name="40% - Accent6 3 2 10 2" xfId="5371"/>
    <cellStyle name="40% - Accent6 3 2 10 2 2" xfId="11412"/>
    <cellStyle name="40% - Accent6 3 2 10 2 2 2" xfId="28459"/>
    <cellStyle name="40% - Accent6 3 2 10 2 2 2 2" xfId="57320"/>
    <cellStyle name="40% - Accent6 3 2 10 2 2 3" xfId="40273"/>
    <cellStyle name="40% - Accent6 3 2 10 2 3" xfId="22481"/>
    <cellStyle name="40% - Accent6 3 2 10 2 3 2" xfId="51342"/>
    <cellStyle name="40% - Accent6 3 2 10 2 4" xfId="34232"/>
    <cellStyle name="40% - Accent6 3 2 10 3" xfId="8526"/>
    <cellStyle name="40% - Accent6 3 2 10 3 2" xfId="25573"/>
    <cellStyle name="40% - Accent6 3 2 10 3 2 2" xfId="54434"/>
    <cellStyle name="40% - Accent6 3 2 10 3 3" xfId="37387"/>
    <cellStyle name="40% - Accent6 3 2 10 4" xfId="13969"/>
    <cellStyle name="40% - Accent6 3 2 10 4 2" xfId="19801"/>
    <cellStyle name="40% - Accent6 3 2 10 4 2 2" xfId="48662"/>
    <cellStyle name="40% - Accent6 3 2 10 4 3" xfId="42830"/>
    <cellStyle name="40% - Accent6 3 2 10 5" xfId="17121"/>
    <cellStyle name="40% - Accent6 3 2 10 5 2" xfId="45982"/>
    <cellStyle name="40% - Accent6 3 2 10 6" xfId="31346"/>
    <cellStyle name="40% - Accent6 3 2 11" xfId="2693"/>
    <cellStyle name="40% - Accent6 3 2 11 2" xfId="5579"/>
    <cellStyle name="40% - Accent6 3 2 11 2 2" xfId="11620"/>
    <cellStyle name="40% - Accent6 3 2 11 2 2 2" xfId="28667"/>
    <cellStyle name="40% - Accent6 3 2 11 2 2 2 2" xfId="57528"/>
    <cellStyle name="40% - Accent6 3 2 11 2 2 3" xfId="40481"/>
    <cellStyle name="40% - Accent6 3 2 11 2 3" xfId="22689"/>
    <cellStyle name="40% - Accent6 3 2 11 2 3 2" xfId="51550"/>
    <cellStyle name="40% - Accent6 3 2 11 2 4" xfId="34440"/>
    <cellStyle name="40% - Accent6 3 2 11 3" xfId="8734"/>
    <cellStyle name="40% - Accent6 3 2 11 3 2" xfId="25781"/>
    <cellStyle name="40% - Accent6 3 2 11 3 2 2" xfId="54642"/>
    <cellStyle name="40% - Accent6 3 2 11 3 3" xfId="37595"/>
    <cellStyle name="40% - Accent6 3 2 11 4" xfId="13360"/>
    <cellStyle name="40% - Accent6 3 2 11 4 2" xfId="20009"/>
    <cellStyle name="40% - Accent6 3 2 11 4 2 2" xfId="48870"/>
    <cellStyle name="40% - Accent6 3 2 11 4 3" xfId="42221"/>
    <cellStyle name="40% - Accent6 3 2 11 5" xfId="17329"/>
    <cellStyle name="40% - Accent6 3 2 11 5 2" xfId="46190"/>
    <cellStyle name="40% - Accent6 3 2 11 6" xfId="31554"/>
    <cellStyle name="40% - Accent6 3 2 12" xfId="3208"/>
    <cellStyle name="40% - Accent6 3 2 12 2" xfId="9249"/>
    <cellStyle name="40% - Accent6 3 2 12 2 2" xfId="26296"/>
    <cellStyle name="40% - Accent6 3 2 12 2 2 2" xfId="55157"/>
    <cellStyle name="40% - Accent6 3 2 12 2 3" xfId="38110"/>
    <cellStyle name="40% - Accent6 3 2 12 3" xfId="13815"/>
    <cellStyle name="40% - Accent6 3 2 12 3 2" xfId="20318"/>
    <cellStyle name="40% - Accent6 3 2 12 3 2 2" xfId="49179"/>
    <cellStyle name="40% - Accent6 3 2 12 3 3" xfId="42676"/>
    <cellStyle name="40% - Accent6 3 2 12 4" xfId="14958"/>
    <cellStyle name="40% - Accent6 3 2 12 4 2" xfId="43819"/>
    <cellStyle name="40% - Accent6 3 2 12 5" xfId="32069"/>
    <cellStyle name="40% - Accent6 3 2 13" xfId="2899"/>
    <cellStyle name="40% - Accent6 3 2 13 2" xfId="8940"/>
    <cellStyle name="40% - Accent6 3 2 13 2 2" xfId="25987"/>
    <cellStyle name="40% - Accent6 3 2 13 2 2 2" xfId="54848"/>
    <cellStyle name="40% - Accent6 3 2 13 2 3" xfId="37801"/>
    <cellStyle name="40% - Accent6 3 2 13 3" xfId="17535"/>
    <cellStyle name="40% - Accent6 3 2 13 3 2" xfId="46396"/>
    <cellStyle name="40% - Accent6 3 2 13 4" xfId="31760"/>
    <cellStyle name="40% - Accent6 3 2 14" xfId="5785"/>
    <cellStyle name="40% - Accent6 3 2 14 2" xfId="11826"/>
    <cellStyle name="40% - Accent6 3 2 14 2 2" xfId="28873"/>
    <cellStyle name="40% - Accent6 3 2 14 2 2 2" xfId="57734"/>
    <cellStyle name="40% - Accent6 3 2 14 2 3" xfId="40687"/>
    <cellStyle name="40% - Accent6 3 2 14 3" xfId="22895"/>
    <cellStyle name="40% - Accent6 3 2 14 3 2" xfId="51756"/>
    <cellStyle name="40% - Accent6 3 2 14 4" xfId="34646"/>
    <cellStyle name="40% - Accent6 3 2 15" xfId="6002"/>
    <cellStyle name="40% - Accent6 3 2 15 2" xfId="23101"/>
    <cellStyle name="40% - Accent6 3 2 15 2 2" xfId="51962"/>
    <cellStyle name="40% - Accent6 3 2 15 3" xfId="34863"/>
    <cellStyle name="40% - Accent6 3 2 16" xfId="6363"/>
    <cellStyle name="40% - Accent6 3 2 16 2" xfId="23410"/>
    <cellStyle name="40% - Accent6 3 2 16 2 2" xfId="52271"/>
    <cellStyle name="40% - Accent6 3 2 16 3" xfId="35224"/>
    <cellStyle name="40% - Accent6 3 2 17" xfId="14649"/>
    <cellStyle name="40% - Accent6 3 2 17 2" xfId="43510"/>
    <cellStyle name="40% - Accent6 3 2 18" xfId="29183"/>
    <cellStyle name="40% - Accent6 3 2 2" xfId="527"/>
    <cellStyle name="40% - Accent6 3 2 2 2" xfId="2278"/>
    <cellStyle name="40% - Accent6 3 2 2 2 2" xfId="5165"/>
    <cellStyle name="40% - Accent6 3 2 2 2 2 2" xfId="11206"/>
    <cellStyle name="40% - Accent6 3 2 2 2 2 2 2" xfId="28253"/>
    <cellStyle name="40% - Accent6 3 2 2 2 2 2 2 2" xfId="57114"/>
    <cellStyle name="40% - Accent6 3 2 2 2 2 2 3" xfId="40067"/>
    <cellStyle name="40% - Accent6 3 2 2 2 2 3" xfId="22275"/>
    <cellStyle name="40% - Accent6 3 2 2 2 2 3 2" xfId="51136"/>
    <cellStyle name="40% - Accent6 3 2 2 2 2 4" xfId="34026"/>
    <cellStyle name="40% - Accent6 3 2 2 2 3" xfId="8320"/>
    <cellStyle name="40% - Accent6 3 2 2 2 3 2" xfId="25367"/>
    <cellStyle name="40% - Accent6 3 2 2 2 3 2 2" xfId="54228"/>
    <cellStyle name="40% - Accent6 3 2 2 2 3 3" xfId="37181"/>
    <cellStyle name="40% - Accent6 3 2 2 2 4" xfId="13416"/>
    <cellStyle name="40% - Accent6 3 2 2 2 4 2" xfId="19595"/>
    <cellStyle name="40% - Accent6 3 2 2 2 4 2 2" xfId="48456"/>
    <cellStyle name="40% - Accent6 3 2 2 2 4 3" xfId="42277"/>
    <cellStyle name="40% - Accent6 3 2 2 2 5" xfId="16915"/>
    <cellStyle name="40% - Accent6 3 2 2 2 5 2" xfId="45776"/>
    <cellStyle name="40% - Accent6 3 2 2 2 6" xfId="31140"/>
    <cellStyle name="40% - Accent6 3 2 2 3" xfId="3414"/>
    <cellStyle name="40% - Accent6 3 2 2 3 2" xfId="9455"/>
    <cellStyle name="40% - Accent6 3 2 2 3 2 2" xfId="26502"/>
    <cellStyle name="40% - Accent6 3 2 2 3 2 2 2" xfId="55363"/>
    <cellStyle name="40% - Accent6 3 2 2 3 2 3" xfId="38316"/>
    <cellStyle name="40% - Accent6 3 2 2 3 3" xfId="20524"/>
    <cellStyle name="40% - Accent6 3 2 2 3 3 2" xfId="49385"/>
    <cellStyle name="40% - Accent6 3 2 2 3 4" xfId="32275"/>
    <cellStyle name="40% - Accent6 3 2 2 4" xfId="6569"/>
    <cellStyle name="40% - Accent6 3 2 2 4 2" xfId="23616"/>
    <cellStyle name="40% - Accent6 3 2 2 4 2 2" xfId="52477"/>
    <cellStyle name="40% - Accent6 3 2 2 4 3" xfId="35430"/>
    <cellStyle name="40% - Accent6 3 2 2 5" xfId="14151"/>
    <cellStyle name="40% - Accent6 3 2 2 5 2" xfId="17844"/>
    <cellStyle name="40% - Accent6 3 2 2 5 2 2" xfId="46705"/>
    <cellStyle name="40% - Accent6 3 2 2 5 3" xfId="43012"/>
    <cellStyle name="40% - Accent6 3 2 2 6" xfId="15164"/>
    <cellStyle name="40% - Accent6 3 2 2 6 2" xfId="44025"/>
    <cellStyle name="40% - Accent6 3 2 2 7" xfId="29389"/>
    <cellStyle name="40% - Accent6 3 2 3" xfId="836"/>
    <cellStyle name="40% - Accent6 3 2 3 2" xfId="3723"/>
    <cellStyle name="40% - Accent6 3 2 3 2 2" xfId="9764"/>
    <cellStyle name="40% - Accent6 3 2 3 2 2 2" xfId="26811"/>
    <cellStyle name="40% - Accent6 3 2 3 2 2 2 2" xfId="55672"/>
    <cellStyle name="40% - Accent6 3 2 3 2 2 3" xfId="38625"/>
    <cellStyle name="40% - Accent6 3 2 3 2 3" xfId="20833"/>
    <cellStyle name="40% - Accent6 3 2 3 2 3 2" xfId="49694"/>
    <cellStyle name="40% - Accent6 3 2 3 2 4" xfId="32584"/>
    <cellStyle name="40% - Accent6 3 2 3 3" xfId="6878"/>
    <cellStyle name="40% - Accent6 3 2 3 3 2" xfId="23925"/>
    <cellStyle name="40% - Accent6 3 2 3 3 2 2" xfId="52786"/>
    <cellStyle name="40% - Accent6 3 2 3 3 3" xfId="35739"/>
    <cellStyle name="40% - Accent6 3 2 3 4" xfId="12979"/>
    <cellStyle name="40% - Accent6 3 2 3 4 2" xfId="18153"/>
    <cellStyle name="40% - Accent6 3 2 3 4 2 2" xfId="47014"/>
    <cellStyle name="40% - Accent6 3 2 3 4 3" xfId="41840"/>
    <cellStyle name="40% - Accent6 3 2 3 5" xfId="15473"/>
    <cellStyle name="40% - Accent6 3 2 3 5 2" xfId="44334"/>
    <cellStyle name="40% - Accent6 3 2 3 6" xfId="29698"/>
    <cellStyle name="40% - Accent6 3 2 4" xfId="1042"/>
    <cellStyle name="40% - Accent6 3 2 4 2" xfId="3929"/>
    <cellStyle name="40% - Accent6 3 2 4 2 2" xfId="9970"/>
    <cellStyle name="40% - Accent6 3 2 4 2 2 2" xfId="27017"/>
    <cellStyle name="40% - Accent6 3 2 4 2 2 2 2" xfId="55878"/>
    <cellStyle name="40% - Accent6 3 2 4 2 2 3" xfId="38831"/>
    <cellStyle name="40% - Accent6 3 2 4 2 3" xfId="21039"/>
    <cellStyle name="40% - Accent6 3 2 4 2 3 2" xfId="49900"/>
    <cellStyle name="40% - Accent6 3 2 4 2 4" xfId="32790"/>
    <cellStyle name="40% - Accent6 3 2 4 3" xfId="7084"/>
    <cellStyle name="40% - Accent6 3 2 4 3 2" xfId="24131"/>
    <cellStyle name="40% - Accent6 3 2 4 3 2 2" xfId="52992"/>
    <cellStyle name="40% - Accent6 3 2 4 3 3" xfId="35945"/>
    <cellStyle name="40% - Accent6 3 2 4 4" xfId="13392"/>
    <cellStyle name="40% - Accent6 3 2 4 4 2" xfId="18359"/>
    <cellStyle name="40% - Accent6 3 2 4 4 2 2" xfId="47220"/>
    <cellStyle name="40% - Accent6 3 2 4 4 3" xfId="42253"/>
    <cellStyle name="40% - Accent6 3 2 4 5" xfId="15679"/>
    <cellStyle name="40% - Accent6 3 2 4 5 2" xfId="44540"/>
    <cellStyle name="40% - Accent6 3 2 4 6" xfId="29904"/>
    <cellStyle name="40% - Accent6 3 2 5" xfId="1248"/>
    <cellStyle name="40% - Accent6 3 2 5 2" xfId="4135"/>
    <cellStyle name="40% - Accent6 3 2 5 2 2" xfId="10176"/>
    <cellStyle name="40% - Accent6 3 2 5 2 2 2" xfId="27223"/>
    <cellStyle name="40% - Accent6 3 2 5 2 2 2 2" xfId="56084"/>
    <cellStyle name="40% - Accent6 3 2 5 2 2 3" xfId="39037"/>
    <cellStyle name="40% - Accent6 3 2 5 2 3" xfId="21245"/>
    <cellStyle name="40% - Accent6 3 2 5 2 3 2" xfId="50106"/>
    <cellStyle name="40% - Accent6 3 2 5 2 4" xfId="32996"/>
    <cellStyle name="40% - Accent6 3 2 5 3" xfId="7290"/>
    <cellStyle name="40% - Accent6 3 2 5 3 2" xfId="24337"/>
    <cellStyle name="40% - Accent6 3 2 5 3 2 2" xfId="53198"/>
    <cellStyle name="40% - Accent6 3 2 5 3 3" xfId="36151"/>
    <cellStyle name="40% - Accent6 3 2 5 4" xfId="12968"/>
    <cellStyle name="40% - Accent6 3 2 5 4 2" xfId="18565"/>
    <cellStyle name="40% - Accent6 3 2 5 4 2 2" xfId="47426"/>
    <cellStyle name="40% - Accent6 3 2 5 4 3" xfId="41829"/>
    <cellStyle name="40% - Accent6 3 2 5 5" xfId="15885"/>
    <cellStyle name="40% - Accent6 3 2 5 5 2" xfId="44746"/>
    <cellStyle name="40% - Accent6 3 2 5 6" xfId="30110"/>
    <cellStyle name="40% - Accent6 3 2 6" xfId="1454"/>
    <cellStyle name="40% - Accent6 3 2 6 2" xfId="4341"/>
    <cellStyle name="40% - Accent6 3 2 6 2 2" xfId="10382"/>
    <cellStyle name="40% - Accent6 3 2 6 2 2 2" xfId="27429"/>
    <cellStyle name="40% - Accent6 3 2 6 2 2 2 2" xfId="56290"/>
    <cellStyle name="40% - Accent6 3 2 6 2 2 3" xfId="39243"/>
    <cellStyle name="40% - Accent6 3 2 6 2 3" xfId="21451"/>
    <cellStyle name="40% - Accent6 3 2 6 2 3 2" xfId="50312"/>
    <cellStyle name="40% - Accent6 3 2 6 2 4" xfId="33202"/>
    <cellStyle name="40% - Accent6 3 2 6 3" xfId="7496"/>
    <cellStyle name="40% - Accent6 3 2 6 3 2" xfId="24543"/>
    <cellStyle name="40% - Accent6 3 2 6 3 2 2" xfId="53404"/>
    <cellStyle name="40% - Accent6 3 2 6 3 3" xfId="36357"/>
    <cellStyle name="40% - Accent6 3 2 6 4" xfId="12608"/>
    <cellStyle name="40% - Accent6 3 2 6 4 2" xfId="18771"/>
    <cellStyle name="40% - Accent6 3 2 6 4 2 2" xfId="47632"/>
    <cellStyle name="40% - Accent6 3 2 6 4 3" xfId="41469"/>
    <cellStyle name="40% - Accent6 3 2 6 5" xfId="16091"/>
    <cellStyle name="40% - Accent6 3 2 6 5 2" xfId="44952"/>
    <cellStyle name="40% - Accent6 3 2 6 6" xfId="30316"/>
    <cellStyle name="40% - Accent6 3 2 7" xfId="1660"/>
    <cellStyle name="40% - Accent6 3 2 7 2" xfId="4547"/>
    <cellStyle name="40% - Accent6 3 2 7 2 2" xfId="10588"/>
    <cellStyle name="40% - Accent6 3 2 7 2 2 2" xfId="27635"/>
    <cellStyle name="40% - Accent6 3 2 7 2 2 2 2" xfId="56496"/>
    <cellStyle name="40% - Accent6 3 2 7 2 2 3" xfId="39449"/>
    <cellStyle name="40% - Accent6 3 2 7 2 3" xfId="21657"/>
    <cellStyle name="40% - Accent6 3 2 7 2 3 2" xfId="50518"/>
    <cellStyle name="40% - Accent6 3 2 7 2 4" xfId="33408"/>
    <cellStyle name="40% - Accent6 3 2 7 3" xfId="7702"/>
    <cellStyle name="40% - Accent6 3 2 7 3 2" xfId="24749"/>
    <cellStyle name="40% - Accent6 3 2 7 3 2 2" xfId="53610"/>
    <cellStyle name="40% - Accent6 3 2 7 3 3" xfId="36563"/>
    <cellStyle name="40% - Accent6 3 2 7 4" xfId="13874"/>
    <cellStyle name="40% - Accent6 3 2 7 4 2" xfId="18977"/>
    <cellStyle name="40% - Accent6 3 2 7 4 2 2" xfId="47838"/>
    <cellStyle name="40% - Accent6 3 2 7 4 3" xfId="42735"/>
    <cellStyle name="40% - Accent6 3 2 7 5" xfId="16297"/>
    <cellStyle name="40% - Accent6 3 2 7 5 2" xfId="45158"/>
    <cellStyle name="40% - Accent6 3 2 7 6" xfId="30522"/>
    <cellStyle name="40% - Accent6 3 2 8" xfId="1866"/>
    <cellStyle name="40% - Accent6 3 2 8 2" xfId="4753"/>
    <cellStyle name="40% - Accent6 3 2 8 2 2" xfId="10794"/>
    <cellStyle name="40% - Accent6 3 2 8 2 2 2" xfId="27841"/>
    <cellStyle name="40% - Accent6 3 2 8 2 2 2 2" xfId="56702"/>
    <cellStyle name="40% - Accent6 3 2 8 2 2 3" xfId="39655"/>
    <cellStyle name="40% - Accent6 3 2 8 2 3" xfId="21863"/>
    <cellStyle name="40% - Accent6 3 2 8 2 3 2" xfId="50724"/>
    <cellStyle name="40% - Accent6 3 2 8 2 4" xfId="33614"/>
    <cellStyle name="40% - Accent6 3 2 8 3" xfId="7908"/>
    <cellStyle name="40% - Accent6 3 2 8 3 2" xfId="24955"/>
    <cellStyle name="40% - Accent6 3 2 8 3 2 2" xfId="53816"/>
    <cellStyle name="40% - Accent6 3 2 8 3 3" xfId="36769"/>
    <cellStyle name="40% - Accent6 3 2 8 4" xfId="13464"/>
    <cellStyle name="40% - Accent6 3 2 8 4 2" xfId="19183"/>
    <cellStyle name="40% - Accent6 3 2 8 4 2 2" xfId="48044"/>
    <cellStyle name="40% - Accent6 3 2 8 4 3" xfId="42325"/>
    <cellStyle name="40% - Accent6 3 2 8 5" xfId="16503"/>
    <cellStyle name="40% - Accent6 3 2 8 5 2" xfId="45364"/>
    <cellStyle name="40% - Accent6 3 2 8 6" xfId="30728"/>
    <cellStyle name="40% - Accent6 3 2 9" xfId="2072"/>
    <cellStyle name="40% - Accent6 3 2 9 2" xfId="4959"/>
    <cellStyle name="40% - Accent6 3 2 9 2 2" xfId="11000"/>
    <cellStyle name="40% - Accent6 3 2 9 2 2 2" xfId="28047"/>
    <cellStyle name="40% - Accent6 3 2 9 2 2 2 2" xfId="56908"/>
    <cellStyle name="40% - Accent6 3 2 9 2 2 3" xfId="39861"/>
    <cellStyle name="40% - Accent6 3 2 9 2 3" xfId="22069"/>
    <cellStyle name="40% - Accent6 3 2 9 2 3 2" xfId="50930"/>
    <cellStyle name="40% - Accent6 3 2 9 2 4" xfId="33820"/>
    <cellStyle name="40% - Accent6 3 2 9 3" xfId="8114"/>
    <cellStyle name="40% - Accent6 3 2 9 3 2" xfId="25161"/>
    <cellStyle name="40% - Accent6 3 2 9 3 2 2" xfId="54022"/>
    <cellStyle name="40% - Accent6 3 2 9 3 3" xfId="36975"/>
    <cellStyle name="40% - Accent6 3 2 9 4" xfId="12299"/>
    <cellStyle name="40% - Accent6 3 2 9 4 2" xfId="19389"/>
    <cellStyle name="40% - Accent6 3 2 9 4 2 2" xfId="48250"/>
    <cellStyle name="40% - Accent6 3 2 9 4 3" xfId="41160"/>
    <cellStyle name="40% - Accent6 3 2 9 5" xfId="16709"/>
    <cellStyle name="40% - Accent6 3 2 9 5 2" xfId="45570"/>
    <cellStyle name="40% - Accent6 3 2 9 6" xfId="30934"/>
    <cellStyle name="40% - Accent6 3 20" xfId="28977"/>
    <cellStyle name="40% - Accent6 3 3" xfId="218"/>
    <cellStyle name="40% - Accent6 3 3 2" xfId="630"/>
    <cellStyle name="40% - Accent6 3 3 2 2" xfId="3517"/>
    <cellStyle name="40% - Accent6 3 3 2 2 2" xfId="9558"/>
    <cellStyle name="40% - Accent6 3 3 2 2 2 2" xfId="26605"/>
    <cellStyle name="40% - Accent6 3 3 2 2 2 2 2" xfId="55466"/>
    <cellStyle name="40% - Accent6 3 3 2 2 2 3" xfId="38419"/>
    <cellStyle name="40% - Accent6 3 3 2 2 3" xfId="20627"/>
    <cellStyle name="40% - Accent6 3 3 2 2 3 2" xfId="49488"/>
    <cellStyle name="40% - Accent6 3 3 2 2 4" xfId="32378"/>
    <cellStyle name="40% - Accent6 3 3 2 3" xfId="6672"/>
    <cellStyle name="40% - Accent6 3 3 2 3 2" xfId="23719"/>
    <cellStyle name="40% - Accent6 3 3 2 3 2 2" xfId="52580"/>
    <cellStyle name="40% - Accent6 3 3 2 3 3" xfId="35533"/>
    <cellStyle name="40% - Accent6 3 3 2 4" xfId="13346"/>
    <cellStyle name="40% - Accent6 3 3 2 4 2" xfId="17947"/>
    <cellStyle name="40% - Accent6 3 3 2 4 2 2" xfId="46808"/>
    <cellStyle name="40% - Accent6 3 3 2 4 3" xfId="42207"/>
    <cellStyle name="40% - Accent6 3 3 2 5" xfId="15267"/>
    <cellStyle name="40% - Accent6 3 3 2 5 2" xfId="44128"/>
    <cellStyle name="40% - Accent6 3 3 2 6" xfId="29492"/>
    <cellStyle name="40% - Accent6 3 3 3" xfId="2175"/>
    <cellStyle name="40% - Accent6 3 3 3 2" xfId="5062"/>
    <cellStyle name="40% - Accent6 3 3 3 2 2" xfId="11103"/>
    <cellStyle name="40% - Accent6 3 3 3 2 2 2" xfId="28150"/>
    <cellStyle name="40% - Accent6 3 3 3 2 2 2 2" xfId="57011"/>
    <cellStyle name="40% - Accent6 3 3 3 2 2 3" xfId="39964"/>
    <cellStyle name="40% - Accent6 3 3 3 2 3" xfId="22172"/>
    <cellStyle name="40% - Accent6 3 3 3 2 3 2" xfId="51033"/>
    <cellStyle name="40% - Accent6 3 3 3 2 4" xfId="33923"/>
    <cellStyle name="40% - Accent6 3 3 3 3" xfId="8217"/>
    <cellStyle name="40% - Accent6 3 3 3 3 2" xfId="25264"/>
    <cellStyle name="40% - Accent6 3 3 3 3 2 2" xfId="54125"/>
    <cellStyle name="40% - Accent6 3 3 3 3 3" xfId="37078"/>
    <cellStyle name="40% - Accent6 3 3 3 4" xfId="12970"/>
    <cellStyle name="40% - Accent6 3 3 3 4 2" xfId="19492"/>
    <cellStyle name="40% - Accent6 3 3 3 4 2 2" xfId="48353"/>
    <cellStyle name="40% - Accent6 3 3 3 4 3" xfId="41831"/>
    <cellStyle name="40% - Accent6 3 3 3 5" xfId="16812"/>
    <cellStyle name="40% - Accent6 3 3 3 5 2" xfId="45673"/>
    <cellStyle name="40% - Accent6 3 3 3 6" xfId="31037"/>
    <cellStyle name="40% - Accent6 3 3 4" xfId="3105"/>
    <cellStyle name="40% - Accent6 3 3 4 2" xfId="9146"/>
    <cellStyle name="40% - Accent6 3 3 4 2 2" xfId="26193"/>
    <cellStyle name="40% - Accent6 3 3 4 2 2 2" xfId="55054"/>
    <cellStyle name="40% - Accent6 3 3 4 2 3" xfId="38007"/>
    <cellStyle name="40% - Accent6 3 3 4 3" xfId="20215"/>
    <cellStyle name="40% - Accent6 3 3 4 3 2" xfId="49076"/>
    <cellStyle name="40% - Accent6 3 3 4 4" xfId="31966"/>
    <cellStyle name="40% - Accent6 3 3 5" xfId="6260"/>
    <cellStyle name="40% - Accent6 3 3 5 2" xfId="23307"/>
    <cellStyle name="40% - Accent6 3 3 5 2 2" xfId="52168"/>
    <cellStyle name="40% - Accent6 3 3 5 3" xfId="35121"/>
    <cellStyle name="40% - Accent6 3 3 6" xfId="13452"/>
    <cellStyle name="40% - Accent6 3 3 6 2" xfId="17638"/>
    <cellStyle name="40% - Accent6 3 3 6 2 2" xfId="46499"/>
    <cellStyle name="40% - Accent6 3 3 6 3" xfId="42313"/>
    <cellStyle name="40% - Accent6 3 3 7" xfId="14855"/>
    <cellStyle name="40% - Accent6 3 3 7 2" xfId="43716"/>
    <cellStyle name="40% - Accent6 3 3 8" xfId="29080"/>
    <cellStyle name="40% - Accent6 3 4" xfId="424"/>
    <cellStyle name="40% - Accent6 3 4 2" xfId="3311"/>
    <cellStyle name="40% - Accent6 3 4 2 2" xfId="9352"/>
    <cellStyle name="40% - Accent6 3 4 2 2 2" xfId="26399"/>
    <cellStyle name="40% - Accent6 3 4 2 2 2 2" xfId="55260"/>
    <cellStyle name="40% - Accent6 3 4 2 2 3" xfId="38213"/>
    <cellStyle name="40% - Accent6 3 4 2 3" xfId="20421"/>
    <cellStyle name="40% - Accent6 3 4 2 3 2" xfId="49282"/>
    <cellStyle name="40% - Accent6 3 4 2 4" xfId="32172"/>
    <cellStyle name="40% - Accent6 3 4 3" xfId="6466"/>
    <cellStyle name="40% - Accent6 3 4 3 2" xfId="23513"/>
    <cellStyle name="40% - Accent6 3 4 3 2 2" xfId="52374"/>
    <cellStyle name="40% - Accent6 3 4 3 3" xfId="35327"/>
    <cellStyle name="40% - Accent6 3 4 4" xfId="13055"/>
    <cellStyle name="40% - Accent6 3 4 4 2" xfId="17741"/>
    <cellStyle name="40% - Accent6 3 4 4 2 2" xfId="46602"/>
    <cellStyle name="40% - Accent6 3 4 4 3" xfId="41916"/>
    <cellStyle name="40% - Accent6 3 4 5" xfId="15061"/>
    <cellStyle name="40% - Accent6 3 4 5 2" xfId="43922"/>
    <cellStyle name="40% - Accent6 3 4 6" xfId="29286"/>
    <cellStyle name="40% - Accent6 3 5" xfId="733"/>
    <cellStyle name="40% - Accent6 3 5 2" xfId="3620"/>
    <cellStyle name="40% - Accent6 3 5 2 2" xfId="9661"/>
    <cellStyle name="40% - Accent6 3 5 2 2 2" xfId="26708"/>
    <cellStyle name="40% - Accent6 3 5 2 2 2 2" xfId="55569"/>
    <cellStyle name="40% - Accent6 3 5 2 2 3" xfId="38522"/>
    <cellStyle name="40% - Accent6 3 5 2 3" xfId="20730"/>
    <cellStyle name="40% - Accent6 3 5 2 3 2" xfId="49591"/>
    <cellStyle name="40% - Accent6 3 5 2 4" xfId="32481"/>
    <cellStyle name="40% - Accent6 3 5 3" xfId="6775"/>
    <cellStyle name="40% - Accent6 3 5 3 2" xfId="23822"/>
    <cellStyle name="40% - Accent6 3 5 3 2 2" xfId="52683"/>
    <cellStyle name="40% - Accent6 3 5 3 3" xfId="35636"/>
    <cellStyle name="40% - Accent6 3 5 4" xfId="14349"/>
    <cellStyle name="40% - Accent6 3 5 4 2" xfId="18050"/>
    <cellStyle name="40% - Accent6 3 5 4 2 2" xfId="46911"/>
    <cellStyle name="40% - Accent6 3 5 4 3" xfId="43210"/>
    <cellStyle name="40% - Accent6 3 5 5" xfId="15370"/>
    <cellStyle name="40% - Accent6 3 5 5 2" xfId="44231"/>
    <cellStyle name="40% - Accent6 3 5 6" xfId="29595"/>
    <cellStyle name="40% - Accent6 3 6" xfId="939"/>
    <cellStyle name="40% - Accent6 3 6 2" xfId="3826"/>
    <cellStyle name="40% - Accent6 3 6 2 2" xfId="9867"/>
    <cellStyle name="40% - Accent6 3 6 2 2 2" xfId="26914"/>
    <cellStyle name="40% - Accent6 3 6 2 2 2 2" xfId="55775"/>
    <cellStyle name="40% - Accent6 3 6 2 2 3" xfId="38728"/>
    <cellStyle name="40% - Accent6 3 6 2 3" xfId="20936"/>
    <cellStyle name="40% - Accent6 3 6 2 3 2" xfId="49797"/>
    <cellStyle name="40% - Accent6 3 6 2 4" xfId="32687"/>
    <cellStyle name="40% - Accent6 3 6 3" xfId="6981"/>
    <cellStyle name="40% - Accent6 3 6 3 2" xfId="24028"/>
    <cellStyle name="40% - Accent6 3 6 3 2 2" xfId="52889"/>
    <cellStyle name="40% - Accent6 3 6 3 3" xfId="35842"/>
    <cellStyle name="40% - Accent6 3 6 4" xfId="12236"/>
    <cellStyle name="40% - Accent6 3 6 4 2" xfId="18256"/>
    <cellStyle name="40% - Accent6 3 6 4 2 2" xfId="47117"/>
    <cellStyle name="40% - Accent6 3 6 4 3" xfId="41097"/>
    <cellStyle name="40% - Accent6 3 6 5" xfId="15576"/>
    <cellStyle name="40% - Accent6 3 6 5 2" xfId="44437"/>
    <cellStyle name="40% - Accent6 3 6 6" xfId="29801"/>
    <cellStyle name="40% - Accent6 3 7" xfId="1145"/>
    <cellStyle name="40% - Accent6 3 7 2" xfId="4032"/>
    <cellStyle name="40% - Accent6 3 7 2 2" xfId="10073"/>
    <cellStyle name="40% - Accent6 3 7 2 2 2" xfId="27120"/>
    <cellStyle name="40% - Accent6 3 7 2 2 2 2" xfId="55981"/>
    <cellStyle name="40% - Accent6 3 7 2 2 3" xfId="38934"/>
    <cellStyle name="40% - Accent6 3 7 2 3" xfId="21142"/>
    <cellStyle name="40% - Accent6 3 7 2 3 2" xfId="50003"/>
    <cellStyle name="40% - Accent6 3 7 2 4" xfId="32893"/>
    <cellStyle name="40% - Accent6 3 7 3" xfId="7187"/>
    <cellStyle name="40% - Accent6 3 7 3 2" xfId="24234"/>
    <cellStyle name="40% - Accent6 3 7 3 2 2" xfId="53095"/>
    <cellStyle name="40% - Accent6 3 7 3 3" xfId="36048"/>
    <cellStyle name="40% - Accent6 3 7 4" xfId="14070"/>
    <cellStyle name="40% - Accent6 3 7 4 2" xfId="18462"/>
    <cellStyle name="40% - Accent6 3 7 4 2 2" xfId="47323"/>
    <cellStyle name="40% - Accent6 3 7 4 3" xfId="42931"/>
    <cellStyle name="40% - Accent6 3 7 5" xfId="15782"/>
    <cellStyle name="40% - Accent6 3 7 5 2" xfId="44643"/>
    <cellStyle name="40% - Accent6 3 7 6" xfId="30007"/>
    <cellStyle name="40% - Accent6 3 8" xfId="1351"/>
    <cellStyle name="40% - Accent6 3 8 2" xfId="4238"/>
    <cellStyle name="40% - Accent6 3 8 2 2" xfId="10279"/>
    <cellStyle name="40% - Accent6 3 8 2 2 2" xfId="27326"/>
    <cellStyle name="40% - Accent6 3 8 2 2 2 2" xfId="56187"/>
    <cellStyle name="40% - Accent6 3 8 2 2 3" xfId="39140"/>
    <cellStyle name="40% - Accent6 3 8 2 3" xfId="21348"/>
    <cellStyle name="40% - Accent6 3 8 2 3 2" xfId="50209"/>
    <cellStyle name="40% - Accent6 3 8 2 4" xfId="33099"/>
    <cellStyle name="40% - Accent6 3 8 3" xfId="7393"/>
    <cellStyle name="40% - Accent6 3 8 3 2" xfId="24440"/>
    <cellStyle name="40% - Accent6 3 8 3 2 2" xfId="53301"/>
    <cellStyle name="40% - Accent6 3 8 3 3" xfId="36254"/>
    <cellStyle name="40% - Accent6 3 8 4" xfId="14006"/>
    <cellStyle name="40% - Accent6 3 8 4 2" xfId="18668"/>
    <cellStyle name="40% - Accent6 3 8 4 2 2" xfId="47529"/>
    <cellStyle name="40% - Accent6 3 8 4 3" xfId="42867"/>
    <cellStyle name="40% - Accent6 3 8 5" xfId="15988"/>
    <cellStyle name="40% - Accent6 3 8 5 2" xfId="44849"/>
    <cellStyle name="40% - Accent6 3 8 6" xfId="30213"/>
    <cellStyle name="40% - Accent6 3 9" xfId="1557"/>
    <cellStyle name="40% - Accent6 3 9 2" xfId="4444"/>
    <cellStyle name="40% - Accent6 3 9 2 2" xfId="10485"/>
    <cellStyle name="40% - Accent6 3 9 2 2 2" xfId="27532"/>
    <cellStyle name="40% - Accent6 3 9 2 2 2 2" xfId="56393"/>
    <cellStyle name="40% - Accent6 3 9 2 2 3" xfId="39346"/>
    <cellStyle name="40% - Accent6 3 9 2 3" xfId="21554"/>
    <cellStyle name="40% - Accent6 3 9 2 3 2" xfId="50415"/>
    <cellStyle name="40% - Accent6 3 9 2 4" xfId="33305"/>
    <cellStyle name="40% - Accent6 3 9 3" xfId="7599"/>
    <cellStyle name="40% - Accent6 3 9 3 2" xfId="24646"/>
    <cellStyle name="40% - Accent6 3 9 3 2 2" xfId="53507"/>
    <cellStyle name="40% - Accent6 3 9 3 3" xfId="36460"/>
    <cellStyle name="40% - Accent6 3 9 4" xfId="12479"/>
    <cellStyle name="40% - Accent6 3 9 4 2" xfId="18874"/>
    <cellStyle name="40% - Accent6 3 9 4 2 2" xfId="47735"/>
    <cellStyle name="40% - Accent6 3 9 4 3" xfId="41340"/>
    <cellStyle name="40% - Accent6 3 9 5" xfId="16194"/>
    <cellStyle name="40% - Accent6 3 9 5 2" xfId="45055"/>
    <cellStyle name="40% - Accent6 3 9 6" xfId="30419"/>
    <cellStyle name="40% - Accent6 4" xfId="141"/>
    <cellStyle name="40% - Accent6 4 10" xfId="1789"/>
    <cellStyle name="40% - Accent6 4 10 2" xfId="4676"/>
    <cellStyle name="40% - Accent6 4 10 2 2" xfId="10717"/>
    <cellStyle name="40% - Accent6 4 10 2 2 2" xfId="27764"/>
    <cellStyle name="40% - Accent6 4 10 2 2 2 2" xfId="56625"/>
    <cellStyle name="40% - Accent6 4 10 2 2 3" xfId="39578"/>
    <cellStyle name="40% - Accent6 4 10 2 3" xfId="21786"/>
    <cellStyle name="40% - Accent6 4 10 2 3 2" xfId="50647"/>
    <cellStyle name="40% - Accent6 4 10 2 4" xfId="33537"/>
    <cellStyle name="40% - Accent6 4 10 3" xfId="7831"/>
    <cellStyle name="40% - Accent6 4 10 3 2" xfId="24878"/>
    <cellStyle name="40% - Accent6 4 10 3 2 2" xfId="53739"/>
    <cellStyle name="40% - Accent6 4 10 3 3" xfId="36692"/>
    <cellStyle name="40% - Accent6 4 10 4" xfId="13793"/>
    <cellStyle name="40% - Accent6 4 10 4 2" xfId="19106"/>
    <cellStyle name="40% - Accent6 4 10 4 2 2" xfId="47967"/>
    <cellStyle name="40% - Accent6 4 10 4 3" xfId="42654"/>
    <cellStyle name="40% - Accent6 4 10 5" xfId="16426"/>
    <cellStyle name="40% - Accent6 4 10 5 2" xfId="45287"/>
    <cellStyle name="40% - Accent6 4 10 6" xfId="30651"/>
    <cellStyle name="40% - Accent6 4 11" xfId="1995"/>
    <cellStyle name="40% - Accent6 4 11 2" xfId="4882"/>
    <cellStyle name="40% - Accent6 4 11 2 2" xfId="10923"/>
    <cellStyle name="40% - Accent6 4 11 2 2 2" xfId="27970"/>
    <cellStyle name="40% - Accent6 4 11 2 2 2 2" xfId="56831"/>
    <cellStyle name="40% - Accent6 4 11 2 2 3" xfId="39784"/>
    <cellStyle name="40% - Accent6 4 11 2 3" xfId="21992"/>
    <cellStyle name="40% - Accent6 4 11 2 3 2" xfId="50853"/>
    <cellStyle name="40% - Accent6 4 11 2 4" xfId="33743"/>
    <cellStyle name="40% - Accent6 4 11 3" xfId="8037"/>
    <cellStyle name="40% - Accent6 4 11 3 2" xfId="25084"/>
    <cellStyle name="40% - Accent6 4 11 3 2 2" xfId="53945"/>
    <cellStyle name="40% - Accent6 4 11 3 3" xfId="36898"/>
    <cellStyle name="40% - Accent6 4 11 4" xfId="12613"/>
    <cellStyle name="40% - Accent6 4 11 4 2" xfId="19312"/>
    <cellStyle name="40% - Accent6 4 11 4 2 2" xfId="48173"/>
    <cellStyle name="40% - Accent6 4 11 4 3" xfId="41474"/>
    <cellStyle name="40% - Accent6 4 11 5" xfId="16632"/>
    <cellStyle name="40% - Accent6 4 11 5 2" xfId="45493"/>
    <cellStyle name="40% - Accent6 4 11 6" xfId="30857"/>
    <cellStyle name="40% - Accent6 4 12" xfId="2407"/>
    <cellStyle name="40% - Accent6 4 12 2" xfId="5294"/>
    <cellStyle name="40% - Accent6 4 12 2 2" xfId="11335"/>
    <cellStyle name="40% - Accent6 4 12 2 2 2" xfId="28382"/>
    <cellStyle name="40% - Accent6 4 12 2 2 2 2" xfId="57243"/>
    <cellStyle name="40% - Accent6 4 12 2 2 3" xfId="40196"/>
    <cellStyle name="40% - Accent6 4 12 2 3" xfId="22404"/>
    <cellStyle name="40% - Accent6 4 12 2 3 2" xfId="51265"/>
    <cellStyle name="40% - Accent6 4 12 2 4" xfId="34155"/>
    <cellStyle name="40% - Accent6 4 12 3" xfId="8449"/>
    <cellStyle name="40% - Accent6 4 12 3 2" xfId="25496"/>
    <cellStyle name="40% - Accent6 4 12 3 2 2" xfId="54357"/>
    <cellStyle name="40% - Accent6 4 12 3 3" xfId="37310"/>
    <cellStyle name="40% - Accent6 4 12 4" xfId="13525"/>
    <cellStyle name="40% - Accent6 4 12 4 2" xfId="19724"/>
    <cellStyle name="40% - Accent6 4 12 4 2 2" xfId="48585"/>
    <cellStyle name="40% - Accent6 4 12 4 3" xfId="42386"/>
    <cellStyle name="40% - Accent6 4 12 5" xfId="17044"/>
    <cellStyle name="40% - Accent6 4 12 5 2" xfId="45905"/>
    <cellStyle name="40% - Accent6 4 12 6" xfId="31269"/>
    <cellStyle name="40% - Accent6 4 13" xfId="2616"/>
    <cellStyle name="40% - Accent6 4 13 2" xfId="5502"/>
    <cellStyle name="40% - Accent6 4 13 2 2" xfId="11543"/>
    <cellStyle name="40% - Accent6 4 13 2 2 2" xfId="28590"/>
    <cellStyle name="40% - Accent6 4 13 2 2 2 2" xfId="57451"/>
    <cellStyle name="40% - Accent6 4 13 2 2 3" xfId="40404"/>
    <cellStyle name="40% - Accent6 4 13 2 3" xfId="22612"/>
    <cellStyle name="40% - Accent6 4 13 2 3 2" xfId="51473"/>
    <cellStyle name="40% - Accent6 4 13 2 4" xfId="34363"/>
    <cellStyle name="40% - Accent6 4 13 3" xfId="8657"/>
    <cellStyle name="40% - Accent6 4 13 3 2" xfId="25704"/>
    <cellStyle name="40% - Accent6 4 13 3 2 2" xfId="54565"/>
    <cellStyle name="40% - Accent6 4 13 3 3" xfId="37518"/>
    <cellStyle name="40% - Accent6 4 13 4" xfId="12379"/>
    <cellStyle name="40% - Accent6 4 13 4 2" xfId="19932"/>
    <cellStyle name="40% - Accent6 4 13 4 2 2" xfId="48793"/>
    <cellStyle name="40% - Accent6 4 13 4 3" xfId="41240"/>
    <cellStyle name="40% - Accent6 4 13 5" xfId="17252"/>
    <cellStyle name="40% - Accent6 4 13 5 2" xfId="46113"/>
    <cellStyle name="40% - Accent6 4 13 6" xfId="31477"/>
    <cellStyle name="40% - Accent6 4 14" xfId="3028"/>
    <cellStyle name="40% - Accent6 4 14 2" xfId="9069"/>
    <cellStyle name="40% - Accent6 4 14 2 2" xfId="26116"/>
    <cellStyle name="40% - Accent6 4 14 2 2 2" xfId="54977"/>
    <cellStyle name="40% - Accent6 4 14 2 3" xfId="37930"/>
    <cellStyle name="40% - Accent6 4 14 3" xfId="14200"/>
    <cellStyle name="40% - Accent6 4 14 3 2" xfId="20138"/>
    <cellStyle name="40% - Accent6 4 14 3 2 2" xfId="48999"/>
    <cellStyle name="40% - Accent6 4 14 3 3" xfId="43061"/>
    <cellStyle name="40% - Accent6 4 14 4" xfId="14778"/>
    <cellStyle name="40% - Accent6 4 14 4 2" xfId="43639"/>
    <cellStyle name="40% - Accent6 4 14 5" xfId="31889"/>
    <cellStyle name="40% - Accent6 4 15" xfId="2822"/>
    <cellStyle name="40% - Accent6 4 15 2" xfId="8863"/>
    <cellStyle name="40% - Accent6 4 15 2 2" xfId="25910"/>
    <cellStyle name="40% - Accent6 4 15 2 2 2" xfId="54771"/>
    <cellStyle name="40% - Accent6 4 15 2 3" xfId="37724"/>
    <cellStyle name="40% - Accent6 4 15 3" xfId="17458"/>
    <cellStyle name="40% - Accent6 4 15 3 2" xfId="46319"/>
    <cellStyle name="40% - Accent6 4 15 4" xfId="31683"/>
    <cellStyle name="40% - Accent6 4 16" xfId="5708"/>
    <cellStyle name="40% - Accent6 4 16 2" xfId="11749"/>
    <cellStyle name="40% - Accent6 4 16 2 2" xfId="28796"/>
    <cellStyle name="40% - Accent6 4 16 2 2 2" xfId="57657"/>
    <cellStyle name="40% - Accent6 4 16 2 3" xfId="40610"/>
    <cellStyle name="40% - Accent6 4 16 3" xfId="22818"/>
    <cellStyle name="40% - Accent6 4 16 3 2" xfId="51679"/>
    <cellStyle name="40% - Accent6 4 16 4" xfId="34569"/>
    <cellStyle name="40% - Accent6 4 17" xfId="5925"/>
    <cellStyle name="40% - Accent6 4 17 2" xfId="23024"/>
    <cellStyle name="40% - Accent6 4 17 2 2" xfId="51885"/>
    <cellStyle name="40% - Accent6 4 17 3" xfId="34786"/>
    <cellStyle name="40% - Accent6 4 18" xfId="6183"/>
    <cellStyle name="40% - Accent6 4 18 2" xfId="23230"/>
    <cellStyle name="40% - Accent6 4 18 2 2" xfId="52091"/>
    <cellStyle name="40% - Accent6 4 18 3" xfId="35044"/>
    <cellStyle name="40% - Accent6 4 19" xfId="14572"/>
    <cellStyle name="40% - Accent6 4 19 2" xfId="43433"/>
    <cellStyle name="40% - Accent6 4 2" xfId="347"/>
    <cellStyle name="40% - Accent6 4 2 10" xfId="2510"/>
    <cellStyle name="40% - Accent6 4 2 10 2" xfId="5397"/>
    <cellStyle name="40% - Accent6 4 2 10 2 2" xfId="11438"/>
    <cellStyle name="40% - Accent6 4 2 10 2 2 2" xfId="28485"/>
    <cellStyle name="40% - Accent6 4 2 10 2 2 2 2" xfId="57346"/>
    <cellStyle name="40% - Accent6 4 2 10 2 2 3" xfId="40299"/>
    <cellStyle name="40% - Accent6 4 2 10 2 3" xfId="22507"/>
    <cellStyle name="40% - Accent6 4 2 10 2 3 2" xfId="51368"/>
    <cellStyle name="40% - Accent6 4 2 10 2 4" xfId="34258"/>
    <cellStyle name="40% - Accent6 4 2 10 3" xfId="8552"/>
    <cellStyle name="40% - Accent6 4 2 10 3 2" xfId="25599"/>
    <cellStyle name="40% - Accent6 4 2 10 3 2 2" xfId="54460"/>
    <cellStyle name="40% - Accent6 4 2 10 3 3" xfId="37413"/>
    <cellStyle name="40% - Accent6 4 2 10 4" xfId="14010"/>
    <cellStyle name="40% - Accent6 4 2 10 4 2" xfId="19827"/>
    <cellStyle name="40% - Accent6 4 2 10 4 2 2" xfId="48688"/>
    <cellStyle name="40% - Accent6 4 2 10 4 3" xfId="42871"/>
    <cellStyle name="40% - Accent6 4 2 10 5" xfId="17147"/>
    <cellStyle name="40% - Accent6 4 2 10 5 2" xfId="46008"/>
    <cellStyle name="40% - Accent6 4 2 10 6" xfId="31372"/>
    <cellStyle name="40% - Accent6 4 2 11" xfId="2719"/>
    <cellStyle name="40% - Accent6 4 2 11 2" xfId="5605"/>
    <cellStyle name="40% - Accent6 4 2 11 2 2" xfId="11646"/>
    <cellStyle name="40% - Accent6 4 2 11 2 2 2" xfId="28693"/>
    <cellStyle name="40% - Accent6 4 2 11 2 2 2 2" xfId="57554"/>
    <cellStyle name="40% - Accent6 4 2 11 2 2 3" xfId="40507"/>
    <cellStyle name="40% - Accent6 4 2 11 2 3" xfId="22715"/>
    <cellStyle name="40% - Accent6 4 2 11 2 3 2" xfId="51576"/>
    <cellStyle name="40% - Accent6 4 2 11 2 4" xfId="34466"/>
    <cellStyle name="40% - Accent6 4 2 11 3" xfId="8760"/>
    <cellStyle name="40% - Accent6 4 2 11 3 2" xfId="25807"/>
    <cellStyle name="40% - Accent6 4 2 11 3 2 2" xfId="54668"/>
    <cellStyle name="40% - Accent6 4 2 11 3 3" xfId="37621"/>
    <cellStyle name="40% - Accent6 4 2 11 4" xfId="14132"/>
    <cellStyle name="40% - Accent6 4 2 11 4 2" xfId="20035"/>
    <cellStyle name="40% - Accent6 4 2 11 4 2 2" xfId="48896"/>
    <cellStyle name="40% - Accent6 4 2 11 4 3" xfId="42993"/>
    <cellStyle name="40% - Accent6 4 2 11 5" xfId="17355"/>
    <cellStyle name="40% - Accent6 4 2 11 5 2" xfId="46216"/>
    <cellStyle name="40% - Accent6 4 2 11 6" xfId="31580"/>
    <cellStyle name="40% - Accent6 4 2 12" xfId="3234"/>
    <cellStyle name="40% - Accent6 4 2 12 2" xfId="9275"/>
    <cellStyle name="40% - Accent6 4 2 12 2 2" xfId="26322"/>
    <cellStyle name="40% - Accent6 4 2 12 2 2 2" xfId="55183"/>
    <cellStyle name="40% - Accent6 4 2 12 2 3" xfId="38136"/>
    <cellStyle name="40% - Accent6 4 2 12 3" xfId="12593"/>
    <cellStyle name="40% - Accent6 4 2 12 3 2" xfId="20344"/>
    <cellStyle name="40% - Accent6 4 2 12 3 2 2" xfId="49205"/>
    <cellStyle name="40% - Accent6 4 2 12 3 3" xfId="41454"/>
    <cellStyle name="40% - Accent6 4 2 12 4" xfId="14984"/>
    <cellStyle name="40% - Accent6 4 2 12 4 2" xfId="43845"/>
    <cellStyle name="40% - Accent6 4 2 12 5" xfId="32095"/>
    <cellStyle name="40% - Accent6 4 2 13" xfId="2925"/>
    <cellStyle name="40% - Accent6 4 2 13 2" xfId="8966"/>
    <cellStyle name="40% - Accent6 4 2 13 2 2" xfId="26013"/>
    <cellStyle name="40% - Accent6 4 2 13 2 2 2" xfId="54874"/>
    <cellStyle name="40% - Accent6 4 2 13 2 3" xfId="37827"/>
    <cellStyle name="40% - Accent6 4 2 13 3" xfId="17561"/>
    <cellStyle name="40% - Accent6 4 2 13 3 2" xfId="46422"/>
    <cellStyle name="40% - Accent6 4 2 13 4" xfId="31786"/>
    <cellStyle name="40% - Accent6 4 2 14" xfId="5811"/>
    <cellStyle name="40% - Accent6 4 2 14 2" xfId="11852"/>
    <cellStyle name="40% - Accent6 4 2 14 2 2" xfId="28899"/>
    <cellStyle name="40% - Accent6 4 2 14 2 2 2" xfId="57760"/>
    <cellStyle name="40% - Accent6 4 2 14 2 3" xfId="40713"/>
    <cellStyle name="40% - Accent6 4 2 14 3" xfId="22921"/>
    <cellStyle name="40% - Accent6 4 2 14 3 2" xfId="51782"/>
    <cellStyle name="40% - Accent6 4 2 14 4" xfId="34672"/>
    <cellStyle name="40% - Accent6 4 2 15" xfId="6028"/>
    <cellStyle name="40% - Accent6 4 2 15 2" xfId="23127"/>
    <cellStyle name="40% - Accent6 4 2 15 2 2" xfId="51988"/>
    <cellStyle name="40% - Accent6 4 2 15 3" xfId="34889"/>
    <cellStyle name="40% - Accent6 4 2 16" xfId="6389"/>
    <cellStyle name="40% - Accent6 4 2 16 2" xfId="23436"/>
    <cellStyle name="40% - Accent6 4 2 16 2 2" xfId="52297"/>
    <cellStyle name="40% - Accent6 4 2 16 3" xfId="35250"/>
    <cellStyle name="40% - Accent6 4 2 17" xfId="14675"/>
    <cellStyle name="40% - Accent6 4 2 17 2" xfId="43536"/>
    <cellStyle name="40% - Accent6 4 2 18" xfId="29209"/>
    <cellStyle name="40% - Accent6 4 2 2" xfId="553"/>
    <cellStyle name="40% - Accent6 4 2 2 2" xfId="2304"/>
    <cellStyle name="40% - Accent6 4 2 2 2 2" xfId="5191"/>
    <cellStyle name="40% - Accent6 4 2 2 2 2 2" xfId="11232"/>
    <cellStyle name="40% - Accent6 4 2 2 2 2 2 2" xfId="28279"/>
    <cellStyle name="40% - Accent6 4 2 2 2 2 2 2 2" xfId="57140"/>
    <cellStyle name="40% - Accent6 4 2 2 2 2 2 3" xfId="40093"/>
    <cellStyle name="40% - Accent6 4 2 2 2 2 3" xfId="22301"/>
    <cellStyle name="40% - Accent6 4 2 2 2 2 3 2" xfId="51162"/>
    <cellStyle name="40% - Accent6 4 2 2 2 2 4" xfId="34052"/>
    <cellStyle name="40% - Accent6 4 2 2 2 3" xfId="8346"/>
    <cellStyle name="40% - Accent6 4 2 2 2 3 2" xfId="25393"/>
    <cellStyle name="40% - Accent6 4 2 2 2 3 2 2" xfId="54254"/>
    <cellStyle name="40% - Accent6 4 2 2 2 3 3" xfId="37207"/>
    <cellStyle name="40% - Accent6 4 2 2 2 4" xfId="13900"/>
    <cellStyle name="40% - Accent6 4 2 2 2 4 2" xfId="19621"/>
    <cellStyle name="40% - Accent6 4 2 2 2 4 2 2" xfId="48482"/>
    <cellStyle name="40% - Accent6 4 2 2 2 4 3" xfId="42761"/>
    <cellStyle name="40% - Accent6 4 2 2 2 5" xfId="16941"/>
    <cellStyle name="40% - Accent6 4 2 2 2 5 2" xfId="45802"/>
    <cellStyle name="40% - Accent6 4 2 2 2 6" xfId="31166"/>
    <cellStyle name="40% - Accent6 4 2 2 3" xfId="3440"/>
    <cellStyle name="40% - Accent6 4 2 2 3 2" xfId="9481"/>
    <cellStyle name="40% - Accent6 4 2 2 3 2 2" xfId="26528"/>
    <cellStyle name="40% - Accent6 4 2 2 3 2 2 2" xfId="55389"/>
    <cellStyle name="40% - Accent6 4 2 2 3 2 3" xfId="38342"/>
    <cellStyle name="40% - Accent6 4 2 2 3 3" xfId="20550"/>
    <cellStyle name="40% - Accent6 4 2 2 3 3 2" xfId="49411"/>
    <cellStyle name="40% - Accent6 4 2 2 3 4" xfId="32301"/>
    <cellStyle name="40% - Accent6 4 2 2 4" xfId="6595"/>
    <cellStyle name="40% - Accent6 4 2 2 4 2" xfId="23642"/>
    <cellStyle name="40% - Accent6 4 2 2 4 2 2" xfId="52503"/>
    <cellStyle name="40% - Accent6 4 2 2 4 3" xfId="35456"/>
    <cellStyle name="40% - Accent6 4 2 2 5" xfId="12835"/>
    <cellStyle name="40% - Accent6 4 2 2 5 2" xfId="17870"/>
    <cellStyle name="40% - Accent6 4 2 2 5 2 2" xfId="46731"/>
    <cellStyle name="40% - Accent6 4 2 2 5 3" xfId="41696"/>
    <cellStyle name="40% - Accent6 4 2 2 6" xfId="15190"/>
    <cellStyle name="40% - Accent6 4 2 2 6 2" xfId="44051"/>
    <cellStyle name="40% - Accent6 4 2 2 7" xfId="29415"/>
    <cellStyle name="40% - Accent6 4 2 3" xfId="862"/>
    <cellStyle name="40% - Accent6 4 2 3 2" xfId="3749"/>
    <cellStyle name="40% - Accent6 4 2 3 2 2" xfId="9790"/>
    <cellStyle name="40% - Accent6 4 2 3 2 2 2" xfId="26837"/>
    <cellStyle name="40% - Accent6 4 2 3 2 2 2 2" xfId="55698"/>
    <cellStyle name="40% - Accent6 4 2 3 2 2 3" xfId="38651"/>
    <cellStyle name="40% - Accent6 4 2 3 2 3" xfId="20859"/>
    <cellStyle name="40% - Accent6 4 2 3 2 3 2" xfId="49720"/>
    <cellStyle name="40% - Accent6 4 2 3 2 4" xfId="32610"/>
    <cellStyle name="40% - Accent6 4 2 3 3" xfId="6904"/>
    <cellStyle name="40% - Accent6 4 2 3 3 2" xfId="23951"/>
    <cellStyle name="40% - Accent6 4 2 3 3 2 2" xfId="52812"/>
    <cellStyle name="40% - Accent6 4 2 3 3 3" xfId="35765"/>
    <cellStyle name="40% - Accent6 4 2 3 4" xfId="13812"/>
    <cellStyle name="40% - Accent6 4 2 3 4 2" xfId="18179"/>
    <cellStyle name="40% - Accent6 4 2 3 4 2 2" xfId="47040"/>
    <cellStyle name="40% - Accent6 4 2 3 4 3" xfId="42673"/>
    <cellStyle name="40% - Accent6 4 2 3 5" xfId="15499"/>
    <cellStyle name="40% - Accent6 4 2 3 5 2" xfId="44360"/>
    <cellStyle name="40% - Accent6 4 2 3 6" xfId="29724"/>
    <cellStyle name="40% - Accent6 4 2 4" xfId="1068"/>
    <cellStyle name="40% - Accent6 4 2 4 2" xfId="3955"/>
    <cellStyle name="40% - Accent6 4 2 4 2 2" xfId="9996"/>
    <cellStyle name="40% - Accent6 4 2 4 2 2 2" xfId="27043"/>
    <cellStyle name="40% - Accent6 4 2 4 2 2 2 2" xfId="55904"/>
    <cellStyle name="40% - Accent6 4 2 4 2 2 3" xfId="38857"/>
    <cellStyle name="40% - Accent6 4 2 4 2 3" xfId="21065"/>
    <cellStyle name="40% - Accent6 4 2 4 2 3 2" xfId="49926"/>
    <cellStyle name="40% - Accent6 4 2 4 2 4" xfId="32816"/>
    <cellStyle name="40% - Accent6 4 2 4 3" xfId="7110"/>
    <cellStyle name="40% - Accent6 4 2 4 3 2" xfId="24157"/>
    <cellStyle name="40% - Accent6 4 2 4 3 2 2" xfId="53018"/>
    <cellStyle name="40% - Accent6 4 2 4 3 3" xfId="35971"/>
    <cellStyle name="40% - Accent6 4 2 4 4" xfId="12509"/>
    <cellStyle name="40% - Accent6 4 2 4 4 2" xfId="18385"/>
    <cellStyle name="40% - Accent6 4 2 4 4 2 2" xfId="47246"/>
    <cellStyle name="40% - Accent6 4 2 4 4 3" xfId="41370"/>
    <cellStyle name="40% - Accent6 4 2 4 5" xfId="15705"/>
    <cellStyle name="40% - Accent6 4 2 4 5 2" xfId="44566"/>
    <cellStyle name="40% - Accent6 4 2 4 6" xfId="29930"/>
    <cellStyle name="40% - Accent6 4 2 5" xfId="1274"/>
    <cellStyle name="40% - Accent6 4 2 5 2" xfId="4161"/>
    <cellStyle name="40% - Accent6 4 2 5 2 2" xfId="10202"/>
    <cellStyle name="40% - Accent6 4 2 5 2 2 2" xfId="27249"/>
    <cellStyle name="40% - Accent6 4 2 5 2 2 2 2" xfId="56110"/>
    <cellStyle name="40% - Accent6 4 2 5 2 2 3" xfId="39063"/>
    <cellStyle name="40% - Accent6 4 2 5 2 3" xfId="21271"/>
    <cellStyle name="40% - Accent6 4 2 5 2 3 2" xfId="50132"/>
    <cellStyle name="40% - Accent6 4 2 5 2 4" xfId="33022"/>
    <cellStyle name="40% - Accent6 4 2 5 3" xfId="7316"/>
    <cellStyle name="40% - Accent6 4 2 5 3 2" xfId="24363"/>
    <cellStyle name="40% - Accent6 4 2 5 3 2 2" xfId="53224"/>
    <cellStyle name="40% - Accent6 4 2 5 3 3" xfId="36177"/>
    <cellStyle name="40% - Accent6 4 2 5 4" xfId="13061"/>
    <cellStyle name="40% - Accent6 4 2 5 4 2" xfId="18591"/>
    <cellStyle name="40% - Accent6 4 2 5 4 2 2" xfId="47452"/>
    <cellStyle name="40% - Accent6 4 2 5 4 3" xfId="41922"/>
    <cellStyle name="40% - Accent6 4 2 5 5" xfId="15911"/>
    <cellStyle name="40% - Accent6 4 2 5 5 2" xfId="44772"/>
    <cellStyle name="40% - Accent6 4 2 5 6" xfId="30136"/>
    <cellStyle name="40% - Accent6 4 2 6" xfId="1480"/>
    <cellStyle name="40% - Accent6 4 2 6 2" xfId="4367"/>
    <cellStyle name="40% - Accent6 4 2 6 2 2" xfId="10408"/>
    <cellStyle name="40% - Accent6 4 2 6 2 2 2" xfId="27455"/>
    <cellStyle name="40% - Accent6 4 2 6 2 2 2 2" xfId="56316"/>
    <cellStyle name="40% - Accent6 4 2 6 2 2 3" xfId="39269"/>
    <cellStyle name="40% - Accent6 4 2 6 2 3" xfId="21477"/>
    <cellStyle name="40% - Accent6 4 2 6 2 3 2" xfId="50338"/>
    <cellStyle name="40% - Accent6 4 2 6 2 4" xfId="33228"/>
    <cellStyle name="40% - Accent6 4 2 6 3" xfId="7522"/>
    <cellStyle name="40% - Accent6 4 2 6 3 2" xfId="24569"/>
    <cellStyle name="40% - Accent6 4 2 6 3 2 2" xfId="53430"/>
    <cellStyle name="40% - Accent6 4 2 6 3 3" xfId="36383"/>
    <cellStyle name="40% - Accent6 4 2 6 4" xfId="12609"/>
    <cellStyle name="40% - Accent6 4 2 6 4 2" xfId="18797"/>
    <cellStyle name="40% - Accent6 4 2 6 4 2 2" xfId="47658"/>
    <cellStyle name="40% - Accent6 4 2 6 4 3" xfId="41470"/>
    <cellStyle name="40% - Accent6 4 2 6 5" xfId="16117"/>
    <cellStyle name="40% - Accent6 4 2 6 5 2" xfId="44978"/>
    <cellStyle name="40% - Accent6 4 2 6 6" xfId="30342"/>
    <cellStyle name="40% - Accent6 4 2 7" xfId="1686"/>
    <cellStyle name="40% - Accent6 4 2 7 2" xfId="4573"/>
    <cellStyle name="40% - Accent6 4 2 7 2 2" xfId="10614"/>
    <cellStyle name="40% - Accent6 4 2 7 2 2 2" xfId="27661"/>
    <cellStyle name="40% - Accent6 4 2 7 2 2 2 2" xfId="56522"/>
    <cellStyle name="40% - Accent6 4 2 7 2 2 3" xfId="39475"/>
    <cellStyle name="40% - Accent6 4 2 7 2 3" xfId="21683"/>
    <cellStyle name="40% - Accent6 4 2 7 2 3 2" xfId="50544"/>
    <cellStyle name="40% - Accent6 4 2 7 2 4" xfId="33434"/>
    <cellStyle name="40% - Accent6 4 2 7 3" xfId="7728"/>
    <cellStyle name="40% - Accent6 4 2 7 3 2" xfId="24775"/>
    <cellStyle name="40% - Accent6 4 2 7 3 2 2" xfId="53636"/>
    <cellStyle name="40% - Accent6 4 2 7 3 3" xfId="36589"/>
    <cellStyle name="40% - Accent6 4 2 7 4" xfId="14075"/>
    <cellStyle name="40% - Accent6 4 2 7 4 2" xfId="19003"/>
    <cellStyle name="40% - Accent6 4 2 7 4 2 2" xfId="47864"/>
    <cellStyle name="40% - Accent6 4 2 7 4 3" xfId="42936"/>
    <cellStyle name="40% - Accent6 4 2 7 5" xfId="16323"/>
    <cellStyle name="40% - Accent6 4 2 7 5 2" xfId="45184"/>
    <cellStyle name="40% - Accent6 4 2 7 6" xfId="30548"/>
    <cellStyle name="40% - Accent6 4 2 8" xfId="1892"/>
    <cellStyle name="40% - Accent6 4 2 8 2" xfId="4779"/>
    <cellStyle name="40% - Accent6 4 2 8 2 2" xfId="10820"/>
    <cellStyle name="40% - Accent6 4 2 8 2 2 2" xfId="27867"/>
    <cellStyle name="40% - Accent6 4 2 8 2 2 2 2" xfId="56728"/>
    <cellStyle name="40% - Accent6 4 2 8 2 2 3" xfId="39681"/>
    <cellStyle name="40% - Accent6 4 2 8 2 3" xfId="21889"/>
    <cellStyle name="40% - Accent6 4 2 8 2 3 2" xfId="50750"/>
    <cellStyle name="40% - Accent6 4 2 8 2 4" xfId="33640"/>
    <cellStyle name="40% - Accent6 4 2 8 3" xfId="7934"/>
    <cellStyle name="40% - Accent6 4 2 8 3 2" xfId="24981"/>
    <cellStyle name="40% - Accent6 4 2 8 3 2 2" xfId="53842"/>
    <cellStyle name="40% - Accent6 4 2 8 3 3" xfId="36795"/>
    <cellStyle name="40% - Accent6 4 2 8 4" xfId="14170"/>
    <cellStyle name="40% - Accent6 4 2 8 4 2" xfId="19209"/>
    <cellStyle name="40% - Accent6 4 2 8 4 2 2" xfId="48070"/>
    <cellStyle name="40% - Accent6 4 2 8 4 3" xfId="43031"/>
    <cellStyle name="40% - Accent6 4 2 8 5" xfId="16529"/>
    <cellStyle name="40% - Accent6 4 2 8 5 2" xfId="45390"/>
    <cellStyle name="40% - Accent6 4 2 8 6" xfId="30754"/>
    <cellStyle name="40% - Accent6 4 2 9" xfId="2098"/>
    <cellStyle name="40% - Accent6 4 2 9 2" xfId="4985"/>
    <cellStyle name="40% - Accent6 4 2 9 2 2" xfId="11026"/>
    <cellStyle name="40% - Accent6 4 2 9 2 2 2" xfId="28073"/>
    <cellStyle name="40% - Accent6 4 2 9 2 2 2 2" xfId="56934"/>
    <cellStyle name="40% - Accent6 4 2 9 2 2 3" xfId="39887"/>
    <cellStyle name="40% - Accent6 4 2 9 2 3" xfId="22095"/>
    <cellStyle name="40% - Accent6 4 2 9 2 3 2" xfId="50956"/>
    <cellStyle name="40% - Accent6 4 2 9 2 4" xfId="33846"/>
    <cellStyle name="40% - Accent6 4 2 9 3" xfId="8140"/>
    <cellStyle name="40% - Accent6 4 2 9 3 2" xfId="25187"/>
    <cellStyle name="40% - Accent6 4 2 9 3 2 2" xfId="54048"/>
    <cellStyle name="40% - Accent6 4 2 9 3 3" xfId="37001"/>
    <cellStyle name="40% - Accent6 4 2 9 4" xfId="11898"/>
    <cellStyle name="40% - Accent6 4 2 9 4 2" xfId="19415"/>
    <cellStyle name="40% - Accent6 4 2 9 4 2 2" xfId="48276"/>
    <cellStyle name="40% - Accent6 4 2 9 4 3" xfId="40759"/>
    <cellStyle name="40% - Accent6 4 2 9 5" xfId="16735"/>
    <cellStyle name="40% - Accent6 4 2 9 5 2" xfId="45596"/>
    <cellStyle name="40% - Accent6 4 2 9 6" xfId="30960"/>
    <cellStyle name="40% - Accent6 4 20" xfId="29003"/>
    <cellStyle name="40% - Accent6 4 3" xfId="244"/>
    <cellStyle name="40% - Accent6 4 3 2" xfId="656"/>
    <cellStyle name="40% - Accent6 4 3 2 2" xfId="3543"/>
    <cellStyle name="40% - Accent6 4 3 2 2 2" xfId="9584"/>
    <cellStyle name="40% - Accent6 4 3 2 2 2 2" xfId="26631"/>
    <cellStyle name="40% - Accent6 4 3 2 2 2 2 2" xfId="55492"/>
    <cellStyle name="40% - Accent6 4 3 2 2 2 3" xfId="38445"/>
    <cellStyle name="40% - Accent6 4 3 2 2 3" xfId="20653"/>
    <cellStyle name="40% - Accent6 4 3 2 2 3 2" xfId="49514"/>
    <cellStyle name="40% - Accent6 4 3 2 2 4" xfId="32404"/>
    <cellStyle name="40% - Accent6 4 3 2 3" xfId="6698"/>
    <cellStyle name="40% - Accent6 4 3 2 3 2" xfId="23745"/>
    <cellStyle name="40% - Accent6 4 3 2 3 2 2" xfId="52606"/>
    <cellStyle name="40% - Accent6 4 3 2 3 3" xfId="35559"/>
    <cellStyle name="40% - Accent6 4 3 2 4" xfId="14470"/>
    <cellStyle name="40% - Accent6 4 3 2 4 2" xfId="17973"/>
    <cellStyle name="40% - Accent6 4 3 2 4 2 2" xfId="46834"/>
    <cellStyle name="40% - Accent6 4 3 2 4 3" xfId="43331"/>
    <cellStyle name="40% - Accent6 4 3 2 5" xfId="15293"/>
    <cellStyle name="40% - Accent6 4 3 2 5 2" xfId="44154"/>
    <cellStyle name="40% - Accent6 4 3 2 6" xfId="29518"/>
    <cellStyle name="40% - Accent6 4 3 3" xfId="2201"/>
    <cellStyle name="40% - Accent6 4 3 3 2" xfId="5088"/>
    <cellStyle name="40% - Accent6 4 3 3 2 2" xfId="11129"/>
    <cellStyle name="40% - Accent6 4 3 3 2 2 2" xfId="28176"/>
    <cellStyle name="40% - Accent6 4 3 3 2 2 2 2" xfId="57037"/>
    <cellStyle name="40% - Accent6 4 3 3 2 2 3" xfId="39990"/>
    <cellStyle name="40% - Accent6 4 3 3 2 3" xfId="22198"/>
    <cellStyle name="40% - Accent6 4 3 3 2 3 2" xfId="51059"/>
    <cellStyle name="40% - Accent6 4 3 3 2 4" xfId="33949"/>
    <cellStyle name="40% - Accent6 4 3 3 3" xfId="8243"/>
    <cellStyle name="40% - Accent6 4 3 3 3 2" xfId="25290"/>
    <cellStyle name="40% - Accent6 4 3 3 3 2 2" xfId="54151"/>
    <cellStyle name="40% - Accent6 4 3 3 3 3" xfId="37104"/>
    <cellStyle name="40% - Accent6 4 3 3 4" xfId="11996"/>
    <cellStyle name="40% - Accent6 4 3 3 4 2" xfId="19518"/>
    <cellStyle name="40% - Accent6 4 3 3 4 2 2" xfId="48379"/>
    <cellStyle name="40% - Accent6 4 3 3 4 3" xfId="40857"/>
    <cellStyle name="40% - Accent6 4 3 3 5" xfId="16838"/>
    <cellStyle name="40% - Accent6 4 3 3 5 2" xfId="45699"/>
    <cellStyle name="40% - Accent6 4 3 3 6" xfId="31063"/>
    <cellStyle name="40% - Accent6 4 3 4" xfId="3131"/>
    <cellStyle name="40% - Accent6 4 3 4 2" xfId="9172"/>
    <cellStyle name="40% - Accent6 4 3 4 2 2" xfId="26219"/>
    <cellStyle name="40% - Accent6 4 3 4 2 2 2" xfId="55080"/>
    <cellStyle name="40% - Accent6 4 3 4 2 3" xfId="38033"/>
    <cellStyle name="40% - Accent6 4 3 4 3" xfId="20241"/>
    <cellStyle name="40% - Accent6 4 3 4 3 2" xfId="49102"/>
    <cellStyle name="40% - Accent6 4 3 4 4" xfId="31992"/>
    <cellStyle name="40% - Accent6 4 3 5" xfId="6286"/>
    <cellStyle name="40% - Accent6 4 3 5 2" xfId="23333"/>
    <cellStyle name="40% - Accent6 4 3 5 2 2" xfId="52194"/>
    <cellStyle name="40% - Accent6 4 3 5 3" xfId="35147"/>
    <cellStyle name="40% - Accent6 4 3 6" xfId="12904"/>
    <cellStyle name="40% - Accent6 4 3 6 2" xfId="17664"/>
    <cellStyle name="40% - Accent6 4 3 6 2 2" xfId="46525"/>
    <cellStyle name="40% - Accent6 4 3 6 3" xfId="41765"/>
    <cellStyle name="40% - Accent6 4 3 7" xfId="14881"/>
    <cellStyle name="40% - Accent6 4 3 7 2" xfId="43742"/>
    <cellStyle name="40% - Accent6 4 3 8" xfId="29106"/>
    <cellStyle name="40% - Accent6 4 4" xfId="450"/>
    <cellStyle name="40% - Accent6 4 4 2" xfId="3337"/>
    <cellStyle name="40% - Accent6 4 4 2 2" xfId="9378"/>
    <cellStyle name="40% - Accent6 4 4 2 2 2" xfId="26425"/>
    <cellStyle name="40% - Accent6 4 4 2 2 2 2" xfId="55286"/>
    <cellStyle name="40% - Accent6 4 4 2 2 3" xfId="38239"/>
    <cellStyle name="40% - Accent6 4 4 2 3" xfId="20447"/>
    <cellStyle name="40% - Accent6 4 4 2 3 2" xfId="49308"/>
    <cellStyle name="40% - Accent6 4 4 2 4" xfId="32198"/>
    <cellStyle name="40% - Accent6 4 4 3" xfId="6492"/>
    <cellStyle name="40% - Accent6 4 4 3 2" xfId="23539"/>
    <cellStyle name="40% - Accent6 4 4 3 2 2" xfId="52400"/>
    <cellStyle name="40% - Accent6 4 4 3 3" xfId="35353"/>
    <cellStyle name="40% - Accent6 4 4 4" xfId="12674"/>
    <cellStyle name="40% - Accent6 4 4 4 2" xfId="17767"/>
    <cellStyle name="40% - Accent6 4 4 4 2 2" xfId="46628"/>
    <cellStyle name="40% - Accent6 4 4 4 3" xfId="41535"/>
    <cellStyle name="40% - Accent6 4 4 5" xfId="15087"/>
    <cellStyle name="40% - Accent6 4 4 5 2" xfId="43948"/>
    <cellStyle name="40% - Accent6 4 4 6" xfId="29312"/>
    <cellStyle name="40% - Accent6 4 5" xfId="759"/>
    <cellStyle name="40% - Accent6 4 5 2" xfId="3646"/>
    <cellStyle name="40% - Accent6 4 5 2 2" xfId="9687"/>
    <cellStyle name="40% - Accent6 4 5 2 2 2" xfId="26734"/>
    <cellStyle name="40% - Accent6 4 5 2 2 2 2" xfId="55595"/>
    <cellStyle name="40% - Accent6 4 5 2 2 3" xfId="38548"/>
    <cellStyle name="40% - Accent6 4 5 2 3" xfId="20756"/>
    <cellStyle name="40% - Accent6 4 5 2 3 2" xfId="49617"/>
    <cellStyle name="40% - Accent6 4 5 2 4" xfId="32507"/>
    <cellStyle name="40% - Accent6 4 5 3" xfId="6801"/>
    <cellStyle name="40% - Accent6 4 5 3 2" xfId="23848"/>
    <cellStyle name="40% - Accent6 4 5 3 2 2" xfId="52709"/>
    <cellStyle name="40% - Accent6 4 5 3 3" xfId="35662"/>
    <cellStyle name="40% - Accent6 4 5 4" xfId="14207"/>
    <cellStyle name="40% - Accent6 4 5 4 2" xfId="18076"/>
    <cellStyle name="40% - Accent6 4 5 4 2 2" xfId="46937"/>
    <cellStyle name="40% - Accent6 4 5 4 3" xfId="43068"/>
    <cellStyle name="40% - Accent6 4 5 5" xfId="15396"/>
    <cellStyle name="40% - Accent6 4 5 5 2" xfId="44257"/>
    <cellStyle name="40% - Accent6 4 5 6" xfId="29621"/>
    <cellStyle name="40% - Accent6 4 6" xfId="965"/>
    <cellStyle name="40% - Accent6 4 6 2" xfId="3852"/>
    <cellStyle name="40% - Accent6 4 6 2 2" xfId="9893"/>
    <cellStyle name="40% - Accent6 4 6 2 2 2" xfId="26940"/>
    <cellStyle name="40% - Accent6 4 6 2 2 2 2" xfId="55801"/>
    <cellStyle name="40% - Accent6 4 6 2 2 3" xfId="38754"/>
    <cellStyle name="40% - Accent6 4 6 2 3" xfId="20962"/>
    <cellStyle name="40% - Accent6 4 6 2 3 2" xfId="49823"/>
    <cellStyle name="40% - Accent6 4 6 2 4" xfId="32713"/>
    <cellStyle name="40% - Accent6 4 6 3" xfId="7007"/>
    <cellStyle name="40% - Accent6 4 6 3 2" xfId="24054"/>
    <cellStyle name="40% - Accent6 4 6 3 2 2" xfId="52915"/>
    <cellStyle name="40% - Accent6 4 6 3 3" xfId="35868"/>
    <cellStyle name="40% - Accent6 4 6 4" xfId="14353"/>
    <cellStyle name="40% - Accent6 4 6 4 2" xfId="18282"/>
    <cellStyle name="40% - Accent6 4 6 4 2 2" xfId="47143"/>
    <cellStyle name="40% - Accent6 4 6 4 3" xfId="43214"/>
    <cellStyle name="40% - Accent6 4 6 5" xfId="15602"/>
    <cellStyle name="40% - Accent6 4 6 5 2" xfId="44463"/>
    <cellStyle name="40% - Accent6 4 6 6" xfId="29827"/>
    <cellStyle name="40% - Accent6 4 7" xfId="1171"/>
    <cellStyle name="40% - Accent6 4 7 2" xfId="4058"/>
    <cellStyle name="40% - Accent6 4 7 2 2" xfId="10099"/>
    <cellStyle name="40% - Accent6 4 7 2 2 2" xfId="27146"/>
    <cellStyle name="40% - Accent6 4 7 2 2 2 2" xfId="56007"/>
    <cellStyle name="40% - Accent6 4 7 2 2 3" xfId="38960"/>
    <cellStyle name="40% - Accent6 4 7 2 3" xfId="21168"/>
    <cellStyle name="40% - Accent6 4 7 2 3 2" xfId="50029"/>
    <cellStyle name="40% - Accent6 4 7 2 4" xfId="32919"/>
    <cellStyle name="40% - Accent6 4 7 3" xfId="7213"/>
    <cellStyle name="40% - Accent6 4 7 3 2" xfId="24260"/>
    <cellStyle name="40% - Accent6 4 7 3 2 2" xfId="53121"/>
    <cellStyle name="40% - Accent6 4 7 3 3" xfId="36074"/>
    <cellStyle name="40% - Accent6 4 7 4" xfId="13403"/>
    <cellStyle name="40% - Accent6 4 7 4 2" xfId="18488"/>
    <cellStyle name="40% - Accent6 4 7 4 2 2" xfId="47349"/>
    <cellStyle name="40% - Accent6 4 7 4 3" xfId="42264"/>
    <cellStyle name="40% - Accent6 4 7 5" xfId="15808"/>
    <cellStyle name="40% - Accent6 4 7 5 2" xfId="44669"/>
    <cellStyle name="40% - Accent6 4 7 6" xfId="30033"/>
    <cellStyle name="40% - Accent6 4 8" xfId="1377"/>
    <cellStyle name="40% - Accent6 4 8 2" xfId="4264"/>
    <cellStyle name="40% - Accent6 4 8 2 2" xfId="10305"/>
    <cellStyle name="40% - Accent6 4 8 2 2 2" xfId="27352"/>
    <cellStyle name="40% - Accent6 4 8 2 2 2 2" xfId="56213"/>
    <cellStyle name="40% - Accent6 4 8 2 2 3" xfId="39166"/>
    <cellStyle name="40% - Accent6 4 8 2 3" xfId="21374"/>
    <cellStyle name="40% - Accent6 4 8 2 3 2" xfId="50235"/>
    <cellStyle name="40% - Accent6 4 8 2 4" xfId="33125"/>
    <cellStyle name="40% - Accent6 4 8 3" xfId="7419"/>
    <cellStyle name="40% - Accent6 4 8 3 2" xfId="24466"/>
    <cellStyle name="40% - Accent6 4 8 3 2 2" xfId="53327"/>
    <cellStyle name="40% - Accent6 4 8 3 3" xfId="36280"/>
    <cellStyle name="40% - Accent6 4 8 4" xfId="12557"/>
    <cellStyle name="40% - Accent6 4 8 4 2" xfId="18694"/>
    <cellStyle name="40% - Accent6 4 8 4 2 2" xfId="47555"/>
    <cellStyle name="40% - Accent6 4 8 4 3" xfId="41418"/>
    <cellStyle name="40% - Accent6 4 8 5" xfId="16014"/>
    <cellStyle name="40% - Accent6 4 8 5 2" xfId="44875"/>
    <cellStyle name="40% - Accent6 4 8 6" xfId="30239"/>
    <cellStyle name="40% - Accent6 4 9" xfId="1583"/>
    <cellStyle name="40% - Accent6 4 9 2" xfId="4470"/>
    <cellStyle name="40% - Accent6 4 9 2 2" xfId="10511"/>
    <cellStyle name="40% - Accent6 4 9 2 2 2" xfId="27558"/>
    <cellStyle name="40% - Accent6 4 9 2 2 2 2" xfId="56419"/>
    <cellStyle name="40% - Accent6 4 9 2 2 3" xfId="39372"/>
    <cellStyle name="40% - Accent6 4 9 2 3" xfId="21580"/>
    <cellStyle name="40% - Accent6 4 9 2 3 2" xfId="50441"/>
    <cellStyle name="40% - Accent6 4 9 2 4" xfId="33331"/>
    <cellStyle name="40% - Accent6 4 9 3" xfId="7625"/>
    <cellStyle name="40% - Accent6 4 9 3 2" xfId="24672"/>
    <cellStyle name="40% - Accent6 4 9 3 2 2" xfId="53533"/>
    <cellStyle name="40% - Accent6 4 9 3 3" xfId="36486"/>
    <cellStyle name="40% - Accent6 4 9 4" xfId="6060"/>
    <cellStyle name="40% - Accent6 4 9 4 2" xfId="18900"/>
    <cellStyle name="40% - Accent6 4 9 4 2 2" xfId="47761"/>
    <cellStyle name="40% - Accent6 4 9 4 3" xfId="34921"/>
    <cellStyle name="40% - Accent6 4 9 5" xfId="16220"/>
    <cellStyle name="40% - Accent6 4 9 5 2" xfId="45081"/>
    <cellStyle name="40% - Accent6 4 9 6" xfId="30445"/>
    <cellStyle name="40% - Accent6 5" xfId="294"/>
    <cellStyle name="40% - Accent6 5 10" xfId="2457"/>
    <cellStyle name="40% - Accent6 5 10 2" xfId="5344"/>
    <cellStyle name="40% - Accent6 5 10 2 2" xfId="11385"/>
    <cellStyle name="40% - Accent6 5 10 2 2 2" xfId="28432"/>
    <cellStyle name="40% - Accent6 5 10 2 2 2 2" xfId="57293"/>
    <cellStyle name="40% - Accent6 5 10 2 2 3" xfId="40246"/>
    <cellStyle name="40% - Accent6 5 10 2 3" xfId="22454"/>
    <cellStyle name="40% - Accent6 5 10 2 3 2" xfId="51315"/>
    <cellStyle name="40% - Accent6 5 10 2 4" xfId="34205"/>
    <cellStyle name="40% - Accent6 5 10 3" xfId="8499"/>
    <cellStyle name="40% - Accent6 5 10 3 2" xfId="25546"/>
    <cellStyle name="40% - Accent6 5 10 3 2 2" xfId="54407"/>
    <cellStyle name="40% - Accent6 5 10 3 3" xfId="37360"/>
    <cellStyle name="40% - Accent6 5 10 4" xfId="14400"/>
    <cellStyle name="40% - Accent6 5 10 4 2" xfId="19774"/>
    <cellStyle name="40% - Accent6 5 10 4 2 2" xfId="48635"/>
    <cellStyle name="40% - Accent6 5 10 4 3" xfId="43261"/>
    <cellStyle name="40% - Accent6 5 10 5" xfId="17094"/>
    <cellStyle name="40% - Accent6 5 10 5 2" xfId="45955"/>
    <cellStyle name="40% - Accent6 5 10 6" xfId="31319"/>
    <cellStyle name="40% - Accent6 5 11" xfId="2666"/>
    <cellStyle name="40% - Accent6 5 11 2" xfId="5552"/>
    <cellStyle name="40% - Accent6 5 11 2 2" xfId="11593"/>
    <cellStyle name="40% - Accent6 5 11 2 2 2" xfId="28640"/>
    <cellStyle name="40% - Accent6 5 11 2 2 2 2" xfId="57501"/>
    <cellStyle name="40% - Accent6 5 11 2 2 3" xfId="40454"/>
    <cellStyle name="40% - Accent6 5 11 2 3" xfId="22662"/>
    <cellStyle name="40% - Accent6 5 11 2 3 2" xfId="51523"/>
    <cellStyle name="40% - Accent6 5 11 2 4" xfId="34413"/>
    <cellStyle name="40% - Accent6 5 11 3" xfId="8707"/>
    <cellStyle name="40% - Accent6 5 11 3 2" xfId="25754"/>
    <cellStyle name="40% - Accent6 5 11 3 2 2" xfId="54615"/>
    <cellStyle name="40% - Accent6 5 11 3 3" xfId="37568"/>
    <cellStyle name="40% - Accent6 5 11 4" xfId="12953"/>
    <cellStyle name="40% - Accent6 5 11 4 2" xfId="19982"/>
    <cellStyle name="40% - Accent6 5 11 4 2 2" xfId="48843"/>
    <cellStyle name="40% - Accent6 5 11 4 3" xfId="41814"/>
    <cellStyle name="40% - Accent6 5 11 5" xfId="17302"/>
    <cellStyle name="40% - Accent6 5 11 5 2" xfId="46163"/>
    <cellStyle name="40% - Accent6 5 11 6" xfId="31527"/>
    <cellStyle name="40% - Accent6 5 12" xfId="3181"/>
    <cellStyle name="40% - Accent6 5 12 2" xfId="9222"/>
    <cellStyle name="40% - Accent6 5 12 2 2" xfId="26269"/>
    <cellStyle name="40% - Accent6 5 12 2 2 2" xfId="55130"/>
    <cellStyle name="40% - Accent6 5 12 2 3" xfId="38083"/>
    <cellStyle name="40% - Accent6 5 12 3" xfId="12899"/>
    <cellStyle name="40% - Accent6 5 12 3 2" xfId="20291"/>
    <cellStyle name="40% - Accent6 5 12 3 2 2" xfId="49152"/>
    <cellStyle name="40% - Accent6 5 12 3 3" xfId="41760"/>
    <cellStyle name="40% - Accent6 5 12 4" xfId="14931"/>
    <cellStyle name="40% - Accent6 5 12 4 2" xfId="43792"/>
    <cellStyle name="40% - Accent6 5 12 5" xfId="32042"/>
    <cellStyle name="40% - Accent6 5 13" xfId="2872"/>
    <cellStyle name="40% - Accent6 5 13 2" xfId="8913"/>
    <cellStyle name="40% - Accent6 5 13 2 2" xfId="25960"/>
    <cellStyle name="40% - Accent6 5 13 2 2 2" xfId="54821"/>
    <cellStyle name="40% - Accent6 5 13 2 3" xfId="37774"/>
    <cellStyle name="40% - Accent6 5 13 3" xfId="17508"/>
    <cellStyle name="40% - Accent6 5 13 3 2" xfId="46369"/>
    <cellStyle name="40% - Accent6 5 13 4" xfId="31733"/>
    <cellStyle name="40% - Accent6 5 14" xfId="5758"/>
    <cellStyle name="40% - Accent6 5 14 2" xfId="11799"/>
    <cellStyle name="40% - Accent6 5 14 2 2" xfId="28846"/>
    <cellStyle name="40% - Accent6 5 14 2 2 2" xfId="57707"/>
    <cellStyle name="40% - Accent6 5 14 2 3" xfId="40660"/>
    <cellStyle name="40% - Accent6 5 14 3" xfId="22868"/>
    <cellStyle name="40% - Accent6 5 14 3 2" xfId="51729"/>
    <cellStyle name="40% - Accent6 5 14 4" xfId="34619"/>
    <cellStyle name="40% - Accent6 5 15" xfId="5975"/>
    <cellStyle name="40% - Accent6 5 15 2" xfId="23074"/>
    <cellStyle name="40% - Accent6 5 15 2 2" xfId="51935"/>
    <cellStyle name="40% - Accent6 5 15 3" xfId="34836"/>
    <cellStyle name="40% - Accent6 5 16" xfId="6336"/>
    <cellStyle name="40% - Accent6 5 16 2" xfId="23383"/>
    <cellStyle name="40% - Accent6 5 16 2 2" xfId="52244"/>
    <cellStyle name="40% - Accent6 5 16 3" xfId="35197"/>
    <cellStyle name="40% - Accent6 5 17" xfId="14622"/>
    <cellStyle name="40% - Accent6 5 17 2" xfId="43483"/>
    <cellStyle name="40% - Accent6 5 18" xfId="29156"/>
    <cellStyle name="40% - Accent6 5 2" xfId="500"/>
    <cellStyle name="40% - Accent6 5 2 2" xfId="2251"/>
    <cellStyle name="40% - Accent6 5 2 2 2" xfId="5138"/>
    <cellStyle name="40% - Accent6 5 2 2 2 2" xfId="11179"/>
    <cellStyle name="40% - Accent6 5 2 2 2 2 2" xfId="28226"/>
    <cellStyle name="40% - Accent6 5 2 2 2 2 2 2" xfId="57087"/>
    <cellStyle name="40% - Accent6 5 2 2 2 2 3" xfId="40040"/>
    <cellStyle name="40% - Accent6 5 2 2 2 3" xfId="22248"/>
    <cellStyle name="40% - Accent6 5 2 2 2 3 2" xfId="51109"/>
    <cellStyle name="40% - Accent6 5 2 2 2 4" xfId="33999"/>
    <cellStyle name="40% - Accent6 5 2 2 3" xfId="8293"/>
    <cellStyle name="40% - Accent6 5 2 2 3 2" xfId="25340"/>
    <cellStyle name="40% - Accent6 5 2 2 3 2 2" xfId="54201"/>
    <cellStyle name="40% - Accent6 5 2 2 3 3" xfId="37154"/>
    <cellStyle name="40% - Accent6 5 2 2 4" xfId="12986"/>
    <cellStyle name="40% - Accent6 5 2 2 4 2" xfId="19568"/>
    <cellStyle name="40% - Accent6 5 2 2 4 2 2" xfId="48429"/>
    <cellStyle name="40% - Accent6 5 2 2 4 3" xfId="41847"/>
    <cellStyle name="40% - Accent6 5 2 2 5" xfId="16888"/>
    <cellStyle name="40% - Accent6 5 2 2 5 2" xfId="45749"/>
    <cellStyle name="40% - Accent6 5 2 2 6" xfId="31113"/>
    <cellStyle name="40% - Accent6 5 2 3" xfId="3387"/>
    <cellStyle name="40% - Accent6 5 2 3 2" xfId="9428"/>
    <cellStyle name="40% - Accent6 5 2 3 2 2" xfId="26475"/>
    <cellStyle name="40% - Accent6 5 2 3 2 2 2" xfId="55336"/>
    <cellStyle name="40% - Accent6 5 2 3 2 3" xfId="38289"/>
    <cellStyle name="40% - Accent6 5 2 3 3" xfId="20497"/>
    <cellStyle name="40% - Accent6 5 2 3 3 2" xfId="49358"/>
    <cellStyle name="40% - Accent6 5 2 3 4" xfId="32248"/>
    <cellStyle name="40% - Accent6 5 2 4" xfId="6542"/>
    <cellStyle name="40% - Accent6 5 2 4 2" xfId="23589"/>
    <cellStyle name="40% - Accent6 5 2 4 2 2" xfId="52450"/>
    <cellStyle name="40% - Accent6 5 2 4 3" xfId="35403"/>
    <cellStyle name="40% - Accent6 5 2 5" xfId="12262"/>
    <cellStyle name="40% - Accent6 5 2 5 2" xfId="17817"/>
    <cellStyle name="40% - Accent6 5 2 5 2 2" xfId="46678"/>
    <cellStyle name="40% - Accent6 5 2 5 3" xfId="41123"/>
    <cellStyle name="40% - Accent6 5 2 6" xfId="15137"/>
    <cellStyle name="40% - Accent6 5 2 6 2" xfId="43998"/>
    <cellStyle name="40% - Accent6 5 2 7" xfId="29362"/>
    <cellStyle name="40% - Accent6 5 3" xfId="809"/>
    <cellStyle name="40% - Accent6 5 3 2" xfId="3696"/>
    <cellStyle name="40% - Accent6 5 3 2 2" xfId="9737"/>
    <cellStyle name="40% - Accent6 5 3 2 2 2" xfId="26784"/>
    <cellStyle name="40% - Accent6 5 3 2 2 2 2" xfId="55645"/>
    <cellStyle name="40% - Accent6 5 3 2 2 3" xfId="38598"/>
    <cellStyle name="40% - Accent6 5 3 2 3" xfId="20806"/>
    <cellStyle name="40% - Accent6 5 3 2 3 2" xfId="49667"/>
    <cellStyle name="40% - Accent6 5 3 2 4" xfId="32557"/>
    <cellStyle name="40% - Accent6 5 3 3" xfId="6851"/>
    <cellStyle name="40% - Accent6 5 3 3 2" xfId="23898"/>
    <cellStyle name="40% - Accent6 5 3 3 2 2" xfId="52759"/>
    <cellStyle name="40% - Accent6 5 3 3 3" xfId="35712"/>
    <cellStyle name="40% - Accent6 5 3 4" xfId="12054"/>
    <cellStyle name="40% - Accent6 5 3 4 2" xfId="18126"/>
    <cellStyle name="40% - Accent6 5 3 4 2 2" xfId="46987"/>
    <cellStyle name="40% - Accent6 5 3 4 3" xfId="40915"/>
    <cellStyle name="40% - Accent6 5 3 5" xfId="15446"/>
    <cellStyle name="40% - Accent6 5 3 5 2" xfId="44307"/>
    <cellStyle name="40% - Accent6 5 3 6" xfId="29671"/>
    <cellStyle name="40% - Accent6 5 4" xfId="1015"/>
    <cellStyle name="40% - Accent6 5 4 2" xfId="3902"/>
    <cellStyle name="40% - Accent6 5 4 2 2" xfId="9943"/>
    <cellStyle name="40% - Accent6 5 4 2 2 2" xfId="26990"/>
    <cellStyle name="40% - Accent6 5 4 2 2 2 2" xfId="55851"/>
    <cellStyle name="40% - Accent6 5 4 2 2 3" xfId="38804"/>
    <cellStyle name="40% - Accent6 5 4 2 3" xfId="21012"/>
    <cellStyle name="40% - Accent6 5 4 2 3 2" xfId="49873"/>
    <cellStyle name="40% - Accent6 5 4 2 4" xfId="32763"/>
    <cellStyle name="40% - Accent6 5 4 3" xfId="7057"/>
    <cellStyle name="40% - Accent6 5 4 3 2" xfId="24104"/>
    <cellStyle name="40% - Accent6 5 4 3 2 2" xfId="52965"/>
    <cellStyle name="40% - Accent6 5 4 3 3" xfId="35918"/>
    <cellStyle name="40% - Accent6 5 4 4" xfId="12913"/>
    <cellStyle name="40% - Accent6 5 4 4 2" xfId="18332"/>
    <cellStyle name="40% - Accent6 5 4 4 2 2" xfId="47193"/>
    <cellStyle name="40% - Accent6 5 4 4 3" xfId="41774"/>
    <cellStyle name="40% - Accent6 5 4 5" xfId="15652"/>
    <cellStyle name="40% - Accent6 5 4 5 2" xfId="44513"/>
    <cellStyle name="40% - Accent6 5 4 6" xfId="29877"/>
    <cellStyle name="40% - Accent6 5 5" xfId="1221"/>
    <cellStyle name="40% - Accent6 5 5 2" xfId="4108"/>
    <cellStyle name="40% - Accent6 5 5 2 2" xfId="10149"/>
    <cellStyle name="40% - Accent6 5 5 2 2 2" xfId="27196"/>
    <cellStyle name="40% - Accent6 5 5 2 2 2 2" xfId="56057"/>
    <cellStyle name="40% - Accent6 5 5 2 2 3" xfId="39010"/>
    <cellStyle name="40% - Accent6 5 5 2 3" xfId="21218"/>
    <cellStyle name="40% - Accent6 5 5 2 3 2" xfId="50079"/>
    <cellStyle name="40% - Accent6 5 5 2 4" xfId="32969"/>
    <cellStyle name="40% - Accent6 5 5 3" xfId="7263"/>
    <cellStyle name="40% - Accent6 5 5 3 2" xfId="24310"/>
    <cellStyle name="40% - Accent6 5 5 3 2 2" xfId="53171"/>
    <cellStyle name="40% - Accent6 5 5 3 3" xfId="36124"/>
    <cellStyle name="40% - Accent6 5 5 4" xfId="13699"/>
    <cellStyle name="40% - Accent6 5 5 4 2" xfId="18538"/>
    <cellStyle name="40% - Accent6 5 5 4 2 2" xfId="47399"/>
    <cellStyle name="40% - Accent6 5 5 4 3" xfId="42560"/>
    <cellStyle name="40% - Accent6 5 5 5" xfId="15858"/>
    <cellStyle name="40% - Accent6 5 5 5 2" xfId="44719"/>
    <cellStyle name="40% - Accent6 5 5 6" xfId="30083"/>
    <cellStyle name="40% - Accent6 5 6" xfId="1427"/>
    <cellStyle name="40% - Accent6 5 6 2" xfId="4314"/>
    <cellStyle name="40% - Accent6 5 6 2 2" xfId="10355"/>
    <cellStyle name="40% - Accent6 5 6 2 2 2" xfId="27402"/>
    <cellStyle name="40% - Accent6 5 6 2 2 2 2" xfId="56263"/>
    <cellStyle name="40% - Accent6 5 6 2 2 3" xfId="39216"/>
    <cellStyle name="40% - Accent6 5 6 2 3" xfId="21424"/>
    <cellStyle name="40% - Accent6 5 6 2 3 2" xfId="50285"/>
    <cellStyle name="40% - Accent6 5 6 2 4" xfId="33175"/>
    <cellStyle name="40% - Accent6 5 6 3" xfId="7469"/>
    <cellStyle name="40% - Accent6 5 6 3 2" xfId="24516"/>
    <cellStyle name="40% - Accent6 5 6 3 2 2" xfId="53377"/>
    <cellStyle name="40% - Accent6 5 6 3 3" xfId="36330"/>
    <cellStyle name="40% - Accent6 5 6 4" xfId="5833"/>
    <cellStyle name="40% - Accent6 5 6 4 2" xfId="18744"/>
    <cellStyle name="40% - Accent6 5 6 4 2 2" xfId="47605"/>
    <cellStyle name="40% - Accent6 5 6 4 3" xfId="34694"/>
    <cellStyle name="40% - Accent6 5 6 5" xfId="16064"/>
    <cellStyle name="40% - Accent6 5 6 5 2" xfId="44925"/>
    <cellStyle name="40% - Accent6 5 6 6" xfId="30289"/>
    <cellStyle name="40% - Accent6 5 7" xfId="1633"/>
    <cellStyle name="40% - Accent6 5 7 2" xfId="4520"/>
    <cellStyle name="40% - Accent6 5 7 2 2" xfId="10561"/>
    <cellStyle name="40% - Accent6 5 7 2 2 2" xfId="27608"/>
    <cellStyle name="40% - Accent6 5 7 2 2 2 2" xfId="56469"/>
    <cellStyle name="40% - Accent6 5 7 2 2 3" xfId="39422"/>
    <cellStyle name="40% - Accent6 5 7 2 3" xfId="21630"/>
    <cellStyle name="40% - Accent6 5 7 2 3 2" xfId="50491"/>
    <cellStyle name="40% - Accent6 5 7 2 4" xfId="33381"/>
    <cellStyle name="40% - Accent6 5 7 3" xfId="7675"/>
    <cellStyle name="40% - Accent6 5 7 3 2" xfId="24722"/>
    <cellStyle name="40% - Accent6 5 7 3 2 2" xfId="53583"/>
    <cellStyle name="40% - Accent6 5 7 3 3" xfId="36536"/>
    <cellStyle name="40% - Accent6 5 7 4" xfId="13672"/>
    <cellStyle name="40% - Accent6 5 7 4 2" xfId="18950"/>
    <cellStyle name="40% - Accent6 5 7 4 2 2" xfId="47811"/>
    <cellStyle name="40% - Accent6 5 7 4 3" xfId="42533"/>
    <cellStyle name="40% - Accent6 5 7 5" xfId="16270"/>
    <cellStyle name="40% - Accent6 5 7 5 2" xfId="45131"/>
    <cellStyle name="40% - Accent6 5 7 6" xfId="30495"/>
    <cellStyle name="40% - Accent6 5 8" xfId="1839"/>
    <cellStyle name="40% - Accent6 5 8 2" xfId="4726"/>
    <cellStyle name="40% - Accent6 5 8 2 2" xfId="10767"/>
    <cellStyle name="40% - Accent6 5 8 2 2 2" xfId="27814"/>
    <cellStyle name="40% - Accent6 5 8 2 2 2 2" xfId="56675"/>
    <cellStyle name="40% - Accent6 5 8 2 2 3" xfId="39628"/>
    <cellStyle name="40% - Accent6 5 8 2 3" xfId="21836"/>
    <cellStyle name="40% - Accent6 5 8 2 3 2" xfId="50697"/>
    <cellStyle name="40% - Accent6 5 8 2 4" xfId="33587"/>
    <cellStyle name="40% - Accent6 5 8 3" xfId="7881"/>
    <cellStyle name="40% - Accent6 5 8 3 2" xfId="24928"/>
    <cellStyle name="40% - Accent6 5 8 3 2 2" xfId="53789"/>
    <cellStyle name="40% - Accent6 5 8 3 3" xfId="36742"/>
    <cellStyle name="40% - Accent6 5 8 4" xfId="5839"/>
    <cellStyle name="40% - Accent6 5 8 4 2" xfId="19156"/>
    <cellStyle name="40% - Accent6 5 8 4 2 2" xfId="48017"/>
    <cellStyle name="40% - Accent6 5 8 4 3" xfId="34700"/>
    <cellStyle name="40% - Accent6 5 8 5" xfId="16476"/>
    <cellStyle name="40% - Accent6 5 8 5 2" xfId="45337"/>
    <cellStyle name="40% - Accent6 5 8 6" xfId="30701"/>
    <cellStyle name="40% - Accent6 5 9" xfId="2045"/>
    <cellStyle name="40% - Accent6 5 9 2" xfId="4932"/>
    <cellStyle name="40% - Accent6 5 9 2 2" xfId="10973"/>
    <cellStyle name="40% - Accent6 5 9 2 2 2" xfId="28020"/>
    <cellStyle name="40% - Accent6 5 9 2 2 2 2" xfId="56881"/>
    <cellStyle name="40% - Accent6 5 9 2 2 3" xfId="39834"/>
    <cellStyle name="40% - Accent6 5 9 2 3" xfId="22042"/>
    <cellStyle name="40% - Accent6 5 9 2 3 2" xfId="50903"/>
    <cellStyle name="40% - Accent6 5 9 2 4" xfId="33793"/>
    <cellStyle name="40% - Accent6 5 9 3" xfId="8087"/>
    <cellStyle name="40% - Accent6 5 9 3 2" xfId="25134"/>
    <cellStyle name="40% - Accent6 5 9 3 2 2" xfId="53995"/>
    <cellStyle name="40% - Accent6 5 9 3 3" xfId="36948"/>
    <cellStyle name="40% - Accent6 5 9 4" xfId="12733"/>
    <cellStyle name="40% - Accent6 5 9 4 2" xfId="19362"/>
    <cellStyle name="40% - Accent6 5 9 4 2 2" xfId="48223"/>
    <cellStyle name="40% - Accent6 5 9 4 3" xfId="41594"/>
    <cellStyle name="40% - Accent6 5 9 5" xfId="16682"/>
    <cellStyle name="40% - Accent6 5 9 5 2" xfId="45543"/>
    <cellStyle name="40% - Accent6 5 9 6" xfId="30907"/>
    <cellStyle name="40% - Accent6 6" xfId="191"/>
    <cellStyle name="40% - Accent6 6 2" xfId="603"/>
    <cellStyle name="40% - Accent6 6 2 2" xfId="3490"/>
    <cellStyle name="40% - Accent6 6 2 2 2" xfId="9531"/>
    <cellStyle name="40% - Accent6 6 2 2 2 2" xfId="26578"/>
    <cellStyle name="40% - Accent6 6 2 2 2 2 2" xfId="55439"/>
    <cellStyle name="40% - Accent6 6 2 2 2 3" xfId="38392"/>
    <cellStyle name="40% - Accent6 6 2 2 3" xfId="20600"/>
    <cellStyle name="40% - Accent6 6 2 2 3 2" xfId="49461"/>
    <cellStyle name="40% - Accent6 6 2 2 4" xfId="32351"/>
    <cellStyle name="40% - Accent6 6 2 3" xfId="6645"/>
    <cellStyle name="40% - Accent6 6 2 3 2" xfId="23692"/>
    <cellStyle name="40% - Accent6 6 2 3 2 2" xfId="52553"/>
    <cellStyle name="40% - Accent6 6 2 3 3" xfId="35506"/>
    <cellStyle name="40% - Accent6 6 2 4" xfId="13887"/>
    <cellStyle name="40% - Accent6 6 2 4 2" xfId="17920"/>
    <cellStyle name="40% - Accent6 6 2 4 2 2" xfId="46781"/>
    <cellStyle name="40% - Accent6 6 2 4 3" xfId="42748"/>
    <cellStyle name="40% - Accent6 6 2 5" xfId="15240"/>
    <cellStyle name="40% - Accent6 6 2 5 2" xfId="44101"/>
    <cellStyle name="40% - Accent6 6 2 6" xfId="29465"/>
    <cellStyle name="40% - Accent6 6 3" xfId="2148"/>
    <cellStyle name="40% - Accent6 6 3 2" xfId="5035"/>
    <cellStyle name="40% - Accent6 6 3 2 2" xfId="11076"/>
    <cellStyle name="40% - Accent6 6 3 2 2 2" xfId="28123"/>
    <cellStyle name="40% - Accent6 6 3 2 2 2 2" xfId="56984"/>
    <cellStyle name="40% - Accent6 6 3 2 2 3" xfId="39937"/>
    <cellStyle name="40% - Accent6 6 3 2 3" xfId="22145"/>
    <cellStyle name="40% - Accent6 6 3 2 3 2" xfId="51006"/>
    <cellStyle name="40% - Accent6 6 3 2 4" xfId="33896"/>
    <cellStyle name="40% - Accent6 6 3 3" xfId="8190"/>
    <cellStyle name="40% - Accent6 6 3 3 2" xfId="25237"/>
    <cellStyle name="40% - Accent6 6 3 3 2 2" xfId="54098"/>
    <cellStyle name="40% - Accent6 6 3 3 3" xfId="37051"/>
    <cellStyle name="40% - Accent6 6 3 4" xfId="12409"/>
    <cellStyle name="40% - Accent6 6 3 4 2" xfId="19465"/>
    <cellStyle name="40% - Accent6 6 3 4 2 2" xfId="48326"/>
    <cellStyle name="40% - Accent6 6 3 4 3" xfId="41270"/>
    <cellStyle name="40% - Accent6 6 3 5" xfId="16785"/>
    <cellStyle name="40% - Accent6 6 3 5 2" xfId="45646"/>
    <cellStyle name="40% - Accent6 6 3 6" xfId="31010"/>
    <cellStyle name="40% - Accent6 6 4" xfId="3078"/>
    <cellStyle name="40% - Accent6 6 4 2" xfId="9119"/>
    <cellStyle name="40% - Accent6 6 4 2 2" xfId="26166"/>
    <cellStyle name="40% - Accent6 6 4 2 2 2" xfId="55027"/>
    <cellStyle name="40% - Accent6 6 4 2 3" xfId="37980"/>
    <cellStyle name="40% - Accent6 6 4 3" xfId="20188"/>
    <cellStyle name="40% - Accent6 6 4 3 2" xfId="49049"/>
    <cellStyle name="40% - Accent6 6 4 4" xfId="31939"/>
    <cellStyle name="40% - Accent6 6 5" xfId="6233"/>
    <cellStyle name="40% - Accent6 6 5 2" xfId="23280"/>
    <cellStyle name="40% - Accent6 6 5 2 2" xfId="52141"/>
    <cellStyle name="40% - Accent6 6 5 3" xfId="35094"/>
    <cellStyle name="40% - Accent6 6 6" xfId="14035"/>
    <cellStyle name="40% - Accent6 6 6 2" xfId="17611"/>
    <cellStyle name="40% - Accent6 6 6 2 2" xfId="46472"/>
    <cellStyle name="40% - Accent6 6 6 3" xfId="42896"/>
    <cellStyle name="40% - Accent6 6 7" xfId="14828"/>
    <cellStyle name="40% - Accent6 6 7 2" xfId="43689"/>
    <cellStyle name="40% - Accent6 6 8" xfId="29053"/>
    <cellStyle name="40% - Accent6 7" xfId="397"/>
    <cellStyle name="40% - Accent6 7 2" xfId="3284"/>
    <cellStyle name="40% - Accent6 7 2 2" xfId="9325"/>
    <cellStyle name="40% - Accent6 7 2 2 2" xfId="26372"/>
    <cellStyle name="40% - Accent6 7 2 2 2 2" xfId="55233"/>
    <cellStyle name="40% - Accent6 7 2 2 3" xfId="38186"/>
    <cellStyle name="40% - Accent6 7 2 3" xfId="20394"/>
    <cellStyle name="40% - Accent6 7 2 3 2" xfId="49255"/>
    <cellStyle name="40% - Accent6 7 2 4" xfId="32145"/>
    <cellStyle name="40% - Accent6 7 3" xfId="6439"/>
    <cellStyle name="40% - Accent6 7 3 2" xfId="23486"/>
    <cellStyle name="40% - Accent6 7 3 2 2" xfId="52347"/>
    <cellStyle name="40% - Accent6 7 3 3" xfId="35300"/>
    <cellStyle name="40% - Accent6 7 4" xfId="12975"/>
    <cellStyle name="40% - Accent6 7 4 2" xfId="17714"/>
    <cellStyle name="40% - Accent6 7 4 2 2" xfId="46575"/>
    <cellStyle name="40% - Accent6 7 4 3" xfId="41836"/>
    <cellStyle name="40% - Accent6 7 5" xfId="15034"/>
    <cellStyle name="40% - Accent6 7 5 2" xfId="43895"/>
    <cellStyle name="40% - Accent6 7 6" xfId="29259"/>
    <cellStyle name="40% - Accent6 8" xfId="706"/>
    <cellStyle name="40% - Accent6 8 2" xfId="3593"/>
    <cellStyle name="40% - Accent6 8 2 2" xfId="9634"/>
    <cellStyle name="40% - Accent6 8 2 2 2" xfId="26681"/>
    <cellStyle name="40% - Accent6 8 2 2 2 2" xfId="55542"/>
    <cellStyle name="40% - Accent6 8 2 2 3" xfId="38495"/>
    <cellStyle name="40% - Accent6 8 2 3" xfId="20703"/>
    <cellStyle name="40% - Accent6 8 2 3 2" xfId="49564"/>
    <cellStyle name="40% - Accent6 8 2 4" xfId="32454"/>
    <cellStyle name="40% - Accent6 8 3" xfId="6748"/>
    <cellStyle name="40% - Accent6 8 3 2" xfId="23795"/>
    <cellStyle name="40% - Accent6 8 3 2 2" xfId="52656"/>
    <cellStyle name="40% - Accent6 8 3 3" xfId="35609"/>
    <cellStyle name="40% - Accent6 8 4" xfId="12354"/>
    <cellStyle name="40% - Accent6 8 4 2" xfId="18023"/>
    <cellStyle name="40% - Accent6 8 4 2 2" xfId="46884"/>
    <cellStyle name="40% - Accent6 8 4 3" xfId="41215"/>
    <cellStyle name="40% - Accent6 8 5" xfId="15343"/>
    <cellStyle name="40% - Accent6 8 5 2" xfId="44204"/>
    <cellStyle name="40% - Accent6 8 6" xfId="29568"/>
    <cellStyle name="40% - Accent6 9" xfId="912"/>
    <cellStyle name="40% - Accent6 9 2" xfId="3799"/>
    <cellStyle name="40% - Accent6 9 2 2" xfId="9840"/>
    <cellStyle name="40% - Accent6 9 2 2 2" xfId="26887"/>
    <cellStyle name="40% - Accent6 9 2 2 2 2" xfId="55748"/>
    <cellStyle name="40% - Accent6 9 2 2 3" xfId="38701"/>
    <cellStyle name="40% - Accent6 9 2 3" xfId="20909"/>
    <cellStyle name="40% - Accent6 9 2 3 2" xfId="49770"/>
    <cellStyle name="40% - Accent6 9 2 4" xfId="32660"/>
    <cellStyle name="40% - Accent6 9 3" xfId="6954"/>
    <cellStyle name="40% - Accent6 9 3 2" xfId="24001"/>
    <cellStyle name="40% - Accent6 9 3 2 2" xfId="52862"/>
    <cellStyle name="40% - Accent6 9 3 3" xfId="35815"/>
    <cellStyle name="40% - Accent6 9 4" xfId="12133"/>
    <cellStyle name="40% - Accent6 9 4 2" xfId="18229"/>
    <cellStyle name="40% - Accent6 9 4 2 2" xfId="47090"/>
    <cellStyle name="40% - Accent6 9 4 3" xfId="40994"/>
    <cellStyle name="40% - Accent6 9 5" xfId="15549"/>
    <cellStyle name="40% - Accent6 9 5 2" xfId="44410"/>
    <cellStyle name="40% - Accent6 9 6" xfId="29774"/>
    <cellStyle name="60% - Accent1" xfId="68" builtinId="32" customBuiltin="1"/>
    <cellStyle name="60% - Accent2" xfId="72" builtinId="36" customBuiltin="1"/>
    <cellStyle name="60% - Accent3" xfId="76" builtinId="40" customBuiltin="1"/>
    <cellStyle name="60% - Accent4" xfId="80" builtinId="44" customBuiltin="1"/>
    <cellStyle name="60% - Accent5" xfId="84" builtinId="48" customBuiltin="1"/>
    <cellStyle name="60% - Accent6" xfId="88" builtinId="52" customBuiltin="1"/>
    <cellStyle name="Accent1" xfId="65" builtinId="29" customBuiltin="1"/>
    <cellStyle name="Accent2" xfId="69" builtinId="33" customBuiltin="1"/>
    <cellStyle name="Accent3" xfId="73" builtinId="37" customBuiltin="1"/>
    <cellStyle name="Accent4" xfId="77" builtinId="41" customBuiltin="1"/>
    <cellStyle name="Accent5" xfId="81" builtinId="45" customBuiltin="1"/>
    <cellStyle name="Accent6" xfId="85" builtinId="49" customBuiltin="1"/>
    <cellStyle name="Bad" xfId="55" builtinId="27" customBuiltin="1"/>
    <cellStyle name="Calculation" xfId="59" builtinId="22" customBuiltin="1"/>
    <cellStyle name="Check Cell" xfId="61" builtinId="23" customBuiltin="1"/>
    <cellStyle name="Comma" xfId="1" builtinId="3"/>
    <cellStyle name="Comma 2" xfId="2"/>
    <cellStyle name="Comma 2 2" xfId="3"/>
    <cellStyle name="Comma 3" xfId="4"/>
    <cellStyle name="Comma 3 10" xfId="1708"/>
    <cellStyle name="Comma 3 10 2" xfId="4595"/>
    <cellStyle name="Comma 3 10 2 2" xfId="10636"/>
    <cellStyle name="Comma 3 10 2 2 2" xfId="27683"/>
    <cellStyle name="Comma 3 10 2 2 2 2" xfId="56544"/>
    <cellStyle name="Comma 3 10 2 2 3" xfId="39497"/>
    <cellStyle name="Comma 3 10 2 3" xfId="21705"/>
    <cellStyle name="Comma 3 10 2 3 2" xfId="50566"/>
    <cellStyle name="Comma 3 10 2 4" xfId="33456"/>
    <cellStyle name="Comma 3 10 3" xfId="7750"/>
    <cellStyle name="Comma 3 10 3 2" xfId="24797"/>
    <cellStyle name="Comma 3 10 3 2 2" xfId="53658"/>
    <cellStyle name="Comma 3 10 3 3" xfId="36611"/>
    <cellStyle name="Comma 3 10 4" xfId="13002"/>
    <cellStyle name="Comma 3 10 4 2" xfId="19025"/>
    <cellStyle name="Comma 3 10 4 2 2" xfId="47886"/>
    <cellStyle name="Comma 3 10 4 3" xfId="41863"/>
    <cellStyle name="Comma 3 10 5" xfId="16345"/>
    <cellStyle name="Comma 3 10 5 2" xfId="45206"/>
    <cellStyle name="Comma 3 10 6" xfId="30570"/>
    <cellStyle name="Comma 3 11" xfId="1914"/>
    <cellStyle name="Comma 3 11 2" xfId="4801"/>
    <cellStyle name="Comma 3 11 2 2" xfId="10842"/>
    <cellStyle name="Comma 3 11 2 2 2" xfId="27889"/>
    <cellStyle name="Comma 3 11 2 2 2 2" xfId="56750"/>
    <cellStyle name="Comma 3 11 2 2 3" xfId="39703"/>
    <cellStyle name="Comma 3 11 2 3" xfId="21911"/>
    <cellStyle name="Comma 3 11 2 3 2" xfId="50772"/>
    <cellStyle name="Comma 3 11 2 4" xfId="33662"/>
    <cellStyle name="Comma 3 11 3" xfId="7956"/>
    <cellStyle name="Comma 3 11 3 2" xfId="25003"/>
    <cellStyle name="Comma 3 11 3 2 2" xfId="53864"/>
    <cellStyle name="Comma 3 11 3 3" xfId="36817"/>
    <cellStyle name="Comma 3 11 4" xfId="14389"/>
    <cellStyle name="Comma 3 11 4 2" xfId="19231"/>
    <cellStyle name="Comma 3 11 4 2 2" xfId="48092"/>
    <cellStyle name="Comma 3 11 4 3" xfId="43250"/>
    <cellStyle name="Comma 3 11 5" xfId="16551"/>
    <cellStyle name="Comma 3 11 5 2" xfId="45412"/>
    <cellStyle name="Comma 3 11 6" xfId="30776"/>
    <cellStyle name="Comma 3 12" xfId="2326"/>
    <cellStyle name="Comma 3 12 2" xfId="5213"/>
    <cellStyle name="Comma 3 12 2 2" xfId="11254"/>
    <cellStyle name="Comma 3 12 2 2 2" xfId="28301"/>
    <cellStyle name="Comma 3 12 2 2 2 2" xfId="57162"/>
    <cellStyle name="Comma 3 12 2 2 3" xfId="40115"/>
    <cellStyle name="Comma 3 12 2 3" xfId="22323"/>
    <cellStyle name="Comma 3 12 2 3 2" xfId="51184"/>
    <cellStyle name="Comma 3 12 2 4" xfId="34074"/>
    <cellStyle name="Comma 3 12 3" xfId="8368"/>
    <cellStyle name="Comma 3 12 3 2" xfId="25415"/>
    <cellStyle name="Comma 3 12 3 2 2" xfId="54276"/>
    <cellStyle name="Comma 3 12 3 3" xfId="37229"/>
    <cellStyle name="Comma 3 12 4" xfId="13262"/>
    <cellStyle name="Comma 3 12 4 2" xfId="19643"/>
    <cellStyle name="Comma 3 12 4 2 2" xfId="48504"/>
    <cellStyle name="Comma 3 12 4 3" xfId="42123"/>
    <cellStyle name="Comma 3 12 5" xfId="16963"/>
    <cellStyle name="Comma 3 12 5 2" xfId="45824"/>
    <cellStyle name="Comma 3 12 6" xfId="31188"/>
    <cellStyle name="Comma 3 13" xfId="2535"/>
    <cellStyle name="Comma 3 13 2" xfId="5421"/>
    <cellStyle name="Comma 3 13 2 2" xfId="11462"/>
    <cellStyle name="Comma 3 13 2 2 2" xfId="28509"/>
    <cellStyle name="Comma 3 13 2 2 2 2" xfId="57370"/>
    <cellStyle name="Comma 3 13 2 2 3" xfId="40323"/>
    <cellStyle name="Comma 3 13 2 3" xfId="22531"/>
    <cellStyle name="Comma 3 13 2 3 2" xfId="51392"/>
    <cellStyle name="Comma 3 13 2 4" xfId="34282"/>
    <cellStyle name="Comma 3 13 3" xfId="8576"/>
    <cellStyle name="Comma 3 13 3 2" xfId="25623"/>
    <cellStyle name="Comma 3 13 3 2 2" xfId="54484"/>
    <cellStyle name="Comma 3 13 3 3" xfId="37437"/>
    <cellStyle name="Comma 3 13 4" xfId="12050"/>
    <cellStyle name="Comma 3 13 4 2" xfId="19851"/>
    <cellStyle name="Comma 3 13 4 2 2" xfId="48712"/>
    <cellStyle name="Comma 3 13 4 3" xfId="40911"/>
    <cellStyle name="Comma 3 13 5" xfId="17171"/>
    <cellStyle name="Comma 3 13 5 2" xfId="46032"/>
    <cellStyle name="Comma 3 13 6" xfId="31396"/>
    <cellStyle name="Comma 3 14" xfId="2947"/>
    <cellStyle name="Comma 3 14 2" xfId="8988"/>
    <cellStyle name="Comma 3 14 2 2" xfId="26035"/>
    <cellStyle name="Comma 3 14 2 2 2" xfId="54896"/>
    <cellStyle name="Comma 3 14 2 3" xfId="37849"/>
    <cellStyle name="Comma 3 14 3" xfId="13216"/>
    <cellStyle name="Comma 3 14 3 2" xfId="20057"/>
    <cellStyle name="Comma 3 14 3 2 2" xfId="48918"/>
    <cellStyle name="Comma 3 14 3 3" xfId="42077"/>
    <cellStyle name="Comma 3 14 4" xfId="14697"/>
    <cellStyle name="Comma 3 14 4 2" xfId="43558"/>
    <cellStyle name="Comma 3 14 5" xfId="31808"/>
    <cellStyle name="Comma 3 15" xfId="2741"/>
    <cellStyle name="Comma 3 15 2" xfId="8782"/>
    <cellStyle name="Comma 3 15 2 2" xfId="25829"/>
    <cellStyle name="Comma 3 15 2 2 2" xfId="54690"/>
    <cellStyle name="Comma 3 15 2 3" xfId="37643"/>
    <cellStyle name="Comma 3 15 3" xfId="17377"/>
    <cellStyle name="Comma 3 15 3 2" xfId="46238"/>
    <cellStyle name="Comma 3 15 4" xfId="31602"/>
    <cellStyle name="Comma 3 16" xfId="5627"/>
    <cellStyle name="Comma 3 16 2" xfId="11668"/>
    <cellStyle name="Comma 3 16 2 2" xfId="28715"/>
    <cellStyle name="Comma 3 16 2 2 2" xfId="57576"/>
    <cellStyle name="Comma 3 16 2 3" xfId="40529"/>
    <cellStyle name="Comma 3 16 3" xfId="22737"/>
    <cellStyle name="Comma 3 16 3 2" xfId="51598"/>
    <cellStyle name="Comma 3 16 4" xfId="34488"/>
    <cellStyle name="Comma 3 17" xfId="5835"/>
    <cellStyle name="Comma 3 17 2" xfId="22943"/>
    <cellStyle name="Comma 3 17 2 2" xfId="51804"/>
    <cellStyle name="Comma 3 17 3" xfId="34696"/>
    <cellStyle name="Comma 3 18" xfId="6102"/>
    <cellStyle name="Comma 3 18 2" xfId="23149"/>
    <cellStyle name="Comma 3 18 2 2" xfId="52010"/>
    <cellStyle name="Comma 3 18 3" xfId="34963"/>
    <cellStyle name="Comma 3 19" xfId="14491"/>
    <cellStyle name="Comma 3 19 2" xfId="43352"/>
    <cellStyle name="Comma 3 2" xfId="266"/>
    <cellStyle name="Comma 3 2 10" xfId="2429"/>
    <cellStyle name="Comma 3 2 10 2" xfId="5316"/>
    <cellStyle name="Comma 3 2 10 2 2" xfId="11357"/>
    <cellStyle name="Comma 3 2 10 2 2 2" xfId="28404"/>
    <cellStyle name="Comma 3 2 10 2 2 2 2" xfId="57265"/>
    <cellStyle name="Comma 3 2 10 2 2 3" xfId="40218"/>
    <cellStyle name="Comma 3 2 10 2 3" xfId="22426"/>
    <cellStyle name="Comma 3 2 10 2 3 2" xfId="51287"/>
    <cellStyle name="Comma 3 2 10 2 4" xfId="34177"/>
    <cellStyle name="Comma 3 2 10 3" xfId="8471"/>
    <cellStyle name="Comma 3 2 10 3 2" xfId="25518"/>
    <cellStyle name="Comma 3 2 10 3 2 2" xfId="54379"/>
    <cellStyle name="Comma 3 2 10 3 3" xfId="37332"/>
    <cellStyle name="Comma 3 2 10 4" xfId="13983"/>
    <cellStyle name="Comma 3 2 10 4 2" xfId="19746"/>
    <cellStyle name="Comma 3 2 10 4 2 2" xfId="48607"/>
    <cellStyle name="Comma 3 2 10 4 3" xfId="42844"/>
    <cellStyle name="Comma 3 2 10 5" xfId="17066"/>
    <cellStyle name="Comma 3 2 10 5 2" xfId="45927"/>
    <cellStyle name="Comma 3 2 10 6" xfId="31291"/>
    <cellStyle name="Comma 3 2 11" xfId="2638"/>
    <cellStyle name="Comma 3 2 11 2" xfId="5524"/>
    <cellStyle name="Comma 3 2 11 2 2" xfId="11565"/>
    <cellStyle name="Comma 3 2 11 2 2 2" xfId="28612"/>
    <cellStyle name="Comma 3 2 11 2 2 2 2" xfId="57473"/>
    <cellStyle name="Comma 3 2 11 2 2 3" xfId="40426"/>
    <cellStyle name="Comma 3 2 11 2 3" xfId="22634"/>
    <cellStyle name="Comma 3 2 11 2 3 2" xfId="51495"/>
    <cellStyle name="Comma 3 2 11 2 4" xfId="34385"/>
    <cellStyle name="Comma 3 2 11 3" xfId="8679"/>
    <cellStyle name="Comma 3 2 11 3 2" xfId="25726"/>
    <cellStyle name="Comma 3 2 11 3 2 2" xfId="54587"/>
    <cellStyle name="Comma 3 2 11 3 3" xfId="37540"/>
    <cellStyle name="Comma 3 2 11 4" xfId="13692"/>
    <cellStyle name="Comma 3 2 11 4 2" xfId="19954"/>
    <cellStyle name="Comma 3 2 11 4 2 2" xfId="48815"/>
    <cellStyle name="Comma 3 2 11 4 3" xfId="42553"/>
    <cellStyle name="Comma 3 2 11 5" xfId="17274"/>
    <cellStyle name="Comma 3 2 11 5 2" xfId="46135"/>
    <cellStyle name="Comma 3 2 11 6" xfId="31499"/>
    <cellStyle name="Comma 3 2 12" xfId="3153"/>
    <cellStyle name="Comma 3 2 12 2" xfId="9194"/>
    <cellStyle name="Comma 3 2 12 2 2" xfId="26241"/>
    <cellStyle name="Comma 3 2 12 2 2 2" xfId="55102"/>
    <cellStyle name="Comma 3 2 12 2 3" xfId="38055"/>
    <cellStyle name="Comma 3 2 12 3" xfId="12163"/>
    <cellStyle name="Comma 3 2 12 3 2" xfId="20263"/>
    <cellStyle name="Comma 3 2 12 3 2 2" xfId="49124"/>
    <cellStyle name="Comma 3 2 12 3 3" xfId="41024"/>
    <cellStyle name="Comma 3 2 12 4" xfId="14903"/>
    <cellStyle name="Comma 3 2 12 4 2" xfId="43764"/>
    <cellStyle name="Comma 3 2 12 5" xfId="32014"/>
    <cellStyle name="Comma 3 2 13" xfId="2844"/>
    <cellStyle name="Comma 3 2 13 2" xfId="8885"/>
    <cellStyle name="Comma 3 2 13 2 2" xfId="25932"/>
    <cellStyle name="Comma 3 2 13 2 2 2" xfId="54793"/>
    <cellStyle name="Comma 3 2 13 2 3" xfId="37746"/>
    <cellStyle name="Comma 3 2 13 3" xfId="17480"/>
    <cellStyle name="Comma 3 2 13 3 2" xfId="46341"/>
    <cellStyle name="Comma 3 2 13 4" xfId="31705"/>
    <cellStyle name="Comma 3 2 14" xfId="5730"/>
    <cellStyle name="Comma 3 2 14 2" xfId="11771"/>
    <cellStyle name="Comma 3 2 14 2 2" xfId="28818"/>
    <cellStyle name="Comma 3 2 14 2 2 2" xfId="57679"/>
    <cellStyle name="Comma 3 2 14 2 3" xfId="40632"/>
    <cellStyle name="Comma 3 2 14 3" xfId="22840"/>
    <cellStyle name="Comma 3 2 14 3 2" xfId="51701"/>
    <cellStyle name="Comma 3 2 14 4" xfId="34591"/>
    <cellStyle name="Comma 3 2 15" xfId="5947"/>
    <cellStyle name="Comma 3 2 15 2" xfId="23046"/>
    <cellStyle name="Comma 3 2 15 2 2" xfId="51907"/>
    <cellStyle name="Comma 3 2 15 3" xfId="34808"/>
    <cellStyle name="Comma 3 2 16" xfId="6308"/>
    <cellStyle name="Comma 3 2 16 2" xfId="23355"/>
    <cellStyle name="Comma 3 2 16 2 2" xfId="52216"/>
    <cellStyle name="Comma 3 2 16 3" xfId="35169"/>
    <cellStyle name="Comma 3 2 17" xfId="14594"/>
    <cellStyle name="Comma 3 2 17 2" xfId="43455"/>
    <cellStyle name="Comma 3 2 18" xfId="29128"/>
    <cellStyle name="Comma 3 2 2" xfId="472"/>
    <cellStyle name="Comma 3 2 2 2" xfId="2223"/>
    <cellStyle name="Comma 3 2 2 2 2" xfId="5110"/>
    <cellStyle name="Comma 3 2 2 2 2 2" xfId="11151"/>
    <cellStyle name="Comma 3 2 2 2 2 2 2" xfId="28198"/>
    <cellStyle name="Comma 3 2 2 2 2 2 2 2" xfId="57059"/>
    <cellStyle name="Comma 3 2 2 2 2 2 3" xfId="40012"/>
    <cellStyle name="Comma 3 2 2 2 2 3" xfId="22220"/>
    <cellStyle name="Comma 3 2 2 2 2 3 2" xfId="51081"/>
    <cellStyle name="Comma 3 2 2 2 2 4" xfId="33971"/>
    <cellStyle name="Comma 3 2 2 2 3" xfId="8265"/>
    <cellStyle name="Comma 3 2 2 2 3 2" xfId="25312"/>
    <cellStyle name="Comma 3 2 2 2 3 2 2" xfId="54173"/>
    <cellStyle name="Comma 3 2 2 2 3 3" xfId="37126"/>
    <cellStyle name="Comma 3 2 2 2 4" xfId="12321"/>
    <cellStyle name="Comma 3 2 2 2 4 2" xfId="19540"/>
    <cellStyle name="Comma 3 2 2 2 4 2 2" xfId="48401"/>
    <cellStyle name="Comma 3 2 2 2 4 3" xfId="41182"/>
    <cellStyle name="Comma 3 2 2 2 5" xfId="16860"/>
    <cellStyle name="Comma 3 2 2 2 5 2" xfId="45721"/>
    <cellStyle name="Comma 3 2 2 2 6" xfId="31085"/>
    <cellStyle name="Comma 3 2 2 3" xfId="3359"/>
    <cellStyle name="Comma 3 2 2 3 2" xfId="9400"/>
    <cellStyle name="Comma 3 2 2 3 2 2" xfId="26447"/>
    <cellStyle name="Comma 3 2 2 3 2 2 2" xfId="55308"/>
    <cellStyle name="Comma 3 2 2 3 2 3" xfId="38261"/>
    <cellStyle name="Comma 3 2 2 3 3" xfId="20469"/>
    <cellStyle name="Comma 3 2 2 3 3 2" xfId="49330"/>
    <cellStyle name="Comma 3 2 2 3 4" xfId="32220"/>
    <cellStyle name="Comma 3 2 2 4" xfId="6514"/>
    <cellStyle name="Comma 3 2 2 4 2" xfId="23561"/>
    <cellStyle name="Comma 3 2 2 4 2 2" xfId="52422"/>
    <cellStyle name="Comma 3 2 2 4 3" xfId="35375"/>
    <cellStyle name="Comma 3 2 2 5" xfId="12683"/>
    <cellStyle name="Comma 3 2 2 5 2" xfId="17789"/>
    <cellStyle name="Comma 3 2 2 5 2 2" xfId="46650"/>
    <cellStyle name="Comma 3 2 2 5 3" xfId="41544"/>
    <cellStyle name="Comma 3 2 2 6" xfId="15109"/>
    <cellStyle name="Comma 3 2 2 6 2" xfId="43970"/>
    <cellStyle name="Comma 3 2 2 7" xfId="29334"/>
    <cellStyle name="Comma 3 2 3" xfId="781"/>
    <cellStyle name="Comma 3 2 3 2" xfId="3668"/>
    <cellStyle name="Comma 3 2 3 2 2" xfId="9709"/>
    <cellStyle name="Comma 3 2 3 2 2 2" xfId="26756"/>
    <cellStyle name="Comma 3 2 3 2 2 2 2" xfId="55617"/>
    <cellStyle name="Comma 3 2 3 2 2 3" xfId="38570"/>
    <cellStyle name="Comma 3 2 3 2 3" xfId="20778"/>
    <cellStyle name="Comma 3 2 3 2 3 2" xfId="49639"/>
    <cellStyle name="Comma 3 2 3 2 4" xfId="32529"/>
    <cellStyle name="Comma 3 2 3 3" xfId="6823"/>
    <cellStyle name="Comma 3 2 3 3 2" xfId="23870"/>
    <cellStyle name="Comma 3 2 3 3 2 2" xfId="52731"/>
    <cellStyle name="Comma 3 2 3 3 3" xfId="35684"/>
    <cellStyle name="Comma 3 2 3 4" xfId="13456"/>
    <cellStyle name="Comma 3 2 3 4 2" xfId="18098"/>
    <cellStyle name="Comma 3 2 3 4 2 2" xfId="46959"/>
    <cellStyle name="Comma 3 2 3 4 3" xfId="42317"/>
    <cellStyle name="Comma 3 2 3 5" xfId="15418"/>
    <cellStyle name="Comma 3 2 3 5 2" xfId="44279"/>
    <cellStyle name="Comma 3 2 3 6" xfId="29643"/>
    <cellStyle name="Comma 3 2 4" xfId="987"/>
    <cellStyle name="Comma 3 2 4 2" xfId="3874"/>
    <cellStyle name="Comma 3 2 4 2 2" xfId="9915"/>
    <cellStyle name="Comma 3 2 4 2 2 2" xfId="26962"/>
    <cellStyle name="Comma 3 2 4 2 2 2 2" xfId="55823"/>
    <cellStyle name="Comma 3 2 4 2 2 3" xfId="38776"/>
    <cellStyle name="Comma 3 2 4 2 3" xfId="20984"/>
    <cellStyle name="Comma 3 2 4 2 3 2" xfId="49845"/>
    <cellStyle name="Comma 3 2 4 2 4" xfId="32735"/>
    <cellStyle name="Comma 3 2 4 3" xfId="7029"/>
    <cellStyle name="Comma 3 2 4 3 2" xfId="24076"/>
    <cellStyle name="Comma 3 2 4 3 2 2" xfId="52937"/>
    <cellStyle name="Comma 3 2 4 3 3" xfId="35890"/>
    <cellStyle name="Comma 3 2 4 4" xfId="14281"/>
    <cellStyle name="Comma 3 2 4 4 2" xfId="18304"/>
    <cellStyle name="Comma 3 2 4 4 2 2" xfId="47165"/>
    <cellStyle name="Comma 3 2 4 4 3" xfId="43142"/>
    <cellStyle name="Comma 3 2 4 5" xfId="15624"/>
    <cellStyle name="Comma 3 2 4 5 2" xfId="44485"/>
    <cellStyle name="Comma 3 2 4 6" xfId="29849"/>
    <cellStyle name="Comma 3 2 5" xfId="1193"/>
    <cellStyle name="Comma 3 2 5 2" xfId="4080"/>
    <cellStyle name="Comma 3 2 5 2 2" xfId="10121"/>
    <cellStyle name="Comma 3 2 5 2 2 2" xfId="27168"/>
    <cellStyle name="Comma 3 2 5 2 2 2 2" xfId="56029"/>
    <cellStyle name="Comma 3 2 5 2 2 3" xfId="38982"/>
    <cellStyle name="Comma 3 2 5 2 3" xfId="21190"/>
    <cellStyle name="Comma 3 2 5 2 3 2" xfId="50051"/>
    <cellStyle name="Comma 3 2 5 2 4" xfId="32941"/>
    <cellStyle name="Comma 3 2 5 3" xfId="7235"/>
    <cellStyle name="Comma 3 2 5 3 2" xfId="24282"/>
    <cellStyle name="Comma 3 2 5 3 2 2" xfId="53143"/>
    <cellStyle name="Comma 3 2 5 3 3" xfId="36096"/>
    <cellStyle name="Comma 3 2 5 4" xfId="12382"/>
    <cellStyle name="Comma 3 2 5 4 2" xfId="18510"/>
    <cellStyle name="Comma 3 2 5 4 2 2" xfId="47371"/>
    <cellStyle name="Comma 3 2 5 4 3" xfId="41243"/>
    <cellStyle name="Comma 3 2 5 5" xfId="15830"/>
    <cellStyle name="Comma 3 2 5 5 2" xfId="44691"/>
    <cellStyle name="Comma 3 2 5 6" xfId="30055"/>
    <cellStyle name="Comma 3 2 6" xfId="1399"/>
    <cellStyle name="Comma 3 2 6 2" xfId="4286"/>
    <cellStyle name="Comma 3 2 6 2 2" xfId="10327"/>
    <cellStyle name="Comma 3 2 6 2 2 2" xfId="27374"/>
    <cellStyle name="Comma 3 2 6 2 2 2 2" xfId="56235"/>
    <cellStyle name="Comma 3 2 6 2 2 3" xfId="39188"/>
    <cellStyle name="Comma 3 2 6 2 3" xfId="21396"/>
    <cellStyle name="Comma 3 2 6 2 3 2" xfId="50257"/>
    <cellStyle name="Comma 3 2 6 2 4" xfId="33147"/>
    <cellStyle name="Comma 3 2 6 3" xfId="7441"/>
    <cellStyle name="Comma 3 2 6 3 2" xfId="24488"/>
    <cellStyle name="Comma 3 2 6 3 2 2" xfId="53349"/>
    <cellStyle name="Comma 3 2 6 3 3" xfId="36302"/>
    <cellStyle name="Comma 3 2 6 4" xfId="12526"/>
    <cellStyle name="Comma 3 2 6 4 2" xfId="18716"/>
    <cellStyle name="Comma 3 2 6 4 2 2" xfId="47577"/>
    <cellStyle name="Comma 3 2 6 4 3" xfId="41387"/>
    <cellStyle name="Comma 3 2 6 5" xfId="16036"/>
    <cellStyle name="Comma 3 2 6 5 2" xfId="44897"/>
    <cellStyle name="Comma 3 2 6 6" xfId="30261"/>
    <cellStyle name="Comma 3 2 7" xfId="1605"/>
    <cellStyle name="Comma 3 2 7 2" xfId="4492"/>
    <cellStyle name="Comma 3 2 7 2 2" xfId="10533"/>
    <cellStyle name="Comma 3 2 7 2 2 2" xfId="27580"/>
    <cellStyle name="Comma 3 2 7 2 2 2 2" xfId="56441"/>
    <cellStyle name="Comma 3 2 7 2 2 3" xfId="39394"/>
    <cellStyle name="Comma 3 2 7 2 3" xfId="21602"/>
    <cellStyle name="Comma 3 2 7 2 3 2" xfId="50463"/>
    <cellStyle name="Comma 3 2 7 2 4" xfId="33353"/>
    <cellStyle name="Comma 3 2 7 3" xfId="7647"/>
    <cellStyle name="Comma 3 2 7 3 2" xfId="24694"/>
    <cellStyle name="Comma 3 2 7 3 2 2" xfId="53555"/>
    <cellStyle name="Comma 3 2 7 3 3" xfId="36508"/>
    <cellStyle name="Comma 3 2 7 4" xfId="12875"/>
    <cellStyle name="Comma 3 2 7 4 2" xfId="18922"/>
    <cellStyle name="Comma 3 2 7 4 2 2" xfId="47783"/>
    <cellStyle name="Comma 3 2 7 4 3" xfId="41736"/>
    <cellStyle name="Comma 3 2 7 5" xfId="16242"/>
    <cellStyle name="Comma 3 2 7 5 2" xfId="45103"/>
    <cellStyle name="Comma 3 2 7 6" xfId="30467"/>
    <cellStyle name="Comma 3 2 8" xfId="1811"/>
    <cellStyle name="Comma 3 2 8 2" xfId="4698"/>
    <cellStyle name="Comma 3 2 8 2 2" xfId="10739"/>
    <cellStyle name="Comma 3 2 8 2 2 2" xfId="27786"/>
    <cellStyle name="Comma 3 2 8 2 2 2 2" xfId="56647"/>
    <cellStyle name="Comma 3 2 8 2 2 3" xfId="39600"/>
    <cellStyle name="Comma 3 2 8 2 3" xfId="21808"/>
    <cellStyle name="Comma 3 2 8 2 3 2" xfId="50669"/>
    <cellStyle name="Comma 3 2 8 2 4" xfId="33559"/>
    <cellStyle name="Comma 3 2 8 3" xfId="7853"/>
    <cellStyle name="Comma 3 2 8 3 2" xfId="24900"/>
    <cellStyle name="Comma 3 2 8 3 2 2" xfId="53761"/>
    <cellStyle name="Comma 3 2 8 3 3" xfId="36714"/>
    <cellStyle name="Comma 3 2 8 4" xfId="13631"/>
    <cellStyle name="Comma 3 2 8 4 2" xfId="19128"/>
    <cellStyle name="Comma 3 2 8 4 2 2" xfId="47989"/>
    <cellStyle name="Comma 3 2 8 4 3" xfId="42492"/>
    <cellStyle name="Comma 3 2 8 5" xfId="16448"/>
    <cellStyle name="Comma 3 2 8 5 2" xfId="45309"/>
    <cellStyle name="Comma 3 2 8 6" xfId="30673"/>
    <cellStyle name="Comma 3 2 9" xfId="2017"/>
    <cellStyle name="Comma 3 2 9 2" xfId="4904"/>
    <cellStyle name="Comma 3 2 9 2 2" xfId="10945"/>
    <cellStyle name="Comma 3 2 9 2 2 2" xfId="27992"/>
    <cellStyle name="Comma 3 2 9 2 2 2 2" xfId="56853"/>
    <cellStyle name="Comma 3 2 9 2 2 3" xfId="39806"/>
    <cellStyle name="Comma 3 2 9 2 3" xfId="22014"/>
    <cellStyle name="Comma 3 2 9 2 3 2" xfId="50875"/>
    <cellStyle name="Comma 3 2 9 2 4" xfId="33765"/>
    <cellStyle name="Comma 3 2 9 3" xfId="8059"/>
    <cellStyle name="Comma 3 2 9 3 2" xfId="25106"/>
    <cellStyle name="Comma 3 2 9 3 2 2" xfId="53967"/>
    <cellStyle name="Comma 3 2 9 3 3" xfId="36920"/>
    <cellStyle name="Comma 3 2 9 4" xfId="12198"/>
    <cellStyle name="Comma 3 2 9 4 2" xfId="19334"/>
    <cellStyle name="Comma 3 2 9 4 2 2" xfId="48195"/>
    <cellStyle name="Comma 3 2 9 4 3" xfId="41059"/>
    <cellStyle name="Comma 3 2 9 5" xfId="16654"/>
    <cellStyle name="Comma 3 2 9 5 2" xfId="45515"/>
    <cellStyle name="Comma 3 2 9 6" xfId="30879"/>
    <cellStyle name="Comma 3 20" xfId="28921"/>
    <cellStyle name="Comma 3 20 2" xfId="57782"/>
    <cellStyle name="Comma 3 21" xfId="28922"/>
    <cellStyle name="Comma 3 3" xfId="163"/>
    <cellStyle name="Comma 3 3 2" xfId="575"/>
    <cellStyle name="Comma 3 3 2 2" xfId="3462"/>
    <cellStyle name="Comma 3 3 2 2 2" xfId="9503"/>
    <cellStyle name="Comma 3 3 2 2 2 2" xfId="26550"/>
    <cellStyle name="Comma 3 3 2 2 2 2 2" xfId="55411"/>
    <cellStyle name="Comma 3 3 2 2 2 3" xfId="38364"/>
    <cellStyle name="Comma 3 3 2 2 3" xfId="20572"/>
    <cellStyle name="Comma 3 3 2 2 3 2" xfId="49433"/>
    <cellStyle name="Comma 3 3 2 2 4" xfId="32323"/>
    <cellStyle name="Comma 3 3 2 3" xfId="6617"/>
    <cellStyle name="Comma 3 3 2 3 2" xfId="23664"/>
    <cellStyle name="Comma 3 3 2 3 2 2" xfId="52525"/>
    <cellStyle name="Comma 3 3 2 3 3" xfId="35478"/>
    <cellStyle name="Comma 3 3 2 4" xfId="13532"/>
    <cellStyle name="Comma 3 3 2 4 2" xfId="17892"/>
    <cellStyle name="Comma 3 3 2 4 2 2" xfId="46753"/>
    <cellStyle name="Comma 3 3 2 4 3" xfId="42393"/>
    <cellStyle name="Comma 3 3 2 5" xfId="15212"/>
    <cellStyle name="Comma 3 3 2 5 2" xfId="44073"/>
    <cellStyle name="Comma 3 3 2 6" xfId="29437"/>
    <cellStyle name="Comma 3 3 3" xfId="2120"/>
    <cellStyle name="Comma 3 3 3 2" xfId="5007"/>
    <cellStyle name="Comma 3 3 3 2 2" xfId="11048"/>
    <cellStyle name="Comma 3 3 3 2 2 2" xfId="28095"/>
    <cellStyle name="Comma 3 3 3 2 2 2 2" xfId="56956"/>
    <cellStyle name="Comma 3 3 3 2 2 3" xfId="39909"/>
    <cellStyle name="Comma 3 3 3 2 3" xfId="22117"/>
    <cellStyle name="Comma 3 3 3 2 3 2" xfId="50978"/>
    <cellStyle name="Comma 3 3 3 2 4" xfId="33868"/>
    <cellStyle name="Comma 3 3 3 3" xfId="8162"/>
    <cellStyle name="Comma 3 3 3 3 2" xfId="25209"/>
    <cellStyle name="Comma 3 3 3 3 2 2" xfId="54070"/>
    <cellStyle name="Comma 3 3 3 3 3" xfId="37023"/>
    <cellStyle name="Comma 3 3 3 4" xfId="13774"/>
    <cellStyle name="Comma 3 3 3 4 2" xfId="19437"/>
    <cellStyle name="Comma 3 3 3 4 2 2" xfId="48298"/>
    <cellStyle name="Comma 3 3 3 4 3" xfId="42635"/>
    <cellStyle name="Comma 3 3 3 5" xfId="16757"/>
    <cellStyle name="Comma 3 3 3 5 2" xfId="45618"/>
    <cellStyle name="Comma 3 3 3 6" xfId="30982"/>
    <cellStyle name="Comma 3 3 4" xfId="3050"/>
    <cellStyle name="Comma 3 3 4 2" xfId="9091"/>
    <cellStyle name="Comma 3 3 4 2 2" xfId="26138"/>
    <cellStyle name="Comma 3 3 4 2 2 2" xfId="54999"/>
    <cellStyle name="Comma 3 3 4 2 3" xfId="37952"/>
    <cellStyle name="Comma 3 3 4 3" xfId="20160"/>
    <cellStyle name="Comma 3 3 4 3 2" xfId="49021"/>
    <cellStyle name="Comma 3 3 4 4" xfId="31911"/>
    <cellStyle name="Comma 3 3 5" xfId="6205"/>
    <cellStyle name="Comma 3 3 5 2" xfId="23252"/>
    <cellStyle name="Comma 3 3 5 2 2" xfId="52113"/>
    <cellStyle name="Comma 3 3 5 3" xfId="35066"/>
    <cellStyle name="Comma 3 3 6" xfId="12259"/>
    <cellStyle name="Comma 3 3 6 2" xfId="17583"/>
    <cellStyle name="Comma 3 3 6 2 2" xfId="46444"/>
    <cellStyle name="Comma 3 3 6 3" xfId="41120"/>
    <cellStyle name="Comma 3 3 7" xfId="14800"/>
    <cellStyle name="Comma 3 3 7 2" xfId="43661"/>
    <cellStyle name="Comma 3 3 8" xfId="29025"/>
    <cellStyle name="Comma 3 4" xfId="369"/>
    <cellStyle name="Comma 3 4 2" xfId="3256"/>
    <cellStyle name="Comma 3 4 2 2" xfId="9297"/>
    <cellStyle name="Comma 3 4 2 2 2" xfId="26344"/>
    <cellStyle name="Comma 3 4 2 2 2 2" xfId="55205"/>
    <cellStyle name="Comma 3 4 2 2 3" xfId="38158"/>
    <cellStyle name="Comma 3 4 2 3" xfId="20366"/>
    <cellStyle name="Comma 3 4 2 3 2" xfId="49227"/>
    <cellStyle name="Comma 3 4 2 4" xfId="32117"/>
    <cellStyle name="Comma 3 4 3" xfId="6411"/>
    <cellStyle name="Comma 3 4 3 2" xfId="23458"/>
    <cellStyle name="Comma 3 4 3 2 2" xfId="52319"/>
    <cellStyle name="Comma 3 4 3 3" xfId="35272"/>
    <cellStyle name="Comma 3 4 4" xfId="13111"/>
    <cellStyle name="Comma 3 4 4 2" xfId="17686"/>
    <cellStyle name="Comma 3 4 4 2 2" xfId="46547"/>
    <cellStyle name="Comma 3 4 4 3" xfId="41972"/>
    <cellStyle name="Comma 3 4 5" xfId="15006"/>
    <cellStyle name="Comma 3 4 5 2" xfId="43867"/>
    <cellStyle name="Comma 3 4 6" xfId="29231"/>
    <cellStyle name="Comma 3 5" xfId="678"/>
    <cellStyle name="Comma 3 5 2" xfId="3565"/>
    <cellStyle name="Comma 3 5 2 2" xfId="9606"/>
    <cellStyle name="Comma 3 5 2 2 2" xfId="26653"/>
    <cellStyle name="Comma 3 5 2 2 2 2" xfId="55514"/>
    <cellStyle name="Comma 3 5 2 2 3" xfId="38467"/>
    <cellStyle name="Comma 3 5 2 3" xfId="20675"/>
    <cellStyle name="Comma 3 5 2 3 2" xfId="49536"/>
    <cellStyle name="Comma 3 5 2 4" xfId="32426"/>
    <cellStyle name="Comma 3 5 3" xfId="6720"/>
    <cellStyle name="Comma 3 5 3 2" xfId="23767"/>
    <cellStyle name="Comma 3 5 3 2 2" xfId="52628"/>
    <cellStyle name="Comma 3 5 3 3" xfId="35581"/>
    <cellStyle name="Comma 3 5 4" xfId="12565"/>
    <cellStyle name="Comma 3 5 4 2" xfId="17995"/>
    <cellStyle name="Comma 3 5 4 2 2" xfId="46856"/>
    <cellStyle name="Comma 3 5 4 3" xfId="41426"/>
    <cellStyle name="Comma 3 5 5" xfId="15315"/>
    <cellStyle name="Comma 3 5 5 2" xfId="44176"/>
    <cellStyle name="Comma 3 5 6" xfId="29540"/>
    <cellStyle name="Comma 3 6" xfId="884"/>
    <cellStyle name="Comma 3 6 2" xfId="3771"/>
    <cellStyle name="Comma 3 6 2 2" xfId="9812"/>
    <cellStyle name="Comma 3 6 2 2 2" xfId="26859"/>
    <cellStyle name="Comma 3 6 2 2 2 2" xfId="55720"/>
    <cellStyle name="Comma 3 6 2 2 3" xfId="38673"/>
    <cellStyle name="Comma 3 6 2 3" xfId="20881"/>
    <cellStyle name="Comma 3 6 2 3 2" xfId="49742"/>
    <cellStyle name="Comma 3 6 2 4" xfId="32632"/>
    <cellStyle name="Comma 3 6 3" xfId="6926"/>
    <cellStyle name="Comma 3 6 3 2" xfId="23973"/>
    <cellStyle name="Comma 3 6 3 2 2" xfId="52834"/>
    <cellStyle name="Comma 3 6 3 3" xfId="35787"/>
    <cellStyle name="Comma 3 6 4" xfId="12983"/>
    <cellStyle name="Comma 3 6 4 2" xfId="18201"/>
    <cellStyle name="Comma 3 6 4 2 2" xfId="47062"/>
    <cellStyle name="Comma 3 6 4 3" xfId="41844"/>
    <cellStyle name="Comma 3 6 5" xfId="15521"/>
    <cellStyle name="Comma 3 6 5 2" xfId="44382"/>
    <cellStyle name="Comma 3 6 6" xfId="29746"/>
    <cellStyle name="Comma 3 7" xfId="1090"/>
    <cellStyle name="Comma 3 7 2" xfId="3977"/>
    <cellStyle name="Comma 3 7 2 2" xfId="10018"/>
    <cellStyle name="Comma 3 7 2 2 2" xfId="27065"/>
    <cellStyle name="Comma 3 7 2 2 2 2" xfId="55926"/>
    <cellStyle name="Comma 3 7 2 2 3" xfId="38879"/>
    <cellStyle name="Comma 3 7 2 3" xfId="21087"/>
    <cellStyle name="Comma 3 7 2 3 2" xfId="49948"/>
    <cellStyle name="Comma 3 7 2 4" xfId="32838"/>
    <cellStyle name="Comma 3 7 3" xfId="7132"/>
    <cellStyle name="Comma 3 7 3 2" xfId="24179"/>
    <cellStyle name="Comma 3 7 3 2 2" xfId="53040"/>
    <cellStyle name="Comma 3 7 3 3" xfId="35993"/>
    <cellStyle name="Comma 3 7 4" xfId="12992"/>
    <cellStyle name="Comma 3 7 4 2" xfId="18407"/>
    <cellStyle name="Comma 3 7 4 2 2" xfId="47268"/>
    <cellStyle name="Comma 3 7 4 3" xfId="41853"/>
    <cellStyle name="Comma 3 7 5" xfId="15727"/>
    <cellStyle name="Comma 3 7 5 2" xfId="44588"/>
    <cellStyle name="Comma 3 7 6" xfId="29952"/>
    <cellStyle name="Comma 3 8" xfId="1296"/>
    <cellStyle name="Comma 3 8 2" xfId="4183"/>
    <cellStyle name="Comma 3 8 2 2" xfId="10224"/>
    <cellStyle name="Comma 3 8 2 2 2" xfId="27271"/>
    <cellStyle name="Comma 3 8 2 2 2 2" xfId="56132"/>
    <cellStyle name="Comma 3 8 2 2 3" xfId="39085"/>
    <cellStyle name="Comma 3 8 2 3" xfId="21293"/>
    <cellStyle name="Comma 3 8 2 3 2" xfId="50154"/>
    <cellStyle name="Comma 3 8 2 4" xfId="33044"/>
    <cellStyle name="Comma 3 8 3" xfId="7338"/>
    <cellStyle name="Comma 3 8 3 2" xfId="24385"/>
    <cellStyle name="Comma 3 8 3 2 2" xfId="53246"/>
    <cellStyle name="Comma 3 8 3 3" xfId="36199"/>
    <cellStyle name="Comma 3 8 4" xfId="13683"/>
    <cellStyle name="Comma 3 8 4 2" xfId="18613"/>
    <cellStyle name="Comma 3 8 4 2 2" xfId="47474"/>
    <cellStyle name="Comma 3 8 4 3" xfId="42544"/>
    <cellStyle name="Comma 3 8 5" xfId="15933"/>
    <cellStyle name="Comma 3 8 5 2" xfId="44794"/>
    <cellStyle name="Comma 3 8 6" xfId="30158"/>
    <cellStyle name="Comma 3 9" xfId="1502"/>
    <cellStyle name="Comma 3 9 2" xfId="4389"/>
    <cellStyle name="Comma 3 9 2 2" xfId="10430"/>
    <cellStyle name="Comma 3 9 2 2 2" xfId="27477"/>
    <cellStyle name="Comma 3 9 2 2 2 2" xfId="56338"/>
    <cellStyle name="Comma 3 9 2 2 3" xfId="39291"/>
    <cellStyle name="Comma 3 9 2 3" xfId="21499"/>
    <cellStyle name="Comma 3 9 2 3 2" xfId="50360"/>
    <cellStyle name="Comma 3 9 2 4" xfId="33250"/>
    <cellStyle name="Comma 3 9 3" xfId="7544"/>
    <cellStyle name="Comma 3 9 3 2" xfId="24591"/>
    <cellStyle name="Comma 3 9 3 2 2" xfId="53452"/>
    <cellStyle name="Comma 3 9 3 3" xfId="36405"/>
    <cellStyle name="Comma 3 9 4" xfId="14252"/>
    <cellStyle name="Comma 3 9 4 2" xfId="18819"/>
    <cellStyle name="Comma 3 9 4 2 2" xfId="47680"/>
    <cellStyle name="Comma 3 9 4 3" xfId="43113"/>
    <cellStyle name="Comma 3 9 5" xfId="16139"/>
    <cellStyle name="Comma 3 9 5 2" xfId="45000"/>
    <cellStyle name="Comma 3 9 6" xfId="30364"/>
    <cellStyle name="Comma 4" xfId="5"/>
    <cellStyle name="Comma 4 10" xfId="1709"/>
    <cellStyle name="Comma 4 10 2" xfId="4596"/>
    <cellStyle name="Comma 4 10 2 2" xfId="10637"/>
    <cellStyle name="Comma 4 10 2 2 2" xfId="27684"/>
    <cellStyle name="Comma 4 10 2 2 2 2" xfId="56545"/>
    <cellStyle name="Comma 4 10 2 2 3" xfId="39498"/>
    <cellStyle name="Comma 4 10 2 3" xfId="21706"/>
    <cellStyle name="Comma 4 10 2 3 2" xfId="50567"/>
    <cellStyle name="Comma 4 10 2 4" xfId="33457"/>
    <cellStyle name="Comma 4 10 3" xfId="7751"/>
    <cellStyle name="Comma 4 10 3 2" xfId="24798"/>
    <cellStyle name="Comma 4 10 3 2 2" xfId="53659"/>
    <cellStyle name="Comma 4 10 3 3" xfId="36612"/>
    <cellStyle name="Comma 4 10 4" xfId="12759"/>
    <cellStyle name="Comma 4 10 4 2" xfId="19026"/>
    <cellStyle name="Comma 4 10 4 2 2" xfId="47887"/>
    <cellStyle name="Comma 4 10 4 3" xfId="41620"/>
    <cellStyle name="Comma 4 10 5" xfId="16346"/>
    <cellStyle name="Comma 4 10 5 2" xfId="45207"/>
    <cellStyle name="Comma 4 10 6" xfId="30571"/>
    <cellStyle name="Comma 4 11" xfId="1915"/>
    <cellStyle name="Comma 4 11 2" xfId="4802"/>
    <cellStyle name="Comma 4 11 2 2" xfId="10843"/>
    <cellStyle name="Comma 4 11 2 2 2" xfId="27890"/>
    <cellStyle name="Comma 4 11 2 2 2 2" xfId="56751"/>
    <cellStyle name="Comma 4 11 2 2 3" xfId="39704"/>
    <cellStyle name="Comma 4 11 2 3" xfId="21912"/>
    <cellStyle name="Comma 4 11 2 3 2" xfId="50773"/>
    <cellStyle name="Comma 4 11 2 4" xfId="33663"/>
    <cellStyle name="Comma 4 11 3" xfId="7957"/>
    <cellStyle name="Comma 4 11 3 2" xfId="25004"/>
    <cellStyle name="Comma 4 11 3 2 2" xfId="53865"/>
    <cellStyle name="Comma 4 11 3 3" xfId="36818"/>
    <cellStyle name="Comma 4 11 4" xfId="13390"/>
    <cellStyle name="Comma 4 11 4 2" xfId="19232"/>
    <cellStyle name="Comma 4 11 4 2 2" xfId="48093"/>
    <cellStyle name="Comma 4 11 4 3" xfId="42251"/>
    <cellStyle name="Comma 4 11 5" xfId="16552"/>
    <cellStyle name="Comma 4 11 5 2" xfId="45413"/>
    <cellStyle name="Comma 4 11 6" xfId="30777"/>
    <cellStyle name="Comma 4 12" xfId="2327"/>
    <cellStyle name="Comma 4 12 2" xfId="5214"/>
    <cellStyle name="Comma 4 12 2 2" xfId="11255"/>
    <cellStyle name="Comma 4 12 2 2 2" xfId="28302"/>
    <cellStyle name="Comma 4 12 2 2 2 2" xfId="57163"/>
    <cellStyle name="Comma 4 12 2 2 3" xfId="40116"/>
    <cellStyle name="Comma 4 12 2 3" xfId="22324"/>
    <cellStyle name="Comma 4 12 2 3 2" xfId="51185"/>
    <cellStyle name="Comma 4 12 2 4" xfId="34075"/>
    <cellStyle name="Comma 4 12 3" xfId="8369"/>
    <cellStyle name="Comma 4 12 3 2" xfId="25416"/>
    <cellStyle name="Comma 4 12 3 2 2" xfId="54277"/>
    <cellStyle name="Comma 4 12 3 3" xfId="37230"/>
    <cellStyle name="Comma 4 12 4" xfId="14481"/>
    <cellStyle name="Comma 4 12 4 2" xfId="19644"/>
    <cellStyle name="Comma 4 12 4 2 2" xfId="48505"/>
    <cellStyle name="Comma 4 12 4 3" xfId="43342"/>
    <cellStyle name="Comma 4 12 5" xfId="16964"/>
    <cellStyle name="Comma 4 12 5 2" xfId="45825"/>
    <cellStyle name="Comma 4 12 6" xfId="31189"/>
    <cellStyle name="Comma 4 13" xfId="2536"/>
    <cellStyle name="Comma 4 13 2" xfId="5422"/>
    <cellStyle name="Comma 4 13 2 2" xfId="11463"/>
    <cellStyle name="Comma 4 13 2 2 2" xfId="28510"/>
    <cellStyle name="Comma 4 13 2 2 2 2" xfId="57371"/>
    <cellStyle name="Comma 4 13 2 2 3" xfId="40324"/>
    <cellStyle name="Comma 4 13 2 3" xfId="22532"/>
    <cellStyle name="Comma 4 13 2 3 2" xfId="51393"/>
    <cellStyle name="Comma 4 13 2 4" xfId="34283"/>
    <cellStyle name="Comma 4 13 3" xfId="8577"/>
    <cellStyle name="Comma 4 13 3 2" xfId="25624"/>
    <cellStyle name="Comma 4 13 3 2 2" xfId="54485"/>
    <cellStyle name="Comma 4 13 3 3" xfId="37438"/>
    <cellStyle name="Comma 4 13 4" xfId="14345"/>
    <cellStyle name="Comma 4 13 4 2" xfId="19852"/>
    <cellStyle name="Comma 4 13 4 2 2" xfId="48713"/>
    <cellStyle name="Comma 4 13 4 3" xfId="43206"/>
    <cellStyle name="Comma 4 13 5" xfId="17172"/>
    <cellStyle name="Comma 4 13 5 2" xfId="46033"/>
    <cellStyle name="Comma 4 13 6" xfId="31397"/>
    <cellStyle name="Comma 4 14" xfId="2948"/>
    <cellStyle name="Comma 4 14 2" xfId="8989"/>
    <cellStyle name="Comma 4 14 2 2" xfId="26036"/>
    <cellStyle name="Comma 4 14 2 2 2" xfId="54897"/>
    <cellStyle name="Comma 4 14 2 3" xfId="37850"/>
    <cellStyle name="Comma 4 14 3" xfId="12578"/>
    <cellStyle name="Comma 4 14 3 2" xfId="20058"/>
    <cellStyle name="Comma 4 14 3 2 2" xfId="48919"/>
    <cellStyle name="Comma 4 14 3 3" xfId="41439"/>
    <cellStyle name="Comma 4 14 4" xfId="14698"/>
    <cellStyle name="Comma 4 14 4 2" xfId="43559"/>
    <cellStyle name="Comma 4 14 5" xfId="31809"/>
    <cellStyle name="Comma 4 15" xfId="2742"/>
    <cellStyle name="Comma 4 15 2" xfId="8783"/>
    <cellStyle name="Comma 4 15 2 2" xfId="25830"/>
    <cellStyle name="Comma 4 15 2 2 2" xfId="54691"/>
    <cellStyle name="Comma 4 15 2 3" xfId="37644"/>
    <cellStyle name="Comma 4 15 3" xfId="17378"/>
    <cellStyle name="Comma 4 15 3 2" xfId="46239"/>
    <cellStyle name="Comma 4 15 4" xfId="31603"/>
    <cellStyle name="Comma 4 16" xfId="5628"/>
    <cellStyle name="Comma 4 16 2" xfId="11669"/>
    <cellStyle name="Comma 4 16 2 2" xfId="28716"/>
    <cellStyle name="Comma 4 16 2 2 2" xfId="57577"/>
    <cellStyle name="Comma 4 16 2 3" xfId="40530"/>
    <cellStyle name="Comma 4 16 3" xfId="22738"/>
    <cellStyle name="Comma 4 16 3 2" xfId="51599"/>
    <cellStyle name="Comma 4 16 4" xfId="34489"/>
    <cellStyle name="Comma 4 17" xfId="5836"/>
    <cellStyle name="Comma 4 17 2" xfId="22944"/>
    <cellStyle name="Comma 4 17 2 2" xfId="51805"/>
    <cellStyle name="Comma 4 17 3" xfId="34697"/>
    <cellStyle name="Comma 4 18" xfId="6103"/>
    <cellStyle name="Comma 4 18 2" xfId="23150"/>
    <cellStyle name="Comma 4 18 2 2" xfId="52011"/>
    <cellStyle name="Comma 4 18 3" xfId="34964"/>
    <cellStyle name="Comma 4 19" xfId="14492"/>
    <cellStyle name="Comma 4 19 2" xfId="43353"/>
    <cellStyle name="Comma 4 2" xfId="267"/>
    <cellStyle name="Comma 4 2 10" xfId="2430"/>
    <cellStyle name="Comma 4 2 10 2" xfId="5317"/>
    <cellStyle name="Comma 4 2 10 2 2" xfId="11358"/>
    <cellStyle name="Comma 4 2 10 2 2 2" xfId="28405"/>
    <cellStyle name="Comma 4 2 10 2 2 2 2" xfId="57266"/>
    <cellStyle name="Comma 4 2 10 2 2 3" xfId="40219"/>
    <cellStyle name="Comma 4 2 10 2 3" xfId="22427"/>
    <cellStyle name="Comma 4 2 10 2 3 2" xfId="51288"/>
    <cellStyle name="Comma 4 2 10 2 4" xfId="34178"/>
    <cellStyle name="Comma 4 2 10 3" xfId="8472"/>
    <cellStyle name="Comma 4 2 10 3 2" xfId="25519"/>
    <cellStyle name="Comma 4 2 10 3 2 2" xfId="54380"/>
    <cellStyle name="Comma 4 2 10 3 3" xfId="37333"/>
    <cellStyle name="Comma 4 2 10 4" xfId="12099"/>
    <cellStyle name="Comma 4 2 10 4 2" xfId="19747"/>
    <cellStyle name="Comma 4 2 10 4 2 2" xfId="48608"/>
    <cellStyle name="Comma 4 2 10 4 3" xfId="40960"/>
    <cellStyle name="Comma 4 2 10 5" xfId="17067"/>
    <cellStyle name="Comma 4 2 10 5 2" xfId="45928"/>
    <cellStyle name="Comma 4 2 10 6" xfId="31292"/>
    <cellStyle name="Comma 4 2 11" xfId="2639"/>
    <cellStyle name="Comma 4 2 11 2" xfId="5525"/>
    <cellStyle name="Comma 4 2 11 2 2" xfId="11566"/>
    <cellStyle name="Comma 4 2 11 2 2 2" xfId="28613"/>
    <cellStyle name="Comma 4 2 11 2 2 2 2" xfId="57474"/>
    <cellStyle name="Comma 4 2 11 2 2 3" xfId="40427"/>
    <cellStyle name="Comma 4 2 11 2 3" xfId="22635"/>
    <cellStyle name="Comma 4 2 11 2 3 2" xfId="51496"/>
    <cellStyle name="Comma 4 2 11 2 4" xfId="34386"/>
    <cellStyle name="Comma 4 2 11 3" xfId="8680"/>
    <cellStyle name="Comma 4 2 11 3 2" xfId="25727"/>
    <cellStyle name="Comma 4 2 11 3 2 2" xfId="54588"/>
    <cellStyle name="Comma 4 2 11 3 3" xfId="37541"/>
    <cellStyle name="Comma 4 2 11 4" xfId="13162"/>
    <cellStyle name="Comma 4 2 11 4 2" xfId="19955"/>
    <cellStyle name="Comma 4 2 11 4 2 2" xfId="48816"/>
    <cellStyle name="Comma 4 2 11 4 3" xfId="42023"/>
    <cellStyle name="Comma 4 2 11 5" xfId="17275"/>
    <cellStyle name="Comma 4 2 11 5 2" xfId="46136"/>
    <cellStyle name="Comma 4 2 11 6" xfId="31500"/>
    <cellStyle name="Comma 4 2 12" xfId="3154"/>
    <cellStyle name="Comma 4 2 12 2" xfId="9195"/>
    <cellStyle name="Comma 4 2 12 2 2" xfId="26242"/>
    <cellStyle name="Comma 4 2 12 2 2 2" xfId="55103"/>
    <cellStyle name="Comma 4 2 12 2 3" xfId="38056"/>
    <cellStyle name="Comma 4 2 12 3" xfId="12574"/>
    <cellStyle name="Comma 4 2 12 3 2" xfId="20264"/>
    <cellStyle name="Comma 4 2 12 3 2 2" xfId="49125"/>
    <cellStyle name="Comma 4 2 12 3 3" xfId="41435"/>
    <cellStyle name="Comma 4 2 12 4" xfId="14904"/>
    <cellStyle name="Comma 4 2 12 4 2" xfId="43765"/>
    <cellStyle name="Comma 4 2 12 5" xfId="32015"/>
    <cellStyle name="Comma 4 2 13" xfId="2845"/>
    <cellStyle name="Comma 4 2 13 2" xfId="8886"/>
    <cellStyle name="Comma 4 2 13 2 2" xfId="25933"/>
    <cellStyle name="Comma 4 2 13 2 2 2" xfId="54794"/>
    <cellStyle name="Comma 4 2 13 2 3" xfId="37747"/>
    <cellStyle name="Comma 4 2 13 3" xfId="17481"/>
    <cellStyle name="Comma 4 2 13 3 2" xfId="46342"/>
    <cellStyle name="Comma 4 2 13 4" xfId="31706"/>
    <cellStyle name="Comma 4 2 14" xfId="5731"/>
    <cellStyle name="Comma 4 2 14 2" xfId="11772"/>
    <cellStyle name="Comma 4 2 14 2 2" xfId="28819"/>
    <cellStyle name="Comma 4 2 14 2 2 2" xfId="57680"/>
    <cellStyle name="Comma 4 2 14 2 3" xfId="40633"/>
    <cellStyle name="Comma 4 2 14 3" xfId="22841"/>
    <cellStyle name="Comma 4 2 14 3 2" xfId="51702"/>
    <cellStyle name="Comma 4 2 14 4" xfId="34592"/>
    <cellStyle name="Comma 4 2 15" xfId="5948"/>
    <cellStyle name="Comma 4 2 15 2" xfId="23047"/>
    <cellStyle name="Comma 4 2 15 2 2" xfId="51908"/>
    <cellStyle name="Comma 4 2 15 3" xfId="34809"/>
    <cellStyle name="Comma 4 2 16" xfId="6309"/>
    <cellStyle name="Comma 4 2 16 2" xfId="23356"/>
    <cellStyle name="Comma 4 2 16 2 2" xfId="52217"/>
    <cellStyle name="Comma 4 2 16 3" xfId="35170"/>
    <cellStyle name="Comma 4 2 17" xfId="14595"/>
    <cellStyle name="Comma 4 2 17 2" xfId="43456"/>
    <cellStyle name="Comma 4 2 18" xfId="29129"/>
    <cellStyle name="Comma 4 2 2" xfId="473"/>
    <cellStyle name="Comma 4 2 2 2" xfId="2224"/>
    <cellStyle name="Comma 4 2 2 2 2" xfId="5111"/>
    <cellStyle name="Comma 4 2 2 2 2 2" xfId="11152"/>
    <cellStyle name="Comma 4 2 2 2 2 2 2" xfId="28199"/>
    <cellStyle name="Comma 4 2 2 2 2 2 2 2" xfId="57060"/>
    <cellStyle name="Comma 4 2 2 2 2 2 3" xfId="40013"/>
    <cellStyle name="Comma 4 2 2 2 2 3" xfId="22221"/>
    <cellStyle name="Comma 4 2 2 2 2 3 2" xfId="51082"/>
    <cellStyle name="Comma 4 2 2 2 2 4" xfId="33972"/>
    <cellStyle name="Comma 4 2 2 2 3" xfId="8266"/>
    <cellStyle name="Comma 4 2 2 2 3 2" xfId="25313"/>
    <cellStyle name="Comma 4 2 2 2 3 2 2" xfId="54174"/>
    <cellStyle name="Comma 4 2 2 2 3 3" xfId="37127"/>
    <cellStyle name="Comma 4 2 2 2 4" xfId="14332"/>
    <cellStyle name="Comma 4 2 2 2 4 2" xfId="19541"/>
    <cellStyle name="Comma 4 2 2 2 4 2 2" xfId="48402"/>
    <cellStyle name="Comma 4 2 2 2 4 3" xfId="43193"/>
    <cellStyle name="Comma 4 2 2 2 5" xfId="16861"/>
    <cellStyle name="Comma 4 2 2 2 5 2" xfId="45722"/>
    <cellStyle name="Comma 4 2 2 2 6" xfId="31086"/>
    <cellStyle name="Comma 4 2 2 3" xfId="3360"/>
    <cellStyle name="Comma 4 2 2 3 2" xfId="9401"/>
    <cellStyle name="Comma 4 2 2 3 2 2" xfId="26448"/>
    <cellStyle name="Comma 4 2 2 3 2 2 2" xfId="55309"/>
    <cellStyle name="Comma 4 2 2 3 2 3" xfId="38262"/>
    <cellStyle name="Comma 4 2 2 3 3" xfId="20470"/>
    <cellStyle name="Comma 4 2 2 3 3 2" xfId="49331"/>
    <cellStyle name="Comma 4 2 2 3 4" xfId="32221"/>
    <cellStyle name="Comma 4 2 2 4" xfId="6515"/>
    <cellStyle name="Comma 4 2 2 4 2" xfId="23562"/>
    <cellStyle name="Comma 4 2 2 4 2 2" xfId="52423"/>
    <cellStyle name="Comma 4 2 2 4 3" xfId="35376"/>
    <cellStyle name="Comma 4 2 2 5" xfId="11939"/>
    <cellStyle name="Comma 4 2 2 5 2" xfId="17790"/>
    <cellStyle name="Comma 4 2 2 5 2 2" xfId="46651"/>
    <cellStyle name="Comma 4 2 2 5 3" xfId="40800"/>
    <cellStyle name="Comma 4 2 2 6" xfId="15110"/>
    <cellStyle name="Comma 4 2 2 6 2" xfId="43971"/>
    <cellStyle name="Comma 4 2 2 7" xfId="29335"/>
    <cellStyle name="Comma 4 2 3" xfId="782"/>
    <cellStyle name="Comma 4 2 3 2" xfId="3669"/>
    <cellStyle name="Comma 4 2 3 2 2" xfId="9710"/>
    <cellStyle name="Comma 4 2 3 2 2 2" xfId="26757"/>
    <cellStyle name="Comma 4 2 3 2 2 2 2" xfId="55618"/>
    <cellStyle name="Comma 4 2 3 2 2 3" xfId="38571"/>
    <cellStyle name="Comma 4 2 3 2 3" xfId="20779"/>
    <cellStyle name="Comma 4 2 3 2 3 2" xfId="49640"/>
    <cellStyle name="Comma 4 2 3 2 4" xfId="32530"/>
    <cellStyle name="Comma 4 2 3 3" xfId="6824"/>
    <cellStyle name="Comma 4 2 3 3 2" xfId="23871"/>
    <cellStyle name="Comma 4 2 3 3 2 2" xfId="52732"/>
    <cellStyle name="Comma 4 2 3 3 3" xfId="35685"/>
    <cellStyle name="Comma 4 2 3 4" xfId="14320"/>
    <cellStyle name="Comma 4 2 3 4 2" xfId="18099"/>
    <cellStyle name="Comma 4 2 3 4 2 2" xfId="46960"/>
    <cellStyle name="Comma 4 2 3 4 3" xfId="43181"/>
    <cellStyle name="Comma 4 2 3 5" xfId="15419"/>
    <cellStyle name="Comma 4 2 3 5 2" xfId="44280"/>
    <cellStyle name="Comma 4 2 3 6" xfId="29644"/>
    <cellStyle name="Comma 4 2 4" xfId="988"/>
    <cellStyle name="Comma 4 2 4 2" xfId="3875"/>
    <cellStyle name="Comma 4 2 4 2 2" xfId="9916"/>
    <cellStyle name="Comma 4 2 4 2 2 2" xfId="26963"/>
    <cellStyle name="Comma 4 2 4 2 2 2 2" xfId="55824"/>
    <cellStyle name="Comma 4 2 4 2 2 3" xfId="38777"/>
    <cellStyle name="Comma 4 2 4 2 3" xfId="20985"/>
    <cellStyle name="Comma 4 2 4 2 3 2" xfId="49846"/>
    <cellStyle name="Comma 4 2 4 2 4" xfId="32736"/>
    <cellStyle name="Comma 4 2 4 3" xfId="7030"/>
    <cellStyle name="Comma 4 2 4 3 2" xfId="24077"/>
    <cellStyle name="Comma 4 2 4 3 2 2" xfId="52938"/>
    <cellStyle name="Comma 4 2 4 3 3" xfId="35891"/>
    <cellStyle name="Comma 4 2 4 4" xfId="13974"/>
    <cellStyle name="Comma 4 2 4 4 2" xfId="18305"/>
    <cellStyle name="Comma 4 2 4 4 2 2" xfId="47166"/>
    <cellStyle name="Comma 4 2 4 4 3" xfId="42835"/>
    <cellStyle name="Comma 4 2 4 5" xfId="15625"/>
    <cellStyle name="Comma 4 2 4 5 2" xfId="44486"/>
    <cellStyle name="Comma 4 2 4 6" xfId="29850"/>
    <cellStyle name="Comma 4 2 5" xfId="1194"/>
    <cellStyle name="Comma 4 2 5 2" xfId="4081"/>
    <cellStyle name="Comma 4 2 5 2 2" xfId="10122"/>
    <cellStyle name="Comma 4 2 5 2 2 2" xfId="27169"/>
    <cellStyle name="Comma 4 2 5 2 2 2 2" xfId="56030"/>
    <cellStyle name="Comma 4 2 5 2 2 3" xfId="38983"/>
    <cellStyle name="Comma 4 2 5 2 3" xfId="21191"/>
    <cellStyle name="Comma 4 2 5 2 3 2" xfId="50052"/>
    <cellStyle name="Comma 4 2 5 2 4" xfId="32942"/>
    <cellStyle name="Comma 4 2 5 3" xfId="7236"/>
    <cellStyle name="Comma 4 2 5 3 2" xfId="24283"/>
    <cellStyle name="Comma 4 2 5 3 2 2" xfId="53144"/>
    <cellStyle name="Comma 4 2 5 3 3" xfId="36097"/>
    <cellStyle name="Comma 4 2 5 4" xfId="13653"/>
    <cellStyle name="Comma 4 2 5 4 2" xfId="18511"/>
    <cellStyle name="Comma 4 2 5 4 2 2" xfId="47372"/>
    <cellStyle name="Comma 4 2 5 4 3" xfId="42514"/>
    <cellStyle name="Comma 4 2 5 5" xfId="15831"/>
    <cellStyle name="Comma 4 2 5 5 2" xfId="44692"/>
    <cellStyle name="Comma 4 2 5 6" xfId="30056"/>
    <cellStyle name="Comma 4 2 6" xfId="1400"/>
    <cellStyle name="Comma 4 2 6 2" xfId="4287"/>
    <cellStyle name="Comma 4 2 6 2 2" xfId="10328"/>
    <cellStyle name="Comma 4 2 6 2 2 2" xfId="27375"/>
    <cellStyle name="Comma 4 2 6 2 2 2 2" xfId="56236"/>
    <cellStyle name="Comma 4 2 6 2 2 3" xfId="39189"/>
    <cellStyle name="Comma 4 2 6 2 3" xfId="21397"/>
    <cellStyle name="Comma 4 2 6 2 3 2" xfId="50258"/>
    <cellStyle name="Comma 4 2 6 2 4" xfId="33148"/>
    <cellStyle name="Comma 4 2 6 3" xfId="7442"/>
    <cellStyle name="Comma 4 2 6 3 2" xfId="24489"/>
    <cellStyle name="Comma 4 2 6 3 2 2" xfId="53350"/>
    <cellStyle name="Comma 4 2 6 3 3" xfId="36303"/>
    <cellStyle name="Comma 4 2 6 4" xfId="14319"/>
    <cellStyle name="Comma 4 2 6 4 2" xfId="18717"/>
    <cellStyle name="Comma 4 2 6 4 2 2" xfId="47578"/>
    <cellStyle name="Comma 4 2 6 4 3" xfId="43180"/>
    <cellStyle name="Comma 4 2 6 5" xfId="16037"/>
    <cellStyle name="Comma 4 2 6 5 2" xfId="44898"/>
    <cellStyle name="Comma 4 2 6 6" xfId="30262"/>
    <cellStyle name="Comma 4 2 7" xfId="1606"/>
    <cellStyle name="Comma 4 2 7 2" xfId="4493"/>
    <cellStyle name="Comma 4 2 7 2 2" xfId="10534"/>
    <cellStyle name="Comma 4 2 7 2 2 2" xfId="27581"/>
    <cellStyle name="Comma 4 2 7 2 2 2 2" xfId="56442"/>
    <cellStyle name="Comma 4 2 7 2 2 3" xfId="39395"/>
    <cellStyle name="Comma 4 2 7 2 3" xfId="21603"/>
    <cellStyle name="Comma 4 2 7 2 3 2" xfId="50464"/>
    <cellStyle name="Comma 4 2 7 2 4" xfId="33354"/>
    <cellStyle name="Comma 4 2 7 3" xfId="7648"/>
    <cellStyle name="Comma 4 2 7 3 2" xfId="24695"/>
    <cellStyle name="Comma 4 2 7 3 2 2" xfId="53556"/>
    <cellStyle name="Comma 4 2 7 3 3" xfId="36509"/>
    <cellStyle name="Comma 4 2 7 4" xfId="13865"/>
    <cellStyle name="Comma 4 2 7 4 2" xfId="18923"/>
    <cellStyle name="Comma 4 2 7 4 2 2" xfId="47784"/>
    <cellStyle name="Comma 4 2 7 4 3" xfId="42726"/>
    <cellStyle name="Comma 4 2 7 5" xfId="16243"/>
    <cellStyle name="Comma 4 2 7 5 2" xfId="45104"/>
    <cellStyle name="Comma 4 2 7 6" xfId="30468"/>
    <cellStyle name="Comma 4 2 8" xfId="1812"/>
    <cellStyle name="Comma 4 2 8 2" xfId="4699"/>
    <cellStyle name="Comma 4 2 8 2 2" xfId="10740"/>
    <cellStyle name="Comma 4 2 8 2 2 2" xfId="27787"/>
    <cellStyle name="Comma 4 2 8 2 2 2 2" xfId="56648"/>
    <cellStyle name="Comma 4 2 8 2 2 3" xfId="39601"/>
    <cellStyle name="Comma 4 2 8 2 3" xfId="21809"/>
    <cellStyle name="Comma 4 2 8 2 3 2" xfId="50670"/>
    <cellStyle name="Comma 4 2 8 2 4" xfId="33560"/>
    <cellStyle name="Comma 4 2 8 3" xfId="7854"/>
    <cellStyle name="Comma 4 2 8 3 2" xfId="24901"/>
    <cellStyle name="Comma 4 2 8 3 2 2" xfId="53762"/>
    <cellStyle name="Comma 4 2 8 3 3" xfId="36715"/>
    <cellStyle name="Comma 4 2 8 4" xfId="14229"/>
    <cellStyle name="Comma 4 2 8 4 2" xfId="19129"/>
    <cellStyle name="Comma 4 2 8 4 2 2" xfId="47990"/>
    <cellStyle name="Comma 4 2 8 4 3" xfId="43090"/>
    <cellStyle name="Comma 4 2 8 5" xfId="16449"/>
    <cellStyle name="Comma 4 2 8 5 2" xfId="45310"/>
    <cellStyle name="Comma 4 2 8 6" xfId="30674"/>
    <cellStyle name="Comma 4 2 9" xfId="2018"/>
    <cellStyle name="Comma 4 2 9 2" xfId="4905"/>
    <cellStyle name="Comma 4 2 9 2 2" xfId="10946"/>
    <cellStyle name="Comma 4 2 9 2 2 2" xfId="27993"/>
    <cellStyle name="Comma 4 2 9 2 2 2 2" xfId="56854"/>
    <cellStyle name="Comma 4 2 9 2 2 3" xfId="39807"/>
    <cellStyle name="Comma 4 2 9 2 3" xfId="22015"/>
    <cellStyle name="Comma 4 2 9 2 3 2" xfId="50876"/>
    <cellStyle name="Comma 4 2 9 2 4" xfId="33766"/>
    <cellStyle name="Comma 4 2 9 3" xfId="8060"/>
    <cellStyle name="Comma 4 2 9 3 2" xfId="25107"/>
    <cellStyle name="Comma 4 2 9 3 2 2" xfId="53968"/>
    <cellStyle name="Comma 4 2 9 3 3" xfId="36921"/>
    <cellStyle name="Comma 4 2 9 4" xfId="13541"/>
    <cellStyle name="Comma 4 2 9 4 2" xfId="19335"/>
    <cellStyle name="Comma 4 2 9 4 2 2" xfId="48196"/>
    <cellStyle name="Comma 4 2 9 4 3" xfId="42402"/>
    <cellStyle name="Comma 4 2 9 5" xfId="16655"/>
    <cellStyle name="Comma 4 2 9 5 2" xfId="45516"/>
    <cellStyle name="Comma 4 2 9 6" xfId="30880"/>
    <cellStyle name="Comma 4 20" xfId="28923"/>
    <cellStyle name="Comma 4 3" xfId="164"/>
    <cellStyle name="Comma 4 3 2" xfId="576"/>
    <cellStyle name="Comma 4 3 2 2" xfId="3463"/>
    <cellStyle name="Comma 4 3 2 2 2" xfId="9504"/>
    <cellStyle name="Comma 4 3 2 2 2 2" xfId="26551"/>
    <cellStyle name="Comma 4 3 2 2 2 2 2" xfId="55412"/>
    <cellStyle name="Comma 4 3 2 2 2 3" xfId="38365"/>
    <cellStyle name="Comma 4 3 2 2 3" xfId="20573"/>
    <cellStyle name="Comma 4 3 2 2 3 2" xfId="49434"/>
    <cellStyle name="Comma 4 3 2 2 4" xfId="32324"/>
    <cellStyle name="Comma 4 3 2 3" xfId="6618"/>
    <cellStyle name="Comma 4 3 2 3 2" xfId="23665"/>
    <cellStyle name="Comma 4 3 2 3 2 2" xfId="52526"/>
    <cellStyle name="Comma 4 3 2 3 3" xfId="35479"/>
    <cellStyle name="Comma 4 3 2 4" xfId="13468"/>
    <cellStyle name="Comma 4 3 2 4 2" xfId="17893"/>
    <cellStyle name="Comma 4 3 2 4 2 2" xfId="46754"/>
    <cellStyle name="Comma 4 3 2 4 3" xfId="42329"/>
    <cellStyle name="Comma 4 3 2 5" xfId="15213"/>
    <cellStyle name="Comma 4 3 2 5 2" xfId="44074"/>
    <cellStyle name="Comma 4 3 2 6" xfId="29438"/>
    <cellStyle name="Comma 4 3 3" xfId="2121"/>
    <cellStyle name="Comma 4 3 3 2" xfId="5008"/>
    <cellStyle name="Comma 4 3 3 2 2" xfId="11049"/>
    <cellStyle name="Comma 4 3 3 2 2 2" xfId="28096"/>
    <cellStyle name="Comma 4 3 3 2 2 2 2" xfId="56957"/>
    <cellStyle name="Comma 4 3 3 2 2 3" xfId="39910"/>
    <cellStyle name="Comma 4 3 3 2 3" xfId="22118"/>
    <cellStyle name="Comma 4 3 3 2 3 2" xfId="50979"/>
    <cellStyle name="Comma 4 3 3 2 4" xfId="33869"/>
    <cellStyle name="Comma 4 3 3 3" xfId="8163"/>
    <cellStyle name="Comma 4 3 3 3 2" xfId="25210"/>
    <cellStyle name="Comma 4 3 3 3 2 2" xfId="54071"/>
    <cellStyle name="Comma 4 3 3 3 3" xfId="37024"/>
    <cellStyle name="Comma 4 3 3 4" xfId="11892"/>
    <cellStyle name="Comma 4 3 3 4 2" xfId="19438"/>
    <cellStyle name="Comma 4 3 3 4 2 2" xfId="48299"/>
    <cellStyle name="Comma 4 3 3 4 3" xfId="40753"/>
    <cellStyle name="Comma 4 3 3 5" xfId="16758"/>
    <cellStyle name="Comma 4 3 3 5 2" xfId="45619"/>
    <cellStyle name="Comma 4 3 3 6" xfId="30983"/>
    <cellStyle name="Comma 4 3 4" xfId="3051"/>
    <cellStyle name="Comma 4 3 4 2" xfId="9092"/>
    <cellStyle name="Comma 4 3 4 2 2" xfId="26139"/>
    <cellStyle name="Comma 4 3 4 2 2 2" xfId="55000"/>
    <cellStyle name="Comma 4 3 4 2 3" xfId="37953"/>
    <cellStyle name="Comma 4 3 4 3" xfId="20161"/>
    <cellStyle name="Comma 4 3 4 3 2" xfId="49022"/>
    <cellStyle name="Comma 4 3 4 4" xfId="31912"/>
    <cellStyle name="Comma 4 3 5" xfId="6206"/>
    <cellStyle name="Comma 4 3 5 2" xfId="23253"/>
    <cellStyle name="Comma 4 3 5 2 2" xfId="52114"/>
    <cellStyle name="Comma 4 3 5 3" xfId="35067"/>
    <cellStyle name="Comma 4 3 6" xfId="13000"/>
    <cellStyle name="Comma 4 3 6 2" xfId="17584"/>
    <cellStyle name="Comma 4 3 6 2 2" xfId="46445"/>
    <cellStyle name="Comma 4 3 6 3" xfId="41861"/>
    <cellStyle name="Comma 4 3 7" xfId="14801"/>
    <cellStyle name="Comma 4 3 7 2" xfId="43662"/>
    <cellStyle name="Comma 4 3 8" xfId="29026"/>
    <cellStyle name="Comma 4 4" xfId="370"/>
    <cellStyle name="Comma 4 4 2" xfId="3257"/>
    <cellStyle name="Comma 4 4 2 2" xfId="9298"/>
    <cellStyle name="Comma 4 4 2 2 2" xfId="26345"/>
    <cellStyle name="Comma 4 4 2 2 2 2" xfId="55206"/>
    <cellStyle name="Comma 4 4 2 2 3" xfId="38159"/>
    <cellStyle name="Comma 4 4 2 3" xfId="20367"/>
    <cellStyle name="Comma 4 4 2 3 2" xfId="49228"/>
    <cellStyle name="Comma 4 4 2 4" xfId="32118"/>
    <cellStyle name="Comma 4 4 3" xfId="6412"/>
    <cellStyle name="Comma 4 4 3 2" xfId="23459"/>
    <cellStyle name="Comma 4 4 3 2 2" xfId="52320"/>
    <cellStyle name="Comma 4 4 3 3" xfId="35273"/>
    <cellStyle name="Comma 4 4 4" xfId="14141"/>
    <cellStyle name="Comma 4 4 4 2" xfId="17687"/>
    <cellStyle name="Comma 4 4 4 2 2" xfId="46548"/>
    <cellStyle name="Comma 4 4 4 3" xfId="43002"/>
    <cellStyle name="Comma 4 4 5" xfId="15007"/>
    <cellStyle name="Comma 4 4 5 2" xfId="43868"/>
    <cellStyle name="Comma 4 4 6" xfId="29232"/>
    <cellStyle name="Comma 4 5" xfId="679"/>
    <cellStyle name="Comma 4 5 2" xfId="3566"/>
    <cellStyle name="Comma 4 5 2 2" xfId="9607"/>
    <cellStyle name="Comma 4 5 2 2 2" xfId="26654"/>
    <cellStyle name="Comma 4 5 2 2 2 2" xfId="55515"/>
    <cellStyle name="Comma 4 5 2 2 3" xfId="38468"/>
    <cellStyle name="Comma 4 5 2 3" xfId="20676"/>
    <cellStyle name="Comma 4 5 2 3 2" xfId="49537"/>
    <cellStyle name="Comma 4 5 2 4" xfId="32427"/>
    <cellStyle name="Comma 4 5 3" xfId="6721"/>
    <cellStyle name="Comma 4 5 3 2" xfId="23768"/>
    <cellStyle name="Comma 4 5 3 2 2" xfId="52629"/>
    <cellStyle name="Comma 4 5 3 3" xfId="35582"/>
    <cellStyle name="Comma 4 5 4" xfId="12466"/>
    <cellStyle name="Comma 4 5 4 2" xfId="17996"/>
    <cellStyle name="Comma 4 5 4 2 2" xfId="46857"/>
    <cellStyle name="Comma 4 5 4 3" xfId="41327"/>
    <cellStyle name="Comma 4 5 5" xfId="15316"/>
    <cellStyle name="Comma 4 5 5 2" xfId="44177"/>
    <cellStyle name="Comma 4 5 6" xfId="29541"/>
    <cellStyle name="Comma 4 6" xfId="885"/>
    <cellStyle name="Comma 4 6 2" xfId="3772"/>
    <cellStyle name="Comma 4 6 2 2" xfId="9813"/>
    <cellStyle name="Comma 4 6 2 2 2" xfId="26860"/>
    <cellStyle name="Comma 4 6 2 2 2 2" xfId="55721"/>
    <cellStyle name="Comma 4 6 2 2 3" xfId="38674"/>
    <cellStyle name="Comma 4 6 2 3" xfId="20882"/>
    <cellStyle name="Comma 4 6 2 3 2" xfId="49743"/>
    <cellStyle name="Comma 4 6 2 4" xfId="32633"/>
    <cellStyle name="Comma 4 6 3" xfId="6927"/>
    <cellStyle name="Comma 4 6 3 2" xfId="23974"/>
    <cellStyle name="Comma 4 6 3 2 2" xfId="52835"/>
    <cellStyle name="Comma 4 6 3 3" xfId="35788"/>
    <cellStyle name="Comma 4 6 4" xfId="12400"/>
    <cellStyle name="Comma 4 6 4 2" xfId="18202"/>
    <cellStyle name="Comma 4 6 4 2 2" xfId="47063"/>
    <cellStyle name="Comma 4 6 4 3" xfId="41261"/>
    <cellStyle name="Comma 4 6 5" xfId="15522"/>
    <cellStyle name="Comma 4 6 5 2" xfId="44383"/>
    <cellStyle name="Comma 4 6 6" xfId="29747"/>
    <cellStyle name="Comma 4 7" xfId="1091"/>
    <cellStyle name="Comma 4 7 2" xfId="3978"/>
    <cellStyle name="Comma 4 7 2 2" xfId="10019"/>
    <cellStyle name="Comma 4 7 2 2 2" xfId="27066"/>
    <cellStyle name="Comma 4 7 2 2 2 2" xfId="55927"/>
    <cellStyle name="Comma 4 7 2 2 3" xfId="38880"/>
    <cellStyle name="Comma 4 7 2 3" xfId="21088"/>
    <cellStyle name="Comma 4 7 2 3 2" xfId="49949"/>
    <cellStyle name="Comma 4 7 2 4" xfId="32839"/>
    <cellStyle name="Comma 4 7 3" xfId="7133"/>
    <cellStyle name="Comma 4 7 3 2" xfId="24180"/>
    <cellStyle name="Comma 4 7 3 2 2" xfId="53041"/>
    <cellStyle name="Comma 4 7 3 3" xfId="35994"/>
    <cellStyle name="Comma 4 7 4" xfId="13171"/>
    <cellStyle name="Comma 4 7 4 2" xfId="18408"/>
    <cellStyle name="Comma 4 7 4 2 2" xfId="47269"/>
    <cellStyle name="Comma 4 7 4 3" xfId="42032"/>
    <cellStyle name="Comma 4 7 5" xfId="15728"/>
    <cellStyle name="Comma 4 7 5 2" xfId="44589"/>
    <cellStyle name="Comma 4 7 6" xfId="29953"/>
    <cellStyle name="Comma 4 8" xfId="1297"/>
    <cellStyle name="Comma 4 8 2" xfId="4184"/>
    <cellStyle name="Comma 4 8 2 2" xfId="10225"/>
    <cellStyle name="Comma 4 8 2 2 2" xfId="27272"/>
    <cellStyle name="Comma 4 8 2 2 2 2" xfId="56133"/>
    <cellStyle name="Comma 4 8 2 2 3" xfId="39086"/>
    <cellStyle name="Comma 4 8 2 3" xfId="21294"/>
    <cellStyle name="Comma 4 8 2 3 2" xfId="50155"/>
    <cellStyle name="Comma 4 8 2 4" xfId="33045"/>
    <cellStyle name="Comma 4 8 3" xfId="7339"/>
    <cellStyle name="Comma 4 8 3 2" xfId="24386"/>
    <cellStyle name="Comma 4 8 3 2 2" xfId="53247"/>
    <cellStyle name="Comma 4 8 3 3" xfId="36200"/>
    <cellStyle name="Comma 4 8 4" xfId="13441"/>
    <cellStyle name="Comma 4 8 4 2" xfId="18614"/>
    <cellStyle name="Comma 4 8 4 2 2" xfId="47475"/>
    <cellStyle name="Comma 4 8 4 3" xfId="42302"/>
    <cellStyle name="Comma 4 8 5" xfId="15934"/>
    <cellStyle name="Comma 4 8 5 2" xfId="44795"/>
    <cellStyle name="Comma 4 8 6" xfId="30159"/>
    <cellStyle name="Comma 4 9" xfId="1503"/>
    <cellStyle name="Comma 4 9 2" xfId="4390"/>
    <cellStyle name="Comma 4 9 2 2" xfId="10431"/>
    <cellStyle name="Comma 4 9 2 2 2" xfId="27478"/>
    <cellStyle name="Comma 4 9 2 2 2 2" xfId="56339"/>
    <cellStyle name="Comma 4 9 2 2 3" xfId="39292"/>
    <cellStyle name="Comma 4 9 2 3" xfId="21500"/>
    <cellStyle name="Comma 4 9 2 3 2" xfId="50361"/>
    <cellStyle name="Comma 4 9 2 4" xfId="33251"/>
    <cellStyle name="Comma 4 9 3" xfId="7545"/>
    <cellStyle name="Comma 4 9 3 2" xfId="24592"/>
    <cellStyle name="Comma 4 9 3 2 2" xfId="53453"/>
    <cellStyle name="Comma 4 9 3 3" xfId="36406"/>
    <cellStyle name="Comma 4 9 4" xfId="14196"/>
    <cellStyle name="Comma 4 9 4 2" xfId="18820"/>
    <cellStyle name="Comma 4 9 4 2 2" xfId="47681"/>
    <cellStyle name="Comma 4 9 4 3" xfId="43057"/>
    <cellStyle name="Comma 4 9 5" xfId="16140"/>
    <cellStyle name="Comma 4 9 5 2" xfId="45001"/>
    <cellStyle name="Comma 4 9 6" xfId="30365"/>
    <cellStyle name="Comma 5" xfId="6"/>
    <cellStyle name="Comma 5 10" xfId="1710"/>
    <cellStyle name="Comma 5 10 2" xfId="4597"/>
    <cellStyle name="Comma 5 10 2 2" xfId="10638"/>
    <cellStyle name="Comma 5 10 2 2 2" xfId="27685"/>
    <cellStyle name="Comma 5 10 2 2 2 2" xfId="56546"/>
    <cellStyle name="Comma 5 10 2 2 3" xfId="39499"/>
    <cellStyle name="Comma 5 10 2 3" xfId="21707"/>
    <cellStyle name="Comma 5 10 2 3 2" xfId="50568"/>
    <cellStyle name="Comma 5 10 2 4" xfId="33458"/>
    <cellStyle name="Comma 5 10 3" xfId="7752"/>
    <cellStyle name="Comma 5 10 3 2" xfId="24799"/>
    <cellStyle name="Comma 5 10 3 2 2" xfId="53660"/>
    <cellStyle name="Comma 5 10 3 3" xfId="36613"/>
    <cellStyle name="Comma 5 10 4" xfId="12691"/>
    <cellStyle name="Comma 5 10 4 2" xfId="19027"/>
    <cellStyle name="Comma 5 10 4 2 2" xfId="47888"/>
    <cellStyle name="Comma 5 10 4 3" xfId="41552"/>
    <cellStyle name="Comma 5 10 5" xfId="16347"/>
    <cellStyle name="Comma 5 10 5 2" xfId="45208"/>
    <cellStyle name="Comma 5 10 6" xfId="30572"/>
    <cellStyle name="Comma 5 11" xfId="1916"/>
    <cellStyle name="Comma 5 11 2" xfId="4803"/>
    <cellStyle name="Comma 5 11 2 2" xfId="10844"/>
    <cellStyle name="Comma 5 11 2 2 2" xfId="27891"/>
    <cellStyle name="Comma 5 11 2 2 2 2" xfId="56752"/>
    <cellStyle name="Comma 5 11 2 2 3" xfId="39705"/>
    <cellStyle name="Comma 5 11 2 3" xfId="21913"/>
    <cellStyle name="Comma 5 11 2 3 2" xfId="50774"/>
    <cellStyle name="Comma 5 11 2 4" xfId="33664"/>
    <cellStyle name="Comma 5 11 3" xfId="7958"/>
    <cellStyle name="Comma 5 11 3 2" xfId="25005"/>
    <cellStyle name="Comma 5 11 3 2 2" xfId="53866"/>
    <cellStyle name="Comma 5 11 3 3" xfId="36819"/>
    <cellStyle name="Comma 5 11 4" xfId="12293"/>
    <cellStyle name="Comma 5 11 4 2" xfId="19233"/>
    <cellStyle name="Comma 5 11 4 2 2" xfId="48094"/>
    <cellStyle name="Comma 5 11 4 3" xfId="41154"/>
    <cellStyle name="Comma 5 11 5" xfId="16553"/>
    <cellStyle name="Comma 5 11 5 2" xfId="45414"/>
    <cellStyle name="Comma 5 11 6" xfId="30778"/>
    <cellStyle name="Comma 5 12" xfId="2328"/>
    <cellStyle name="Comma 5 12 2" xfId="5215"/>
    <cellStyle name="Comma 5 12 2 2" xfId="11256"/>
    <cellStyle name="Comma 5 12 2 2 2" xfId="28303"/>
    <cellStyle name="Comma 5 12 2 2 2 2" xfId="57164"/>
    <cellStyle name="Comma 5 12 2 2 3" xfId="40117"/>
    <cellStyle name="Comma 5 12 2 3" xfId="22325"/>
    <cellStyle name="Comma 5 12 2 3 2" xfId="51186"/>
    <cellStyle name="Comma 5 12 2 4" xfId="34076"/>
    <cellStyle name="Comma 5 12 3" xfId="8370"/>
    <cellStyle name="Comma 5 12 3 2" xfId="25417"/>
    <cellStyle name="Comma 5 12 3 2 2" xfId="54278"/>
    <cellStyle name="Comma 5 12 3 3" xfId="37231"/>
    <cellStyle name="Comma 5 12 4" xfId="13803"/>
    <cellStyle name="Comma 5 12 4 2" xfId="19645"/>
    <cellStyle name="Comma 5 12 4 2 2" xfId="48506"/>
    <cellStyle name="Comma 5 12 4 3" xfId="42664"/>
    <cellStyle name="Comma 5 12 5" xfId="16965"/>
    <cellStyle name="Comma 5 12 5 2" xfId="45826"/>
    <cellStyle name="Comma 5 12 6" xfId="31190"/>
    <cellStyle name="Comma 5 13" xfId="2537"/>
    <cellStyle name="Comma 5 13 2" xfId="5423"/>
    <cellStyle name="Comma 5 13 2 2" xfId="11464"/>
    <cellStyle name="Comma 5 13 2 2 2" xfId="28511"/>
    <cellStyle name="Comma 5 13 2 2 2 2" xfId="57372"/>
    <cellStyle name="Comma 5 13 2 2 3" xfId="40325"/>
    <cellStyle name="Comma 5 13 2 3" xfId="22533"/>
    <cellStyle name="Comma 5 13 2 3 2" xfId="51394"/>
    <cellStyle name="Comma 5 13 2 4" xfId="34284"/>
    <cellStyle name="Comma 5 13 3" xfId="8578"/>
    <cellStyle name="Comma 5 13 3 2" xfId="25625"/>
    <cellStyle name="Comma 5 13 3 2 2" xfId="54486"/>
    <cellStyle name="Comma 5 13 3 3" xfId="37439"/>
    <cellStyle name="Comma 5 13 4" xfId="13996"/>
    <cellStyle name="Comma 5 13 4 2" xfId="19853"/>
    <cellStyle name="Comma 5 13 4 2 2" xfId="48714"/>
    <cellStyle name="Comma 5 13 4 3" xfId="42857"/>
    <cellStyle name="Comma 5 13 5" xfId="17173"/>
    <cellStyle name="Comma 5 13 5 2" xfId="46034"/>
    <cellStyle name="Comma 5 13 6" xfId="31398"/>
    <cellStyle name="Comma 5 14" xfId="2949"/>
    <cellStyle name="Comma 5 14 2" xfId="8990"/>
    <cellStyle name="Comma 5 14 2 2" xfId="26037"/>
    <cellStyle name="Comma 5 14 2 2 2" xfId="54898"/>
    <cellStyle name="Comma 5 14 2 3" xfId="37851"/>
    <cellStyle name="Comma 5 14 3" xfId="11880"/>
    <cellStyle name="Comma 5 14 3 2" xfId="20059"/>
    <cellStyle name="Comma 5 14 3 2 2" xfId="48920"/>
    <cellStyle name="Comma 5 14 3 3" xfId="40741"/>
    <cellStyle name="Comma 5 14 4" xfId="14699"/>
    <cellStyle name="Comma 5 14 4 2" xfId="43560"/>
    <cellStyle name="Comma 5 14 5" xfId="31810"/>
    <cellStyle name="Comma 5 15" xfId="2743"/>
    <cellStyle name="Comma 5 15 2" xfId="8784"/>
    <cellStyle name="Comma 5 15 2 2" xfId="25831"/>
    <cellStyle name="Comma 5 15 2 2 2" xfId="54692"/>
    <cellStyle name="Comma 5 15 2 3" xfId="37645"/>
    <cellStyle name="Comma 5 15 3" xfId="17379"/>
    <cellStyle name="Comma 5 15 3 2" xfId="46240"/>
    <cellStyle name="Comma 5 15 4" xfId="31604"/>
    <cellStyle name="Comma 5 16" xfId="5629"/>
    <cellStyle name="Comma 5 16 2" xfId="11670"/>
    <cellStyle name="Comma 5 16 2 2" xfId="28717"/>
    <cellStyle name="Comma 5 16 2 2 2" xfId="57578"/>
    <cellStyle name="Comma 5 16 2 3" xfId="40531"/>
    <cellStyle name="Comma 5 16 3" xfId="22739"/>
    <cellStyle name="Comma 5 16 3 2" xfId="51600"/>
    <cellStyle name="Comma 5 16 4" xfId="34490"/>
    <cellStyle name="Comma 5 17" xfId="5837"/>
    <cellStyle name="Comma 5 17 2" xfId="22945"/>
    <cellStyle name="Comma 5 17 2 2" xfId="51806"/>
    <cellStyle name="Comma 5 17 3" xfId="34698"/>
    <cellStyle name="Comma 5 18" xfId="6104"/>
    <cellStyle name="Comma 5 18 2" xfId="23151"/>
    <cellStyle name="Comma 5 18 2 2" xfId="52012"/>
    <cellStyle name="Comma 5 18 3" xfId="34965"/>
    <cellStyle name="Comma 5 19" xfId="14493"/>
    <cellStyle name="Comma 5 19 2" xfId="43354"/>
    <cellStyle name="Comma 5 2" xfId="268"/>
    <cellStyle name="Comma 5 2 10" xfId="2431"/>
    <cellStyle name="Comma 5 2 10 2" xfId="5318"/>
    <cellStyle name="Comma 5 2 10 2 2" xfId="11359"/>
    <cellStyle name="Comma 5 2 10 2 2 2" xfId="28406"/>
    <cellStyle name="Comma 5 2 10 2 2 2 2" xfId="57267"/>
    <cellStyle name="Comma 5 2 10 2 2 3" xfId="40220"/>
    <cellStyle name="Comma 5 2 10 2 3" xfId="22428"/>
    <cellStyle name="Comma 5 2 10 2 3 2" xfId="51289"/>
    <cellStyle name="Comma 5 2 10 2 4" xfId="34179"/>
    <cellStyle name="Comma 5 2 10 3" xfId="8473"/>
    <cellStyle name="Comma 5 2 10 3 2" xfId="25520"/>
    <cellStyle name="Comma 5 2 10 3 2 2" xfId="54381"/>
    <cellStyle name="Comma 5 2 10 3 3" xfId="37334"/>
    <cellStyle name="Comma 5 2 10 4" xfId="12754"/>
    <cellStyle name="Comma 5 2 10 4 2" xfId="19748"/>
    <cellStyle name="Comma 5 2 10 4 2 2" xfId="48609"/>
    <cellStyle name="Comma 5 2 10 4 3" xfId="41615"/>
    <cellStyle name="Comma 5 2 10 5" xfId="17068"/>
    <cellStyle name="Comma 5 2 10 5 2" xfId="45929"/>
    <cellStyle name="Comma 5 2 10 6" xfId="31293"/>
    <cellStyle name="Comma 5 2 11" xfId="2640"/>
    <cellStyle name="Comma 5 2 11 2" xfId="5526"/>
    <cellStyle name="Comma 5 2 11 2 2" xfId="11567"/>
    <cellStyle name="Comma 5 2 11 2 2 2" xfId="28614"/>
    <cellStyle name="Comma 5 2 11 2 2 2 2" xfId="57475"/>
    <cellStyle name="Comma 5 2 11 2 2 3" xfId="40428"/>
    <cellStyle name="Comma 5 2 11 2 3" xfId="22636"/>
    <cellStyle name="Comma 5 2 11 2 3 2" xfId="51497"/>
    <cellStyle name="Comma 5 2 11 2 4" xfId="34387"/>
    <cellStyle name="Comma 5 2 11 3" xfId="8681"/>
    <cellStyle name="Comma 5 2 11 3 2" xfId="25728"/>
    <cellStyle name="Comma 5 2 11 3 2 2" xfId="54589"/>
    <cellStyle name="Comma 5 2 11 3 3" xfId="37542"/>
    <cellStyle name="Comma 5 2 11 4" xfId="13334"/>
    <cellStyle name="Comma 5 2 11 4 2" xfId="19956"/>
    <cellStyle name="Comma 5 2 11 4 2 2" xfId="48817"/>
    <cellStyle name="Comma 5 2 11 4 3" xfId="42195"/>
    <cellStyle name="Comma 5 2 11 5" xfId="17276"/>
    <cellStyle name="Comma 5 2 11 5 2" xfId="46137"/>
    <cellStyle name="Comma 5 2 11 6" xfId="31501"/>
    <cellStyle name="Comma 5 2 12" xfId="3155"/>
    <cellStyle name="Comma 5 2 12 2" xfId="9196"/>
    <cellStyle name="Comma 5 2 12 2 2" xfId="26243"/>
    <cellStyle name="Comma 5 2 12 2 2 2" xfId="55104"/>
    <cellStyle name="Comma 5 2 12 2 3" xfId="38057"/>
    <cellStyle name="Comma 5 2 12 3" xfId="13782"/>
    <cellStyle name="Comma 5 2 12 3 2" xfId="20265"/>
    <cellStyle name="Comma 5 2 12 3 2 2" xfId="49126"/>
    <cellStyle name="Comma 5 2 12 3 3" xfId="42643"/>
    <cellStyle name="Comma 5 2 12 4" xfId="14905"/>
    <cellStyle name="Comma 5 2 12 4 2" xfId="43766"/>
    <cellStyle name="Comma 5 2 12 5" xfId="32016"/>
    <cellStyle name="Comma 5 2 13" xfId="2846"/>
    <cellStyle name="Comma 5 2 13 2" xfId="8887"/>
    <cellStyle name="Comma 5 2 13 2 2" xfId="25934"/>
    <cellStyle name="Comma 5 2 13 2 2 2" xfId="54795"/>
    <cellStyle name="Comma 5 2 13 2 3" xfId="37748"/>
    <cellStyle name="Comma 5 2 13 3" xfId="17482"/>
    <cellStyle name="Comma 5 2 13 3 2" xfId="46343"/>
    <cellStyle name="Comma 5 2 13 4" xfId="31707"/>
    <cellStyle name="Comma 5 2 14" xfId="5732"/>
    <cellStyle name="Comma 5 2 14 2" xfId="11773"/>
    <cellStyle name="Comma 5 2 14 2 2" xfId="28820"/>
    <cellStyle name="Comma 5 2 14 2 2 2" xfId="57681"/>
    <cellStyle name="Comma 5 2 14 2 3" xfId="40634"/>
    <cellStyle name="Comma 5 2 14 3" xfId="22842"/>
    <cellStyle name="Comma 5 2 14 3 2" xfId="51703"/>
    <cellStyle name="Comma 5 2 14 4" xfId="34593"/>
    <cellStyle name="Comma 5 2 15" xfId="5949"/>
    <cellStyle name="Comma 5 2 15 2" xfId="23048"/>
    <cellStyle name="Comma 5 2 15 2 2" xfId="51909"/>
    <cellStyle name="Comma 5 2 15 3" xfId="34810"/>
    <cellStyle name="Comma 5 2 16" xfId="6310"/>
    <cellStyle name="Comma 5 2 16 2" xfId="23357"/>
    <cellStyle name="Comma 5 2 16 2 2" xfId="52218"/>
    <cellStyle name="Comma 5 2 16 3" xfId="35171"/>
    <cellStyle name="Comma 5 2 17" xfId="14596"/>
    <cellStyle name="Comma 5 2 17 2" xfId="43457"/>
    <cellStyle name="Comma 5 2 18" xfId="29130"/>
    <cellStyle name="Comma 5 2 2" xfId="474"/>
    <cellStyle name="Comma 5 2 2 2" xfId="2225"/>
    <cellStyle name="Comma 5 2 2 2 2" xfId="5112"/>
    <cellStyle name="Comma 5 2 2 2 2 2" xfId="11153"/>
    <cellStyle name="Comma 5 2 2 2 2 2 2" xfId="28200"/>
    <cellStyle name="Comma 5 2 2 2 2 2 2 2" xfId="57061"/>
    <cellStyle name="Comma 5 2 2 2 2 2 3" xfId="40014"/>
    <cellStyle name="Comma 5 2 2 2 2 3" xfId="22222"/>
    <cellStyle name="Comma 5 2 2 2 2 3 2" xfId="51083"/>
    <cellStyle name="Comma 5 2 2 2 2 4" xfId="33973"/>
    <cellStyle name="Comma 5 2 2 2 3" xfId="8267"/>
    <cellStyle name="Comma 5 2 2 2 3 2" xfId="25314"/>
    <cellStyle name="Comma 5 2 2 2 3 2 2" xfId="54175"/>
    <cellStyle name="Comma 5 2 2 2 3 3" xfId="37128"/>
    <cellStyle name="Comma 5 2 2 2 4" xfId="13556"/>
    <cellStyle name="Comma 5 2 2 2 4 2" xfId="19542"/>
    <cellStyle name="Comma 5 2 2 2 4 2 2" xfId="48403"/>
    <cellStyle name="Comma 5 2 2 2 4 3" xfId="42417"/>
    <cellStyle name="Comma 5 2 2 2 5" xfId="16862"/>
    <cellStyle name="Comma 5 2 2 2 5 2" xfId="45723"/>
    <cellStyle name="Comma 5 2 2 2 6" xfId="31087"/>
    <cellStyle name="Comma 5 2 2 3" xfId="3361"/>
    <cellStyle name="Comma 5 2 2 3 2" xfId="9402"/>
    <cellStyle name="Comma 5 2 2 3 2 2" xfId="26449"/>
    <cellStyle name="Comma 5 2 2 3 2 2 2" xfId="55310"/>
    <cellStyle name="Comma 5 2 2 3 2 3" xfId="38263"/>
    <cellStyle name="Comma 5 2 2 3 3" xfId="20471"/>
    <cellStyle name="Comma 5 2 2 3 3 2" xfId="49332"/>
    <cellStyle name="Comma 5 2 2 3 4" xfId="32222"/>
    <cellStyle name="Comma 5 2 2 4" xfId="6516"/>
    <cellStyle name="Comma 5 2 2 4 2" xfId="23563"/>
    <cellStyle name="Comma 5 2 2 4 2 2" xfId="52424"/>
    <cellStyle name="Comma 5 2 2 4 3" xfId="35377"/>
    <cellStyle name="Comma 5 2 2 5" xfId="12639"/>
    <cellStyle name="Comma 5 2 2 5 2" xfId="17791"/>
    <cellStyle name="Comma 5 2 2 5 2 2" xfId="46652"/>
    <cellStyle name="Comma 5 2 2 5 3" xfId="41500"/>
    <cellStyle name="Comma 5 2 2 6" xfId="15111"/>
    <cellStyle name="Comma 5 2 2 6 2" xfId="43972"/>
    <cellStyle name="Comma 5 2 2 7" xfId="29336"/>
    <cellStyle name="Comma 5 2 3" xfId="783"/>
    <cellStyle name="Comma 5 2 3 2" xfId="3670"/>
    <cellStyle name="Comma 5 2 3 2 2" xfId="9711"/>
    <cellStyle name="Comma 5 2 3 2 2 2" xfId="26758"/>
    <cellStyle name="Comma 5 2 3 2 2 2 2" xfId="55619"/>
    <cellStyle name="Comma 5 2 3 2 2 3" xfId="38572"/>
    <cellStyle name="Comma 5 2 3 2 3" xfId="20780"/>
    <cellStyle name="Comma 5 2 3 2 3 2" xfId="49641"/>
    <cellStyle name="Comma 5 2 3 2 4" xfId="32531"/>
    <cellStyle name="Comma 5 2 3 3" xfId="6825"/>
    <cellStyle name="Comma 5 2 3 3 2" xfId="23872"/>
    <cellStyle name="Comma 5 2 3 3 2 2" xfId="52733"/>
    <cellStyle name="Comma 5 2 3 3 3" xfId="35686"/>
    <cellStyle name="Comma 5 2 3 4" xfId="13063"/>
    <cellStyle name="Comma 5 2 3 4 2" xfId="18100"/>
    <cellStyle name="Comma 5 2 3 4 2 2" xfId="46961"/>
    <cellStyle name="Comma 5 2 3 4 3" xfId="41924"/>
    <cellStyle name="Comma 5 2 3 5" xfId="15420"/>
    <cellStyle name="Comma 5 2 3 5 2" xfId="44281"/>
    <cellStyle name="Comma 5 2 3 6" xfId="29645"/>
    <cellStyle name="Comma 5 2 4" xfId="989"/>
    <cellStyle name="Comma 5 2 4 2" xfId="3876"/>
    <cellStyle name="Comma 5 2 4 2 2" xfId="9917"/>
    <cellStyle name="Comma 5 2 4 2 2 2" xfId="26964"/>
    <cellStyle name="Comma 5 2 4 2 2 2 2" xfId="55825"/>
    <cellStyle name="Comma 5 2 4 2 2 3" xfId="38778"/>
    <cellStyle name="Comma 5 2 4 2 3" xfId="20986"/>
    <cellStyle name="Comma 5 2 4 2 3 2" xfId="49847"/>
    <cellStyle name="Comma 5 2 4 2 4" xfId="32737"/>
    <cellStyle name="Comma 5 2 4 3" xfId="7031"/>
    <cellStyle name="Comma 5 2 4 3 2" xfId="24078"/>
    <cellStyle name="Comma 5 2 4 3 2 2" xfId="52939"/>
    <cellStyle name="Comma 5 2 4 3 3" xfId="35892"/>
    <cellStyle name="Comma 5 2 4 4" xfId="12960"/>
    <cellStyle name="Comma 5 2 4 4 2" xfId="18306"/>
    <cellStyle name="Comma 5 2 4 4 2 2" xfId="47167"/>
    <cellStyle name="Comma 5 2 4 4 3" xfId="41821"/>
    <cellStyle name="Comma 5 2 4 5" xfId="15626"/>
    <cellStyle name="Comma 5 2 4 5 2" xfId="44487"/>
    <cellStyle name="Comma 5 2 4 6" xfId="29851"/>
    <cellStyle name="Comma 5 2 5" xfId="1195"/>
    <cellStyle name="Comma 5 2 5 2" xfId="4082"/>
    <cellStyle name="Comma 5 2 5 2 2" xfId="10123"/>
    <cellStyle name="Comma 5 2 5 2 2 2" xfId="27170"/>
    <cellStyle name="Comma 5 2 5 2 2 2 2" xfId="56031"/>
    <cellStyle name="Comma 5 2 5 2 2 3" xfId="38984"/>
    <cellStyle name="Comma 5 2 5 2 3" xfId="21192"/>
    <cellStyle name="Comma 5 2 5 2 3 2" xfId="50053"/>
    <cellStyle name="Comma 5 2 5 2 4" xfId="32943"/>
    <cellStyle name="Comma 5 2 5 3" xfId="7237"/>
    <cellStyle name="Comma 5 2 5 3 2" xfId="24284"/>
    <cellStyle name="Comma 5 2 5 3 2 2" xfId="53145"/>
    <cellStyle name="Comma 5 2 5 3 3" xfId="36098"/>
    <cellStyle name="Comma 5 2 5 4" xfId="12567"/>
    <cellStyle name="Comma 5 2 5 4 2" xfId="18512"/>
    <cellStyle name="Comma 5 2 5 4 2 2" xfId="47373"/>
    <cellStyle name="Comma 5 2 5 4 3" xfId="41428"/>
    <cellStyle name="Comma 5 2 5 5" xfId="15832"/>
    <cellStyle name="Comma 5 2 5 5 2" xfId="44693"/>
    <cellStyle name="Comma 5 2 5 6" xfId="30057"/>
    <cellStyle name="Comma 5 2 6" xfId="1401"/>
    <cellStyle name="Comma 5 2 6 2" xfId="4288"/>
    <cellStyle name="Comma 5 2 6 2 2" xfId="10329"/>
    <cellStyle name="Comma 5 2 6 2 2 2" xfId="27376"/>
    <cellStyle name="Comma 5 2 6 2 2 2 2" xfId="56237"/>
    <cellStyle name="Comma 5 2 6 2 2 3" xfId="39190"/>
    <cellStyle name="Comma 5 2 6 2 3" xfId="21398"/>
    <cellStyle name="Comma 5 2 6 2 3 2" xfId="50259"/>
    <cellStyle name="Comma 5 2 6 2 4" xfId="33149"/>
    <cellStyle name="Comma 5 2 6 3" xfId="7443"/>
    <cellStyle name="Comma 5 2 6 3 2" xfId="24490"/>
    <cellStyle name="Comma 5 2 6 3 2 2" xfId="53351"/>
    <cellStyle name="Comma 5 2 6 3 3" xfId="36304"/>
    <cellStyle name="Comma 5 2 6 4" xfId="12322"/>
    <cellStyle name="Comma 5 2 6 4 2" xfId="18718"/>
    <cellStyle name="Comma 5 2 6 4 2 2" xfId="47579"/>
    <cellStyle name="Comma 5 2 6 4 3" xfId="41183"/>
    <cellStyle name="Comma 5 2 6 5" xfId="16038"/>
    <cellStyle name="Comma 5 2 6 5 2" xfId="44899"/>
    <cellStyle name="Comma 5 2 6 6" xfId="30263"/>
    <cellStyle name="Comma 5 2 7" xfId="1607"/>
    <cellStyle name="Comma 5 2 7 2" xfId="4494"/>
    <cellStyle name="Comma 5 2 7 2 2" xfId="10535"/>
    <cellStyle name="Comma 5 2 7 2 2 2" xfId="27582"/>
    <cellStyle name="Comma 5 2 7 2 2 2 2" xfId="56443"/>
    <cellStyle name="Comma 5 2 7 2 2 3" xfId="39396"/>
    <cellStyle name="Comma 5 2 7 2 3" xfId="21604"/>
    <cellStyle name="Comma 5 2 7 2 3 2" xfId="50465"/>
    <cellStyle name="Comma 5 2 7 2 4" xfId="33355"/>
    <cellStyle name="Comma 5 2 7 3" xfId="7649"/>
    <cellStyle name="Comma 5 2 7 3 2" xfId="24696"/>
    <cellStyle name="Comma 5 2 7 3 2 2" xfId="53557"/>
    <cellStyle name="Comma 5 2 7 3 3" xfId="36510"/>
    <cellStyle name="Comma 5 2 7 4" xfId="12169"/>
    <cellStyle name="Comma 5 2 7 4 2" xfId="18924"/>
    <cellStyle name="Comma 5 2 7 4 2 2" xfId="47785"/>
    <cellStyle name="Comma 5 2 7 4 3" xfId="41030"/>
    <cellStyle name="Comma 5 2 7 5" xfId="16244"/>
    <cellStyle name="Comma 5 2 7 5 2" xfId="45105"/>
    <cellStyle name="Comma 5 2 7 6" xfId="30469"/>
    <cellStyle name="Comma 5 2 8" xfId="1813"/>
    <cellStyle name="Comma 5 2 8 2" xfId="4700"/>
    <cellStyle name="Comma 5 2 8 2 2" xfId="10741"/>
    <cellStyle name="Comma 5 2 8 2 2 2" xfId="27788"/>
    <cellStyle name="Comma 5 2 8 2 2 2 2" xfId="56649"/>
    <cellStyle name="Comma 5 2 8 2 2 3" xfId="39602"/>
    <cellStyle name="Comma 5 2 8 2 3" xfId="21810"/>
    <cellStyle name="Comma 5 2 8 2 3 2" xfId="50671"/>
    <cellStyle name="Comma 5 2 8 2 4" xfId="33561"/>
    <cellStyle name="Comma 5 2 8 3" xfId="7855"/>
    <cellStyle name="Comma 5 2 8 3 2" xfId="24902"/>
    <cellStyle name="Comma 5 2 8 3 2 2" xfId="53763"/>
    <cellStyle name="Comma 5 2 8 3 3" xfId="36716"/>
    <cellStyle name="Comma 5 2 8 4" xfId="13562"/>
    <cellStyle name="Comma 5 2 8 4 2" xfId="19130"/>
    <cellStyle name="Comma 5 2 8 4 2 2" xfId="47991"/>
    <cellStyle name="Comma 5 2 8 4 3" xfId="42423"/>
    <cellStyle name="Comma 5 2 8 5" xfId="16450"/>
    <cellStyle name="Comma 5 2 8 5 2" xfId="45311"/>
    <cellStyle name="Comma 5 2 8 6" xfId="30675"/>
    <cellStyle name="Comma 5 2 9" xfId="2019"/>
    <cellStyle name="Comma 5 2 9 2" xfId="4906"/>
    <cellStyle name="Comma 5 2 9 2 2" xfId="10947"/>
    <cellStyle name="Comma 5 2 9 2 2 2" xfId="27994"/>
    <cellStyle name="Comma 5 2 9 2 2 2 2" xfId="56855"/>
    <cellStyle name="Comma 5 2 9 2 2 3" xfId="39808"/>
    <cellStyle name="Comma 5 2 9 2 3" xfId="22016"/>
    <cellStyle name="Comma 5 2 9 2 3 2" xfId="50877"/>
    <cellStyle name="Comma 5 2 9 2 4" xfId="33767"/>
    <cellStyle name="Comma 5 2 9 3" xfId="8061"/>
    <cellStyle name="Comma 5 2 9 3 2" xfId="25108"/>
    <cellStyle name="Comma 5 2 9 3 2 2" xfId="53969"/>
    <cellStyle name="Comma 5 2 9 3 3" xfId="36922"/>
    <cellStyle name="Comma 5 2 9 4" xfId="13316"/>
    <cellStyle name="Comma 5 2 9 4 2" xfId="19336"/>
    <cellStyle name="Comma 5 2 9 4 2 2" xfId="48197"/>
    <cellStyle name="Comma 5 2 9 4 3" xfId="42177"/>
    <cellStyle name="Comma 5 2 9 5" xfId="16656"/>
    <cellStyle name="Comma 5 2 9 5 2" xfId="45517"/>
    <cellStyle name="Comma 5 2 9 6" xfId="30881"/>
    <cellStyle name="Comma 5 20" xfId="28924"/>
    <cellStyle name="Comma 5 3" xfId="165"/>
    <cellStyle name="Comma 5 3 2" xfId="577"/>
    <cellStyle name="Comma 5 3 2 2" xfId="3464"/>
    <cellStyle name="Comma 5 3 2 2 2" xfId="9505"/>
    <cellStyle name="Comma 5 3 2 2 2 2" xfId="26552"/>
    <cellStyle name="Comma 5 3 2 2 2 2 2" xfId="55413"/>
    <cellStyle name="Comma 5 3 2 2 2 3" xfId="38366"/>
    <cellStyle name="Comma 5 3 2 2 3" xfId="20574"/>
    <cellStyle name="Comma 5 3 2 2 3 2" xfId="49435"/>
    <cellStyle name="Comma 5 3 2 2 4" xfId="32325"/>
    <cellStyle name="Comma 5 3 2 3" xfId="6619"/>
    <cellStyle name="Comma 5 3 2 3 2" xfId="23666"/>
    <cellStyle name="Comma 5 3 2 3 2 2" xfId="52527"/>
    <cellStyle name="Comma 5 3 2 3 3" xfId="35480"/>
    <cellStyle name="Comma 5 3 2 4" xfId="14251"/>
    <cellStyle name="Comma 5 3 2 4 2" xfId="17894"/>
    <cellStyle name="Comma 5 3 2 4 2 2" xfId="46755"/>
    <cellStyle name="Comma 5 3 2 4 3" xfId="43112"/>
    <cellStyle name="Comma 5 3 2 5" xfId="15214"/>
    <cellStyle name="Comma 5 3 2 5 2" xfId="44075"/>
    <cellStyle name="Comma 5 3 2 6" xfId="29439"/>
    <cellStyle name="Comma 5 3 3" xfId="2122"/>
    <cellStyle name="Comma 5 3 3 2" xfId="5009"/>
    <cellStyle name="Comma 5 3 3 2 2" xfId="11050"/>
    <cellStyle name="Comma 5 3 3 2 2 2" xfId="28097"/>
    <cellStyle name="Comma 5 3 3 2 2 2 2" xfId="56958"/>
    <cellStyle name="Comma 5 3 3 2 2 3" xfId="39911"/>
    <cellStyle name="Comma 5 3 3 2 3" xfId="22119"/>
    <cellStyle name="Comma 5 3 3 2 3 2" xfId="50980"/>
    <cellStyle name="Comma 5 3 3 2 4" xfId="33870"/>
    <cellStyle name="Comma 5 3 3 3" xfId="8164"/>
    <cellStyle name="Comma 5 3 3 3 2" xfId="25211"/>
    <cellStyle name="Comma 5 3 3 3 2 2" xfId="54072"/>
    <cellStyle name="Comma 5 3 3 3 3" xfId="37025"/>
    <cellStyle name="Comma 5 3 3 4" xfId="11948"/>
    <cellStyle name="Comma 5 3 3 4 2" xfId="19439"/>
    <cellStyle name="Comma 5 3 3 4 2 2" xfId="48300"/>
    <cellStyle name="Comma 5 3 3 4 3" xfId="40809"/>
    <cellStyle name="Comma 5 3 3 5" xfId="16759"/>
    <cellStyle name="Comma 5 3 3 5 2" xfId="45620"/>
    <cellStyle name="Comma 5 3 3 6" xfId="30984"/>
    <cellStyle name="Comma 5 3 4" xfId="3052"/>
    <cellStyle name="Comma 5 3 4 2" xfId="9093"/>
    <cellStyle name="Comma 5 3 4 2 2" xfId="26140"/>
    <cellStyle name="Comma 5 3 4 2 2 2" xfId="55001"/>
    <cellStyle name="Comma 5 3 4 2 3" xfId="37954"/>
    <cellStyle name="Comma 5 3 4 3" xfId="20162"/>
    <cellStyle name="Comma 5 3 4 3 2" xfId="49023"/>
    <cellStyle name="Comma 5 3 4 4" xfId="31913"/>
    <cellStyle name="Comma 5 3 5" xfId="6207"/>
    <cellStyle name="Comma 5 3 5 2" xfId="23254"/>
    <cellStyle name="Comma 5 3 5 2 2" xfId="52115"/>
    <cellStyle name="Comma 5 3 5 3" xfId="35068"/>
    <cellStyle name="Comma 5 3 6" xfId="13751"/>
    <cellStyle name="Comma 5 3 6 2" xfId="17585"/>
    <cellStyle name="Comma 5 3 6 2 2" xfId="46446"/>
    <cellStyle name="Comma 5 3 6 3" xfId="42612"/>
    <cellStyle name="Comma 5 3 7" xfId="14802"/>
    <cellStyle name="Comma 5 3 7 2" xfId="43663"/>
    <cellStyle name="Comma 5 3 8" xfId="29027"/>
    <cellStyle name="Comma 5 4" xfId="371"/>
    <cellStyle name="Comma 5 4 2" xfId="3258"/>
    <cellStyle name="Comma 5 4 2 2" xfId="9299"/>
    <cellStyle name="Comma 5 4 2 2 2" xfId="26346"/>
    <cellStyle name="Comma 5 4 2 2 2 2" xfId="55207"/>
    <cellStyle name="Comma 5 4 2 2 3" xfId="38160"/>
    <cellStyle name="Comma 5 4 2 3" xfId="20368"/>
    <cellStyle name="Comma 5 4 2 3 2" xfId="49229"/>
    <cellStyle name="Comma 5 4 2 4" xfId="32119"/>
    <cellStyle name="Comma 5 4 3" xfId="6413"/>
    <cellStyle name="Comma 5 4 3 2" xfId="23460"/>
    <cellStyle name="Comma 5 4 3 2 2" xfId="52321"/>
    <cellStyle name="Comma 5 4 3 3" xfId="35274"/>
    <cellStyle name="Comma 5 4 4" xfId="13253"/>
    <cellStyle name="Comma 5 4 4 2" xfId="17688"/>
    <cellStyle name="Comma 5 4 4 2 2" xfId="46549"/>
    <cellStyle name="Comma 5 4 4 3" xfId="42114"/>
    <cellStyle name="Comma 5 4 5" xfId="15008"/>
    <cellStyle name="Comma 5 4 5 2" xfId="43869"/>
    <cellStyle name="Comma 5 4 6" xfId="29233"/>
    <cellStyle name="Comma 5 5" xfId="680"/>
    <cellStyle name="Comma 5 5 2" xfId="3567"/>
    <cellStyle name="Comma 5 5 2 2" xfId="9608"/>
    <cellStyle name="Comma 5 5 2 2 2" xfId="26655"/>
    <cellStyle name="Comma 5 5 2 2 2 2" xfId="55516"/>
    <cellStyle name="Comma 5 5 2 2 3" xfId="38469"/>
    <cellStyle name="Comma 5 5 2 3" xfId="20677"/>
    <cellStyle name="Comma 5 5 2 3 2" xfId="49538"/>
    <cellStyle name="Comma 5 5 2 4" xfId="32428"/>
    <cellStyle name="Comma 5 5 3" xfId="6722"/>
    <cellStyle name="Comma 5 5 3 2" xfId="23769"/>
    <cellStyle name="Comma 5 5 3 2 2" xfId="52630"/>
    <cellStyle name="Comma 5 5 3 3" xfId="35583"/>
    <cellStyle name="Comma 5 5 4" xfId="11903"/>
    <cellStyle name="Comma 5 5 4 2" xfId="17997"/>
    <cellStyle name="Comma 5 5 4 2 2" xfId="46858"/>
    <cellStyle name="Comma 5 5 4 3" xfId="40764"/>
    <cellStyle name="Comma 5 5 5" xfId="15317"/>
    <cellStyle name="Comma 5 5 5 2" xfId="44178"/>
    <cellStyle name="Comma 5 5 6" xfId="29542"/>
    <cellStyle name="Comma 5 6" xfId="886"/>
    <cellStyle name="Comma 5 6 2" xfId="3773"/>
    <cellStyle name="Comma 5 6 2 2" xfId="9814"/>
    <cellStyle name="Comma 5 6 2 2 2" xfId="26861"/>
    <cellStyle name="Comma 5 6 2 2 2 2" xfId="55722"/>
    <cellStyle name="Comma 5 6 2 2 3" xfId="38675"/>
    <cellStyle name="Comma 5 6 2 3" xfId="20883"/>
    <cellStyle name="Comma 5 6 2 3 2" xfId="49744"/>
    <cellStyle name="Comma 5 6 2 4" xfId="32634"/>
    <cellStyle name="Comma 5 6 3" xfId="6928"/>
    <cellStyle name="Comma 5 6 3 2" xfId="23975"/>
    <cellStyle name="Comma 5 6 3 2 2" xfId="52836"/>
    <cellStyle name="Comma 5 6 3 3" xfId="35789"/>
    <cellStyle name="Comma 5 6 4" xfId="14085"/>
    <cellStyle name="Comma 5 6 4 2" xfId="18203"/>
    <cellStyle name="Comma 5 6 4 2 2" xfId="47064"/>
    <cellStyle name="Comma 5 6 4 3" xfId="42946"/>
    <cellStyle name="Comma 5 6 5" xfId="15523"/>
    <cellStyle name="Comma 5 6 5 2" xfId="44384"/>
    <cellStyle name="Comma 5 6 6" xfId="29748"/>
    <cellStyle name="Comma 5 7" xfId="1092"/>
    <cellStyle name="Comma 5 7 2" xfId="3979"/>
    <cellStyle name="Comma 5 7 2 2" xfId="10020"/>
    <cellStyle name="Comma 5 7 2 2 2" xfId="27067"/>
    <cellStyle name="Comma 5 7 2 2 2 2" xfId="55928"/>
    <cellStyle name="Comma 5 7 2 2 3" xfId="38881"/>
    <cellStyle name="Comma 5 7 2 3" xfId="21089"/>
    <cellStyle name="Comma 5 7 2 3 2" xfId="49950"/>
    <cellStyle name="Comma 5 7 2 4" xfId="32840"/>
    <cellStyle name="Comma 5 7 3" xfId="7134"/>
    <cellStyle name="Comma 5 7 3 2" xfId="24181"/>
    <cellStyle name="Comma 5 7 3 2 2" xfId="53042"/>
    <cellStyle name="Comma 5 7 3 3" xfId="35995"/>
    <cellStyle name="Comma 5 7 4" xfId="12387"/>
    <cellStyle name="Comma 5 7 4 2" xfId="18409"/>
    <cellStyle name="Comma 5 7 4 2 2" xfId="47270"/>
    <cellStyle name="Comma 5 7 4 3" xfId="41248"/>
    <cellStyle name="Comma 5 7 5" xfId="15729"/>
    <cellStyle name="Comma 5 7 5 2" xfId="44590"/>
    <cellStyle name="Comma 5 7 6" xfId="29954"/>
    <cellStyle name="Comma 5 8" xfId="1298"/>
    <cellStyle name="Comma 5 8 2" xfId="4185"/>
    <cellStyle name="Comma 5 8 2 2" xfId="10226"/>
    <cellStyle name="Comma 5 8 2 2 2" xfId="27273"/>
    <cellStyle name="Comma 5 8 2 2 2 2" xfId="56134"/>
    <cellStyle name="Comma 5 8 2 2 3" xfId="39087"/>
    <cellStyle name="Comma 5 8 2 3" xfId="21295"/>
    <cellStyle name="Comma 5 8 2 3 2" xfId="50156"/>
    <cellStyle name="Comma 5 8 2 4" xfId="33046"/>
    <cellStyle name="Comma 5 8 3" xfId="7340"/>
    <cellStyle name="Comma 5 8 3 2" xfId="24387"/>
    <cellStyle name="Comma 5 8 3 2 2" xfId="53248"/>
    <cellStyle name="Comma 5 8 3 3" xfId="36201"/>
    <cellStyle name="Comma 5 8 4" xfId="12948"/>
    <cellStyle name="Comma 5 8 4 2" xfId="18615"/>
    <cellStyle name="Comma 5 8 4 2 2" xfId="47476"/>
    <cellStyle name="Comma 5 8 4 3" xfId="41809"/>
    <cellStyle name="Comma 5 8 5" xfId="15935"/>
    <cellStyle name="Comma 5 8 5 2" xfId="44796"/>
    <cellStyle name="Comma 5 8 6" xfId="30160"/>
    <cellStyle name="Comma 5 9" xfId="1504"/>
    <cellStyle name="Comma 5 9 2" xfId="4391"/>
    <cellStyle name="Comma 5 9 2 2" xfId="10432"/>
    <cellStyle name="Comma 5 9 2 2 2" xfId="27479"/>
    <cellStyle name="Comma 5 9 2 2 2 2" xfId="56340"/>
    <cellStyle name="Comma 5 9 2 2 3" xfId="39293"/>
    <cellStyle name="Comma 5 9 2 3" xfId="21501"/>
    <cellStyle name="Comma 5 9 2 3 2" xfId="50362"/>
    <cellStyle name="Comma 5 9 2 4" xfId="33252"/>
    <cellStyle name="Comma 5 9 3" xfId="7546"/>
    <cellStyle name="Comma 5 9 3 2" xfId="24593"/>
    <cellStyle name="Comma 5 9 3 2 2" xfId="53454"/>
    <cellStyle name="Comma 5 9 3 3" xfId="36407"/>
    <cellStyle name="Comma 5 9 4" xfId="13300"/>
    <cellStyle name="Comma 5 9 4 2" xfId="18821"/>
    <cellStyle name="Comma 5 9 4 2 2" xfId="47682"/>
    <cellStyle name="Comma 5 9 4 3" xfId="42161"/>
    <cellStyle name="Comma 5 9 5" xfId="16141"/>
    <cellStyle name="Comma 5 9 5 2" xfId="45002"/>
    <cellStyle name="Comma 5 9 6" xfId="30366"/>
    <cellStyle name="Comma 6" xfId="158"/>
    <cellStyle name="Comma 6 10" xfId="1806"/>
    <cellStyle name="Comma 6 10 2" xfId="4693"/>
    <cellStyle name="Comma 6 10 2 2" xfId="10734"/>
    <cellStyle name="Comma 6 10 2 2 2" xfId="27781"/>
    <cellStyle name="Comma 6 10 2 2 2 2" xfId="56642"/>
    <cellStyle name="Comma 6 10 2 2 3" xfId="39595"/>
    <cellStyle name="Comma 6 10 2 3" xfId="21803"/>
    <cellStyle name="Comma 6 10 2 3 2" xfId="50664"/>
    <cellStyle name="Comma 6 10 2 4" xfId="33554"/>
    <cellStyle name="Comma 6 10 3" xfId="7848"/>
    <cellStyle name="Comma 6 10 3 2" xfId="24895"/>
    <cellStyle name="Comma 6 10 3 2 2" xfId="53756"/>
    <cellStyle name="Comma 6 10 3 3" xfId="36709"/>
    <cellStyle name="Comma 6 10 4" xfId="12204"/>
    <cellStyle name="Comma 6 10 4 2" xfId="19123"/>
    <cellStyle name="Comma 6 10 4 2 2" xfId="47984"/>
    <cellStyle name="Comma 6 10 4 3" xfId="41065"/>
    <cellStyle name="Comma 6 10 5" xfId="16443"/>
    <cellStyle name="Comma 6 10 5 2" xfId="45304"/>
    <cellStyle name="Comma 6 10 6" xfId="30668"/>
    <cellStyle name="Comma 6 11" xfId="2012"/>
    <cellStyle name="Comma 6 11 2" xfId="4899"/>
    <cellStyle name="Comma 6 11 2 2" xfId="10940"/>
    <cellStyle name="Comma 6 11 2 2 2" xfId="27987"/>
    <cellStyle name="Comma 6 11 2 2 2 2" xfId="56848"/>
    <cellStyle name="Comma 6 11 2 2 3" xfId="39801"/>
    <cellStyle name="Comma 6 11 2 3" xfId="22009"/>
    <cellStyle name="Comma 6 11 2 3 2" xfId="50870"/>
    <cellStyle name="Comma 6 11 2 4" xfId="33760"/>
    <cellStyle name="Comma 6 11 3" xfId="8054"/>
    <cellStyle name="Comma 6 11 3 2" xfId="25101"/>
    <cellStyle name="Comma 6 11 3 2 2" xfId="53962"/>
    <cellStyle name="Comma 6 11 3 3" xfId="36915"/>
    <cellStyle name="Comma 6 11 4" xfId="5861"/>
    <cellStyle name="Comma 6 11 4 2" xfId="19329"/>
    <cellStyle name="Comma 6 11 4 2 2" xfId="48190"/>
    <cellStyle name="Comma 6 11 4 3" xfId="34722"/>
    <cellStyle name="Comma 6 11 5" xfId="16649"/>
    <cellStyle name="Comma 6 11 5 2" xfId="45510"/>
    <cellStyle name="Comma 6 11 6" xfId="30874"/>
    <cellStyle name="Comma 6 12" xfId="2424"/>
    <cellStyle name="Comma 6 12 2" xfId="5311"/>
    <cellStyle name="Comma 6 12 2 2" xfId="11352"/>
    <cellStyle name="Comma 6 12 2 2 2" xfId="28399"/>
    <cellStyle name="Comma 6 12 2 2 2 2" xfId="57260"/>
    <cellStyle name="Comma 6 12 2 2 3" xfId="40213"/>
    <cellStyle name="Comma 6 12 2 3" xfId="22421"/>
    <cellStyle name="Comma 6 12 2 3 2" xfId="51282"/>
    <cellStyle name="Comma 6 12 2 4" xfId="34172"/>
    <cellStyle name="Comma 6 12 3" xfId="8466"/>
    <cellStyle name="Comma 6 12 3 2" xfId="25513"/>
    <cellStyle name="Comma 6 12 3 2 2" xfId="54374"/>
    <cellStyle name="Comma 6 12 3 3" xfId="37327"/>
    <cellStyle name="Comma 6 12 4" xfId="12313"/>
    <cellStyle name="Comma 6 12 4 2" xfId="19741"/>
    <cellStyle name="Comma 6 12 4 2 2" xfId="48602"/>
    <cellStyle name="Comma 6 12 4 3" xfId="41174"/>
    <cellStyle name="Comma 6 12 5" xfId="17061"/>
    <cellStyle name="Comma 6 12 5 2" xfId="45922"/>
    <cellStyle name="Comma 6 12 6" xfId="31286"/>
    <cellStyle name="Comma 6 13" xfId="2633"/>
    <cellStyle name="Comma 6 13 2" xfId="5519"/>
    <cellStyle name="Comma 6 13 2 2" xfId="11560"/>
    <cellStyle name="Comma 6 13 2 2 2" xfId="28607"/>
    <cellStyle name="Comma 6 13 2 2 2 2" xfId="57468"/>
    <cellStyle name="Comma 6 13 2 2 3" xfId="40421"/>
    <cellStyle name="Comma 6 13 2 3" xfId="22629"/>
    <cellStyle name="Comma 6 13 2 3 2" xfId="51490"/>
    <cellStyle name="Comma 6 13 2 4" xfId="34380"/>
    <cellStyle name="Comma 6 13 3" xfId="8674"/>
    <cellStyle name="Comma 6 13 3 2" xfId="25721"/>
    <cellStyle name="Comma 6 13 3 2 2" xfId="54582"/>
    <cellStyle name="Comma 6 13 3 3" xfId="37535"/>
    <cellStyle name="Comma 6 13 4" xfId="12348"/>
    <cellStyle name="Comma 6 13 4 2" xfId="19949"/>
    <cellStyle name="Comma 6 13 4 2 2" xfId="48810"/>
    <cellStyle name="Comma 6 13 4 3" xfId="41209"/>
    <cellStyle name="Comma 6 13 5" xfId="17269"/>
    <cellStyle name="Comma 6 13 5 2" xfId="46130"/>
    <cellStyle name="Comma 6 13 6" xfId="31494"/>
    <cellStyle name="Comma 6 14" xfId="3045"/>
    <cellStyle name="Comma 6 14 2" xfId="9086"/>
    <cellStyle name="Comma 6 14 2 2" xfId="26133"/>
    <cellStyle name="Comma 6 14 2 2 2" xfId="54994"/>
    <cellStyle name="Comma 6 14 2 3" xfId="37947"/>
    <cellStyle name="Comma 6 14 3" xfId="13638"/>
    <cellStyle name="Comma 6 14 3 2" xfId="20155"/>
    <cellStyle name="Comma 6 14 3 2 2" xfId="49016"/>
    <cellStyle name="Comma 6 14 3 3" xfId="42499"/>
    <cellStyle name="Comma 6 14 4" xfId="14795"/>
    <cellStyle name="Comma 6 14 4 2" xfId="43656"/>
    <cellStyle name="Comma 6 14 5" xfId="31906"/>
    <cellStyle name="Comma 6 15" xfId="2839"/>
    <cellStyle name="Comma 6 15 2" xfId="8880"/>
    <cellStyle name="Comma 6 15 2 2" xfId="25927"/>
    <cellStyle name="Comma 6 15 2 2 2" xfId="54788"/>
    <cellStyle name="Comma 6 15 2 3" xfId="37741"/>
    <cellStyle name="Comma 6 15 3" xfId="17475"/>
    <cellStyle name="Comma 6 15 3 2" xfId="46336"/>
    <cellStyle name="Comma 6 15 4" xfId="31700"/>
    <cellStyle name="Comma 6 16" xfId="5725"/>
    <cellStyle name="Comma 6 16 2" xfId="11766"/>
    <cellStyle name="Comma 6 16 2 2" xfId="28813"/>
    <cellStyle name="Comma 6 16 2 2 2" xfId="57674"/>
    <cellStyle name="Comma 6 16 2 3" xfId="40627"/>
    <cellStyle name="Comma 6 16 3" xfId="22835"/>
    <cellStyle name="Comma 6 16 3 2" xfId="51696"/>
    <cellStyle name="Comma 6 16 4" xfId="34586"/>
    <cellStyle name="Comma 6 17" xfId="5942"/>
    <cellStyle name="Comma 6 17 2" xfId="23041"/>
    <cellStyle name="Comma 6 17 2 2" xfId="51902"/>
    <cellStyle name="Comma 6 17 3" xfId="34803"/>
    <cellStyle name="Comma 6 18" xfId="6200"/>
    <cellStyle name="Comma 6 18 2" xfId="23247"/>
    <cellStyle name="Comma 6 18 2 2" xfId="52108"/>
    <cellStyle name="Comma 6 18 3" xfId="35061"/>
    <cellStyle name="Comma 6 19" xfId="14589"/>
    <cellStyle name="Comma 6 19 2" xfId="43450"/>
    <cellStyle name="Comma 6 2" xfId="364"/>
    <cellStyle name="Comma 6 2 10" xfId="2527"/>
    <cellStyle name="Comma 6 2 10 2" xfId="5414"/>
    <cellStyle name="Comma 6 2 10 2 2" xfId="11455"/>
    <cellStyle name="Comma 6 2 10 2 2 2" xfId="28502"/>
    <cellStyle name="Comma 6 2 10 2 2 2 2" xfId="57363"/>
    <cellStyle name="Comma 6 2 10 2 2 3" xfId="40316"/>
    <cellStyle name="Comma 6 2 10 2 3" xfId="22524"/>
    <cellStyle name="Comma 6 2 10 2 3 2" xfId="51385"/>
    <cellStyle name="Comma 6 2 10 2 4" xfId="34275"/>
    <cellStyle name="Comma 6 2 10 3" xfId="8569"/>
    <cellStyle name="Comma 6 2 10 3 2" xfId="25616"/>
    <cellStyle name="Comma 6 2 10 3 2 2" xfId="54477"/>
    <cellStyle name="Comma 6 2 10 3 3" xfId="37430"/>
    <cellStyle name="Comma 6 2 10 4" xfId="12771"/>
    <cellStyle name="Comma 6 2 10 4 2" xfId="19844"/>
    <cellStyle name="Comma 6 2 10 4 2 2" xfId="48705"/>
    <cellStyle name="Comma 6 2 10 4 3" xfId="41632"/>
    <cellStyle name="Comma 6 2 10 5" xfId="17164"/>
    <cellStyle name="Comma 6 2 10 5 2" xfId="46025"/>
    <cellStyle name="Comma 6 2 10 6" xfId="31389"/>
    <cellStyle name="Comma 6 2 11" xfId="2736"/>
    <cellStyle name="Comma 6 2 11 2" xfId="5622"/>
    <cellStyle name="Comma 6 2 11 2 2" xfId="11663"/>
    <cellStyle name="Comma 6 2 11 2 2 2" xfId="28710"/>
    <cellStyle name="Comma 6 2 11 2 2 2 2" xfId="57571"/>
    <cellStyle name="Comma 6 2 11 2 2 3" xfId="40524"/>
    <cellStyle name="Comma 6 2 11 2 3" xfId="22732"/>
    <cellStyle name="Comma 6 2 11 2 3 2" xfId="51593"/>
    <cellStyle name="Comma 6 2 11 2 4" xfId="34483"/>
    <cellStyle name="Comma 6 2 11 3" xfId="8777"/>
    <cellStyle name="Comma 6 2 11 3 2" xfId="25824"/>
    <cellStyle name="Comma 6 2 11 3 2 2" xfId="54685"/>
    <cellStyle name="Comma 6 2 11 3 3" xfId="37638"/>
    <cellStyle name="Comma 6 2 11 4" xfId="13306"/>
    <cellStyle name="Comma 6 2 11 4 2" xfId="20052"/>
    <cellStyle name="Comma 6 2 11 4 2 2" xfId="48913"/>
    <cellStyle name="Comma 6 2 11 4 3" xfId="42167"/>
    <cellStyle name="Comma 6 2 11 5" xfId="17372"/>
    <cellStyle name="Comma 6 2 11 5 2" xfId="46233"/>
    <cellStyle name="Comma 6 2 11 6" xfId="31597"/>
    <cellStyle name="Comma 6 2 12" xfId="3251"/>
    <cellStyle name="Comma 6 2 12 2" xfId="9292"/>
    <cellStyle name="Comma 6 2 12 2 2" xfId="26339"/>
    <cellStyle name="Comma 6 2 12 2 2 2" xfId="55200"/>
    <cellStyle name="Comma 6 2 12 2 3" xfId="38153"/>
    <cellStyle name="Comma 6 2 12 3" xfId="13869"/>
    <cellStyle name="Comma 6 2 12 3 2" xfId="20361"/>
    <cellStyle name="Comma 6 2 12 3 2 2" xfId="49222"/>
    <cellStyle name="Comma 6 2 12 3 3" xfId="42730"/>
    <cellStyle name="Comma 6 2 12 4" xfId="15001"/>
    <cellStyle name="Comma 6 2 12 4 2" xfId="43862"/>
    <cellStyle name="Comma 6 2 12 5" xfId="32112"/>
    <cellStyle name="Comma 6 2 13" xfId="2942"/>
    <cellStyle name="Comma 6 2 13 2" xfId="8983"/>
    <cellStyle name="Comma 6 2 13 2 2" xfId="26030"/>
    <cellStyle name="Comma 6 2 13 2 2 2" xfId="54891"/>
    <cellStyle name="Comma 6 2 13 2 3" xfId="37844"/>
    <cellStyle name="Comma 6 2 13 3" xfId="17578"/>
    <cellStyle name="Comma 6 2 13 3 2" xfId="46439"/>
    <cellStyle name="Comma 6 2 13 4" xfId="31803"/>
    <cellStyle name="Comma 6 2 14" xfId="5828"/>
    <cellStyle name="Comma 6 2 14 2" xfId="11869"/>
    <cellStyle name="Comma 6 2 14 2 2" xfId="28916"/>
    <cellStyle name="Comma 6 2 14 2 2 2" xfId="57777"/>
    <cellStyle name="Comma 6 2 14 2 3" xfId="40730"/>
    <cellStyle name="Comma 6 2 14 3" xfId="22938"/>
    <cellStyle name="Comma 6 2 14 3 2" xfId="51799"/>
    <cellStyle name="Comma 6 2 14 4" xfId="34689"/>
    <cellStyle name="Comma 6 2 15" xfId="6045"/>
    <cellStyle name="Comma 6 2 15 2" xfId="23144"/>
    <cellStyle name="Comma 6 2 15 2 2" xfId="52005"/>
    <cellStyle name="Comma 6 2 15 3" xfId="34906"/>
    <cellStyle name="Comma 6 2 16" xfId="6406"/>
    <cellStyle name="Comma 6 2 16 2" xfId="23453"/>
    <cellStyle name="Comma 6 2 16 2 2" xfId="52314"/>
    <cellStyle name="Comma 6 2 16 3" xfId="35267"/>
    <cellStyle name="Comma 6 2 17" xfId="14692"/>
    <cellStyle name="Comma 6 2 17 2" xfId="43553"/>
    <cellStyle name="Comma 6 2 18" xfId="29226"/>
    <cellStyle name="Comma 6 2 2" xfId="570"/>
    <cellStyle name="Comma 6 2 2 2" xfId="2321"/>
    <cellStyle name="Comma 6 2 2 2 2" xfId="5208"/>
    <cellStyle name="Comma 6 2 2 2 2 2" xfId="11249"/>
    <cellStyle name="Comma 6 2 2 2 2 2 2" xfId="28296"/>
    <cellStyle name="Comma 6 2 2 2 2 2 2 2" xfId="57157"/>
    <cellStyle name="Comma 6 2 2 2 2 2 3" xfId="40110"/>
    <cellStyle name="Comma 6 2 2 2 2 3" xfId="22318"/>
    <cellStyle name="Comma 6 2 2 2 2 3 2" xfId="51179"/>
    <cellStyle name="Comma 6 2 2 2 2 4" xfId="34069"/>
    <cellStyle name="Comma 6 2 2 2 3" xfId="8363"/>
    <cellStyle name="Comma 6 2 2 2 3 2" xfId="25410"/>
    <cellStyle name="Comma 6 2 2 2 3 2 2" xfId="54271"/>
    <cellStyle name="Comma 6 2 2 2 3 3" xfId="37224"/>
    <cellStyle name="Comma 6 2 2 2 4" xfId="14107"/>
    <cellStyle name="Comma 6 2 2 2 4 2" xfId="19638"/>
    <cellStyle name="Comma 6 2 2 2 4 2 2" xfId="48499"/>
    <cellStyle name="Comma 6 2 2 2 4 3" xfId="42968"/>
    <cellStyle name="Comma 6 2 2 2 5" xfId="16958"/>
    <cellStyle name="Comma 6 2 2 2 5 2" xfId="45819"/>
    <cellStyle name="Comma 6 2 2 2 6" xfId="31183"/>
    <cellStyle name="Comma 6 2 2 3" xfId="3457"/>
    <cellStyle name="Comma 6 2 2 3 2" xfId="9498"/>
    <cellStyle name="Comma 6 2 2 3 2 2" xfId="26545"/>
    <cellStyle name="Comma 6 2 2 3 2 2 2" xfId="55406"/>
    <cellStyle name="Comma 6 2 2 3 2 3" xfId="38359"/>
    <cellStyle name="Comma 6 2 2 3 3" xfId="20567"/>
    <cellStyle name="Comma 6 2 2 3 3 2" xfId="49428"/>
    <cellStyle name="Comma 6 2 2 3 4" xfId="32318"/>
    <cellStyle name="Comma 6 2 2 4" xfId="6612"/>
    <cellStyle name="Comma 6 2 2 4 2" xfId="23659"/>
    <cellStyle name="Comma 6 2 2 4 2 2" xfId="52520"/>
    <cellStyle name="Comma 6 2 2 4 3" xfId="35473"/>
    <cellStyle name="Comma 6 2 2 5" xfId="12996"/>
    <cellStyle name="Comma 6 2 2 5 2" xfId="17887"/>
    <cellStyle name="Comma 6 2 2 5 2 2" xfId="46748"/>
    <cellStyle name="Comma 6 2 2 5 3" xfId="41857"/>
    <cellStyle name="Comma 6 2 2 6" xfId="15207"/>
    <cellStyle name="Comma 6 2 2 6 2" xfId="44068"/>
    <cellStyle name="Comma 6 2 2 7" xfId="29432"/>
    <cellStyle name="Comma 6 2 3" xfId="879"/>
    <cellStyle name="Comma 6 2 3 2" xfId="3766"/>
    <cellStyle name="Comma 6 2 3 2 2" xfId="9807"/>
    <cellStyle name="Comma 6 2 3 2 2 2" xfId="26854"/>
    <cellStyle name="Comma 6 2 3 2 2 2 2" xfId="55715"/>
    <cellStyle name="Comma 6 2 3 2 2 3" xfId="38668"/>
    <cellStyle name="Comma 6 2 3 2 3" xfId="20876"/>
    <cellStyle name="Comma 6 2 3 2 3 2" xfId="49737"/>
    <cellStyle name="Comma 6 2 3 2 4" xfId="32627"/>
    <cellStyle name="Comma 6 2 3 3" xfId="6921"/>
    <cellStyle name="Comma 6 2 3 3 2" xfId="23968"/>
    <cellStyle name="Comma 6 2 3 3 2 2" xfId="52829"/>
    <cellStyle name="Comma 6 2 3 3 3" xfId="35782"/>
    <cellStyle name="Comma 6 2 3 4" xfId="12813"/>
    <cellStyle name="Comma 6 2 3 4 2" xfId="18196"/>
    <cellStyle name="Comma 6 2 3 4 2 2" xfId="47057"/>
    <cellStyle name="Comma 6 2 3 4 3" xfId="41674"/>
    <cellStyle name="Comma 6 2 3 5" xfId="15516"/>
    <cellStyle name="Comma 6 2 3 5 2" xfId="44377"/>
    <cellStyle name="Comma 6 2 3 6" xfId="29741"/>
    <cellStyle name="Comma 6 2 4" xfId="1085"/>
    <cellStyle name="Comma 6 2 4 2" xfId="3972"/>
    <cellStyle name="Comma 6 2 4 2 2" xfId="10013"/>
    <cellStyle name="Comma 6 2 4 2 2 2" xfId="27060"/>
    <cellStyle name="Comma 6 2 4 2 2 2 2" xfId="55921"/>
    <cellStyle name="Comma 6 2 4 2 2 3" xfId="38874"/>
    <cellStyle name="Comma 6 2 4 2 3" xfId="21082"/>
    <cellStyle name="Comma 6 2 4 2 3 2" xfId="49943"/>
    <cellStyle name="Comma 6 2 4 2 4" xfId="32833"/>
    <cellStyle name="Comma 6 2 4 3" xfId="7127"/>
    <cellStyle name="Comma 6 2 4 3 2" xfId="24174"/>
    <cellStyle name="Comma 6 2 4 3 2 2" xfId="53035"/>
    <cellStyle name="Comma 6 2 4 3 3" xfId="35988"/>
    <cellStyle name="Comma 6 2 4 4" xfId="13489"/>
    <cellStyle name="Comma 6 2 4 4 2" xfId="18402"/>
    <cellStyle name="Comma 6 2 4 4 2 2" xfId="47263"/>
    <cellStyle name="Comma 6 2 4 4 3" xfId="42350"/>
    <cellStyle name="Comma 6 2 4 5" xfId="15722"/>
    <cellStyle name="Comma 6 2 4 5 2" xfId="44583"/>
    <cellStyle name="Comma 6 2 4 6" xfId="29947"/>
    <cellStyle name="Comma 6 2 5" xfId="1291"/>
    <cellStyle name="Comma 6 2 5 2" xfId="4178"/>
    <cellStyle name="Comma 6 2 5 2 2" xfId="10219"/>
    <cellStyle name="Comma 6 2 5 2 2 2" xfId="27266"/>
    <cellStyle name="Comma 6 2 5 2 2 2 2" xfId="56127"/>
    <cellStyle name="Comma 6 2 5 2 2 3" xfId="39080"/>
    <cellStyle name="Comma 6 2 5 2 3" xfId="21288"/>
    <cellStyle name="Comma 6 2 5 2 3 2" xfId="50149"/>
    <cellStyle name="Comma 6 2 5 2 4" xfId="33039"/>
    <cellStyle name="Comma 6 2 5 3" xfId="7333"/>
    <cellStyle name="Comma 6 2 5 3 2" xfId="24380"/>
    <cellStyle name="Comma 6 2 5 3 2 2" xfId="53241"/>
    <cellStyle name="Comma 6 2 5 3 3" xfId="36194"/>
    <cellStyle name="Comma 6 2 5 4" xfId="13997"/>
    <cellStyle name="Comma 6 2 5 4 2" xfId="18608"/>
    <cellStyle name="Comma 6 2 5 4 2 2" xfId="47469"/>
    <cellStyle name="Comma 6 2 5 4 3" xfId="42858"/>
    <cellStyle name="Comma 6 2 5 5" xfId="15928"/>
    <cellStyle name="Comma 6 2 5 5 2" xfId="44789"/>
    <cellStyle name="Comma 6 2 5 6" xfId="30153"/>
    <cellStyle name="Comma 6 2 6" xfId="1497"/>
    <cellStyle name="Comma 6 2 6 2" xfId="4384"/>
    <cellStyle name="Comma 6 2 6 2 2" xfId="10425"/>
    <cellStyle name="Comma 6 2 6 2 2 2" xfId="27472"/>
    <cellStyle name="Comma 6 2 6 2 2 2 2" xfId="56333"/>
    <cellStyle name="Comma 6 2 6 2 2 3" xfId="39286"/>
    <cellStyle name="Comma 6 2 6 2 3" xfId="21494"/>
    <cellStyle name="Comma 6 2 6 2 3 2" xfId="50355"/>
    <cellStyle name="Comma 6 2 6 2 4" xfId="33245"/>
    <cellStyle name="Comma 6 2 6 3" xfId="7539"/>
    <cellStyle name="Comma 6 2 6 3 2" xfId="24586"/>
    <cellStyle name="Comma 6 2 6 3 2 2" xfId="53447"/>
    <cellStyle name="Comma 6 2 6 3 3" xfId="36400"/>
    <cellStyle name="Comma 6 2 6 4" xfId="12522"/>
    <cellStyle name="Comma 6 2 6 4 2" xfId="18814"/>
    <cellStyle name="Comma 6 2 6 4 2 2" xfId="47675"/>
    <cellStyle name="Comma 6 2 6 4 3" xfId="41383"/>
    <cellStyle name="Comma 6 2 6 5" xfId="16134"/>
    <cellStyle name="Comma 6 2 6 5 2" xfId="44995"/>
    <cellStyle name="Comma 6 2 6 6" xfId="30359"/>
    <cellStyle name="Comma 6 2 7" xfId="1703"/>
    <cellStyle name="Comma 6 2 7 2" xfId="4590"/>
    <cellStyle name="Comma 6 2 7 2 2" xfId="10631"/>
    <cellStyle name="Comma 6 2 7 2 2 2" xfId="27678"/>
    <cellStyle name="Comma 6 2 7 2 2 2 2" xfId="56539"/>
    <cellStyle name="Comma 6 2 7 2 2 3" xfId="39492"/>
    <cellStyle name="Comma 6 2 7 2 3" xfId="21700"/>
    <cellStyle name="Comma 6 2 7 2 3 2" xfId="50561"/>
    <cellStyle name="Comma 6 2 7 2 4" xfId="33451"/>
    <cellStyle name="Comma 6 2 7 3" xfId="7745"/>
    <cellStyle name="Comma 6 2 7 3 2" xfId="24792"/>
    <cellStyle name="Comma 6 2 7 3 2 2" xfId="53653"/>
    <cellStyle name="Comma 6 2 7 3 3" xfId="36606"/>
    <cellStyle name="Comma 6 2 7 4" xfId="13332"/>
    <cellStyle name="Comma 6 2 7 4 2" xfId="19020"/>
    <cellStyle name="Comma 6 2 7 4 2 2" xfId="47881"/>
    <cellStyle name="Comma 6 2 7 4 3" xfId="42193"/>
    <cellStyle name="Comma 6 2 7 5" xfId="16340"/>
    <cellStyle name="Comma 6 2 7 5 2" xfId="45201"/>
    <cellStyle name="Comma 6 2 7 6" xfId="30565"/>
    <cellStyle name="Comma 6 2 8" xfId="1909"/>
    <cellStyle name="Comma 6 2 8 2" xfId="4796"/>
    <cellStyle name="Comma 6 2 8 2 2" xfId="10837"/>
    <cellStyle name="Comma 6 2 8 2 2 2" xfId="27884"/>
    <cellStyle name="Comma 6 2 8 2 2 2 2" xfId="56745"/>
    <cellStyle name="Comma 6 2 8 2 2 3" xfId="39698"/>
    <cellStyle name="Comma 6 2 8 2 3" xfId="21906"/>
    <cellStyle name="Comma 6 2 8 2 3 2" xfId="50767"/>
    <cellStyle name="Comma 6 2 8 2 4" xfId="33657"/>
    <cellStyle name="Comma 6 2 8 3" xfId="7951"/>
    <cellStyle name="Comma 6 2 8 3 2" xfId="24998"/>
    <cellStyle name="Comma 6 2 8 3 2 2" xfId="53859"/>
    <cellStyle name="Comma 6 2 8 3 3" xfId="36812"/>
    <cellStyle name="Comma 6 2 8 4" xfId="13540"/>
    <cellStyle name="Comma 6 2 8 4 2" xfId="19226"/>
    <cellStyle name="Comma 6 2 8 4 2 2" xfId="48087"/>
    <cellStyle name="Comma 6 2 8 4 3" xfId="42401"/>
    <cellStyle name="Comma 6 2 8 5" xfId="16546"/>
    <cellStyle name="Comma 6 2 8 5 2" xfId="45407"/>
    <cellStyle name="Comma 6 2 8 6" xfId="30771"/>
    <cellStyle name="Comma 6 2 9" xfId="2115"/>
    <cellStyle name="Comma 6 2 9 2" xfId="5002"/>
    <cellStyle name="Comma 6 2 9 2 2" xfId="11043"/>
    <cellStyle name="Comma 6 2 9 2 2 2" xfId="28090"/>
    <cellStyle name="Comma 6 2 9 2 2 2 2" xfId="56951"/>
    <cellStyle name="Comma 6 2 9 2 2 3" xfId="39904"/>
    <cellStyle name="Comma 6 2 9 2 3" xfId="22112"/>
    <cellStyle name="Comma 6 2 9 2 3 2" xfId="50973"/>
    <cellStyle name="Comma 6 2 9 2 4" xfId="33863"/>
    <cellStyle name="Comma 6 2 9 3" xfId="8157"/>
    <cellStyle name="Comma 6 2 9 3 2" xfId="25204"/>
    <cellStyle name="Comma 6 2 9 3 2 2" xfId="54065"/>
    <cellStyle name="Comma 6 2 9 3 3" xfId="37018"/>
    <cellStyle name="Comma 6 2 9 4" xfId="12595"/>
    <cellStyle name="Comma 6 2 9 4 2" xfId="19432"/>
    <cellStyle name="Comma 6 2 9 4 2 2" xfId="48293"/>
    <cellStyle name="Comma 6 2 9 4 3" xfId="41456"/>
    <cellStyle name="Comma 6 2 9 5" xfId="16752"/>
    <cellStyle name="Comma 6 2 9 5 2" xfId="45613"/>
    <cellStyle name="Comma 6 2 9 6" xfId="30977"/>
    <cellStyle name="Comma 6 20" xfId="29020"/>
    <cellStyle name="Comma 6 3" xfId="261"/>
    <cellStyle name="Comma 6 3 2" xfId="673"/>
    <cellStyle name="Comma 6 3 2 2" xfId="3560"/>
    <cellStyle name="Comma 6 3 2 2 2" xfId="9601"/>
    <cellStyle name="Comma 6 3 2 2 2 2" xfId="26648"/>
    <cellStyle name="Comma 6 3 2 2 2 2 2" xfId="55509"/>
    <cellStyle name="Comma 6 3 2 2 2 3" xfId="38462"/>
    <cellStyle name="Comma 6 3 2 2 3" xfId="20670"/>
    <cellStyle name="Comma 6 3 2 2 3 2" xfId="49531"/>
    <cellStyle name="Comma 6 3 2 2 4" xfId="32421"/>
    <cellStyle name="Comma 6 3 2 3" xfId="6715"/>
    <cellStyle name="Comma 6 3 2 3 2" xfId="23762"/>
    <cellStyle name="Comma 6 3 2 3 2 2" xfId="52623"/>
    <cellStyle name="Comma 6 3 2 3 3" xfId="35576"/>
    <cellStyle name="Comma 6 3 2 4" xfId="14245"/>
    <cellStyle name="Comma 6 3 2 4 2" xfId="17990"/>
    <cellStyle name="Comma 6 3 2 4 2 2" xfId="46851"/>
    <cellStyle name="Comma 6 3 2 4 3" xfId="43106"/>
    <cellStyle name="Comma 6 3 2 5" xfId="15310"/>
    <cellStyle name="Comma 6 3 2 5 2" xfId="44171"/>
    <cellStyle name="Comma 6 3 2 6" xfId="29535"/>
    <cellStyle name="Comma 6 3 3" xfId="2218"/>
    <cellStyle name="Comma 6 3 3 2" xfId="5105"/>
    <cellStyle name="Comma 6 3 3 2 2" xfId="11146"/>
    <cellStyle name="Comma 6 3 3 2 2 2" xfId="28193"/>
    <cellStyle name="Comma 6 3 3 2 2 2 2" xfId="57054"/>
    <cellStyle name="Comma 6 3 3 2 2 3" xfId="40007"/>
    <cellStyle name="Comma 6 3 3 2 3" xfId="22215"/>
    <cellStyle name="Comma 6 3 3 2 3 2" xfId="51076"/>
    <cellStyle name="Comma 6 3 3 2 4" xfId="33966"/>
    <cellStyle name="Comma 6 3 3 3" xfId="8260"/>
    <cellStyle name="Comma 6 3 3 3 2" xfId="25307"/>
    <cellStyle name="Comma 6 3 3 3 2 2" xfId="54168"/>
    <cellStyle name="Comma 6 3 3 3 3" xfId="37121"/>
    <cellStyle name="Comma 6 3 3 4" xfId="12917"/>
    <cellStyle name="Comma 6 3 3 4 2" xfId="19535"/>
    <cellStyle name="Comma 6 3 3 4 2 2" xfId="48396"/>
    <cellStyle name="Comma 6 3 3 4 3" xfId="41778"/>
    <cellStyle name="Comma 6 3 3 5" xfId="16855"/>
    <cellStyle name="Comma 6 3 3 5 2" xfId="45716"/>
    <cellStyle name="Comma 6 3 3 6" xfId="31080"/>
    <cellStyle name="Comma 6 3 4" xfId="3148"/>
    <cellStyle name="Comma 6 3 4 2" xfId="9189"/>
    <cellStyle name="Comma 6 3 4 2 2" xfId="26236"/>
    <cellStyle name="Comma 6 3 4 2 2 2" xfId="55097"/>
    <cellStyle name="Comma 6 3 4 2 3" xfId="38050"/>
    <cellStyle name="Comma 6 3 4 3" xfId="20258"/>
    <cellStyle name="Comma 6 3 4 3 2" xfId="49119"/>
    <cellStyle name="Comma 6 3 4 4" xfId="32009"/>
    <cellStyle name="Comma 6 3 5" xfId="6303"/>
    <cellStyle name="Comma 6 3 5 2" xfId="23350"/>
    <cellStyle name="Comma 6 3 5 2 2" xfId="52211"/>
    <cellStyle name="Comma 6 3 5 3" xfId="35164"/>
    <cellStyle name="Comma 6 3 6" xfId="13905"/>
    <cellStyle name="Comma 6 3 6 2" xfId="17681"/>
    <cellStyle name="Comma 6 3 6 2 2" xfId="46542"/>
    <cellStyle name="Comma 6 3 6 3" xfId="42766"/>
    <cellStyle name="Comma 6 3 7" xfId="14898"/>
    <cellStyle name="Comma 6 3 7 2" xfId="43759"/>
    <cellStyle name="Comma 6 3 8" xfId="29123"/>
    <cellStyle name="Comma 6 4" xfId="467"/>
    <cellStyle name="Comma 6 4 2" xfId="3354"/>
    <cellStyle name="Comma 6 4 2 2" xfId="9395"/>
    <cellStyle name="Comma 6 4 2 2 2" xfId="26442"/>
    <cellStyle name="Comma 6 4 2 2 2 2" xfId="55303"/>
    <cellStyle name="Comma 6 4 2 2 3" xfId="38256"/>
    <cellStyle name="Comma 6 4 2 3" xfId="20464"/>
    <cellStyle name="Comma 6 4 2 3 2" xfId="49325"/>
    <cellStyle name="Comma 6 4 2 4" xfId="32215"/>
    <cellStyle name="Comma 6 4 3" xfId="6509"/>
    <cellStyle name="Comma 6 4 3 2" xfId="23556"/>
    <cellStyle name="Comma 6 4 3 2 2" xfId="52417"/>
    <cellStyle name="Comma 6 4 3 3" xfId="35370"/>
    <cellStyle name="Comma 6 4 4" xfId="13255"/>
    <cellStyle name="Comma 6 4 4 2" xfId="17784"/>
    <cellStyle name="Comma 6 4 4 2 2" xfId="46645"/>
    <cellStyle name="Comma 6 4 4 3" xfId="42116"/>
    <cellStyle name="Comma 6 4 5" xfId="15104"/>
    <cellStyle name="Comma 6 4 5 2" xfId="43965"/>
    <cellStyle name="Comma 6 4 6" xfId="29329"/>
    <cellStyle name="Comma 6 5" xfId="776"/>
    <cellStyle name="Comma 6 5 2" xfId="3663"/>
    <cellStyle name="Comma 6 5 2 2" xfId="9704"/>
    <cellStyle name="Comma 6 5 2 2 2" xfId="26751"/>
    <cellStyle name="Comma 6 5 2 2 2 2" xfId="55612"/>
    <cellStyle name="Comma 6 5 2 2 3" xfId="38565"/>
    <cellStyle name="Comma 6 5 2 3" xfId="20773"/>
    <cellStyle name="Comma 6 5 2 3 2" xfId="49634"/>
    <cellStyle name="Comma 6 5 2 4" xfId="32524"/>
    <cellStyle name="Comma 6 5 3" xfId="6818"/>
    <cellStyle name="Comma 6 5 3 2" xfId="23865"/>
    <cellStyle name="Comma 6 5 3 2 2" xfId="52726"/>
    <cellStyle name="Comma 6 5 3 3" xfId="35679"/>
    <cellStyle name="Comma 6 5 4" xfId="12591"/>
    <cellStyle name="Comma 6 5 4 2" xfId="18093"/>
    <cellStyle name="Comma 6 5 4 2 2" xfId="46954"/>
    <cellStyle name="Comma 6 5 4 3" xfId="41452"/>
    <cellStyle name="Comma 6 5 5" xfId="15413"/>
    <cellStyle name="Comma 6 5 5 2" xfId="44274"/>
    <cellStyle name="Comma 6 5 6" xfId="29638"/>
    <cellStyle name="Comma 6 6" xfId="982"/>
    <cellStyle name="Comma 6 6 2" xfId="3869"/>
    <cellStyle name="Comma 6 6 2 2" xfId="9910"/>
    <cellStyle name="Comma 6 6 2 2 2" xfId="26957"/>
    <cellStyle name="Comma 6 6 2 2 2 2" xfId="55818"/>
    <cellStyle name="Comma 6 6 2 2 3" xfId="38771"/>
    <cellStyle name="Comma 6 6 2 3" xfId="20979"/>
    <cellStyle name="Comma 6 6 2 3 2" xfId="49840"/>
    <cellStyle name="Comma 6 6 2 4" xfId="32730"/>
    <cellStyle name="Comma 6 6 3" xfId="7024"/>
    <cellStyle name="Comma 6 6 3 2" xfId="24071"/>
    <cellStyle name="Comma 6 6 3 2 2" xfId="52932"/>
    <cellStyle name="Comma 6 6 3 3" xfId="35885"/>
    <cellStyle name="Comma 6 6 4" xfId="11999"/>
    <cellStyle name="Comma 6 6 4 2" xfId="18299"/>
    <cellStyle name="Comma 6 6 4 2 2" xfId="47160"/>
    <cellStyle name="Comma 6 6 4 3" xfId="40860"/>
    <cellStyle name="Comma 6 6 5" xfId="15619"/>
    <cellStyle name="Comma 6 6 5 2" xfId="44480"/>
    <cellStyle name="Comma 6 6 6" xfId="29844"/>
    <cellStyle name="Comma 6 7" xfId="1188"/>
    <cellStyle name="Comma 6 7 2" xfId="4075"/>
    <cellStyle name="Comma 6 7 2 2" xfId="10116"/>
    <cellStyle name="Comma 6 7 2 2 2" xfId="27163"/>
    <cellStyle name="Comma 6 7 2 2 2 2" xfId="56024"/>
    <cellStyle name="Comma 6 7 2 2 3" xfId="38977"/>
    <cellStyle name="Comma 6 7 2 3" xfId="21185"/>
    <cellStyle name="Comma 6 7 2 3 2" xfId="50046"/>
    <cellStyle name="Comma 6 7 2 4" xfId="32936"/>
    <cellStyle name="Comma 6 7 3" xfId="7230"/>
    <cellStyle name="Comma 6 7 3 2" xfId="24277"/>
    <cellStyle name="Comma 6 7 3 2 2" xfId="53138"/>
    <cellStyle name="Comma 6 7 3 3" xfId="36091"/>
    <cellStyle name="Comma 6 7 4" xfId="14101"/>
    <cellStyle name="Comma 6 7 4 2" xfId="18505"/>
    <cellStyle name="Comma 6 7 4 2 2" xfId="47366"/>
    <cellStyle name="Comma 6 7 4 3" xfId="42962"/>
    <cellStyle name="Comma 6 7 5" xfId="15825"/>
    <cellStyle name="Comma 6 7 5 2" xfId="44686"/>
    <cellStyle name="Comma 6 7 6" xfId="30050"/>
    <cellStyle name="Comma 6 8" xfId="1394"/>
    <cellStyle name="Comma 6 8 2" xfId="4281"/>
    <cellStyle name="Comma 6 8 2 2" xfId="10322"/>
    <cellStyle name="Comma 6 8 2 2 2" xfId="27369"/>
    <cellStyle name="Comma 6 8 2 2 2 2" xfId="56230"/>
    <cellStyle name="Comma 6 8 2 2 3" xfId="39183"/>
    <cellStyle name="Comma 6 8 2 3" xfId="21391"/>
    <cellStyle name="Comma 6 8 2 3 2" xfId="50252"/>
    <cellStyle name="Comma 6 8 2 4" xfId="33142"/>
    <cellStyle name="Comma 6 8 3" xfId="7436"/>
    <cellStyle name="Comma 6 8 3 2" xfId="24483"/>
    <cellStyle name="Comma 6 8 3 2 2" xfId="53344"/>
    <cellStyle name="Comma 6 8 3 3" xfId="36297"/>
    <cellStyle name="Comma 6 8 4" xfId="13137"/>
    <cellStyle name="Comma 6 8 4 2" xfId="18711"/>
    <cellStyle name="Comma 6 8 4 2 2" xfId="47572"/>
    <cellStyle name="Comma 6 8 4 3" xfId="41998"/>
    <cellStyle name="Comma 6 8 5" xfId="16031"/>
    <cellStyle name="Comma 6 8 5 2" xfId="44892"/>
    <cellStyle name="Comma 6 8 6" xfId="30256"/>
    <cellStyle name="Comma 6 9" xfId="1600"/>
    <cellStyle name="Comma 6 9 2" xfId="4487"/>
    <cellStyle name="Comma 6 9 2 2" xfId="10528"/>
    <cellStyle name="Comma 6 9 2 2 2" xfId="27575"/>
    <cellStyle name="Comma 6 9 2 2 2 2" xfId="56436"/>
    <cellStyle name="Comma 6 9 2 2 3" xfId="39389"/>
    <cellStyle name="Comma 6 9 2 3" xfId="21597"/>
    <cellStyle name="Comma 6 9 2 3 2" xfId="50458"/>
    <cellStyle name="Comma 6 9 2 4" xfId="33348"/>
    <cellStyle name="Comma 6 9 3" xfId="7642"/>
    <cellStyle name="Comma 6 9 3 2" xfId="24689"/>
    <cellStyle name="Comma 6 9 3 2 2" xfId="53550"/>
    <cellStyle name="Comma 6 9 3 3" xfId="36503"/>
    <cellStyle name="Comma 6 9 4" xfId="13536"/>
    <cellStyle name="Comma 6 9 4 2" xfId="18917"/>
    <cellStyle name="Comma 6 9 4 2 2" xfId="47778"/>
    <cellStyle name="Comma 6 9 4 3" xfId="42397"/>
    <cellStyle name="Comma 6 9 5" xfId="16237"/>
    <cellStyle name="Comma 6 9 5 2" xfId="45098"/>
    <cellStyle name="Comma 6 9 6" xfId="30462"/>
    <cellStyle name="Comma 7" xfId="162"/>
    <cellStyle name="Comma 7 10" xfId="1810"/>
    <cellStyle name="Comma 7 10 2" xfId="4697"/>
    <cellStyle name="Comma 7 10 2 2" xfId="10738"/>
    <cellStyle name="Comma 7 10 2 2 2" xfId="27785"/>
    <cellStyle name="Comma 7 10 2 2 2 2" xfId="56646"/>
    <cellStyle name="Comma 7 10 2 2 3" xfId="39599"/>
    <cellStyle name="Comma 7 10 2 3" xfId="21807"/>
    <cellStyle name="Comma 7 10 2 3 2" xfId="50668"/>
    <cellStyle name="Comma 7 10 2 4" xfId="33558"/>
    <cellStyle name="Comma 7 10 3" xfId="7852"/>
    <cellStyle name="Comma 7 10 3 2" xfId="24899"/>
    <cellStyle name="Comma 7 10 3 2 2" xfId="53760"/>
    <cellStyle name="Comma 7 10 3 3" xfId="36713"/>
    <cellStyle name="Comma 7 10 4" xfId="11986"/>
    <cellStyle name="Comma 7 10 4 2" xfId="19127"/>
    <cellStyle name="Comma 7 10 4 2 2" xfId="47988"/>
    <cellStyle name="Comma 7 10 4 3" xfId="40847"/>
    <cellStyle name="Comma 7 10 5" xfId="16447"/>
    <cellStyle name="Comma 7 10 5 2" xfId="45308"/>
    <cellStyle name="Comma 7 10 6" xfId="30672"/>
    <cellStyle name="Comma 7 11" xfId="2016"/>
    <cellStyle name="Comma 7 11 2" xfId="4903"/>
    <cellStyle name="Comma 7 11 2 2" xfId="10944"/>
    <cellStyle name="Comma 7 11 2 2 2" xfId="27991"/>
    <cellStyle name="Comma 7 11 2 2 2 2" xfId="56852"/>
    <cellStyle name="Comma 7 11 2 2 3" xfId="39805"/>
    <cellStyle name="Comma 7 11 2 3" xfId="22013"/>
    <cellStyle name="Comma 7 11 2 3 2" xfId="50874"/>
    <cellStyle name="Comma 7 11 2 4" xfId="33764"/>
    <cellStyle name="Comma 7 11 3" xfId="8058"/>
    <cellStyle name="Comma 7 11 3 2" xfId="25105"/>
    <cellStyle name="Comma 7 11 3 2 2" xfId="53966"/>
    <cellStyle name="Comma 7 11 3 3" xfId="36919"/>
    <cellStyle name="Comma 7 11 4" xfId="14373"/>
    <cellStyle name="Comma 7 11 4 2" xfId="19333"/>
    <cellStyle name="Comma 7 11 4 2 2" xfId="48194"/>
    <cellStyle name="Comma 7 11 4 3" xfId="43234"/>
    <cellStyle name="Comma 7 11 5" xfId="16653"/>
    <cellStyle name="Comma 7 11 5 2" xfId="45514"/>
    <cellStyle name="Comma 7 11 6" xfId="30878"/>
    <cellStyle name="Comma 7 12" xfId="2428"/>
    <cellStyle name="Comma 7 12 2" xfId="5315"/>
    <cellStyle name="Comma 7 12 2 2" xfId="11356"/>
    <cellStyle name="Comma 7 12 2 2 2" xfId="28403"/>
    <cellStyle name="Comma 7 12 2 2 2 2" xfId="57264"/>
    <cellStyle name="Comma 7 12 2 2 3" xfId="40217"/>
    <cellStyle name="Comma 7 12 2 3" xfId="22425"/>
    <cellStyle name="Comma 7 12 2 3 2" xfId="51286"/>
    <cellStyle name="Comma 7 12 2 4" xfId="34176"/>
    <cellStyle name="Comma 7 12 3" xfId="8470"/>
    <cellStyle name="Comma 7 12 3 2" xfId="25517"/>
    <cellStyle name="Comma 7 12 3 2 2" xfId="54378"/>
    <cellStyle name="Comma 7 12 3 3" xfId="37331"/>
    <cellStyle name="Comma 7 12 4" xfId="13035"/>
    <cellStyle name="Comma 7 12 4 2" xfId="19745"/>
    <cellStyle name="Comma 7 12 4 2 2" xfId="48606"/>
    <cellStyle name="Comma 7 12 4 3" xfId="41896"/>
    <cellStyle name="Comma 7 12 5" xfId="17065"/>
    <cellStyle name="Comma 7 12 5 2" xfId="45926"/>
    <cellStyle name="Comma 7 12 6" xfId="31290"/>
    <cellStyle name="Comma 7 13" xfId="2637"/>
    <cellStyle name="Comma 7 13 2" xfId="5523"/>
    <cellStyle name="Comma 7 13 2 2" xfId="11564"/>
    <cellStyle name="Comma 7 13 2 2 2" xfId="28611"/>
    <cellStyle name="Comma 7 13 2 2 2 2" xfId="57472"/>
    <cellStyle name="Comma 7 13 2 2 3" xfId="40425"/>
    <cellStyle name="Comma 7 13 2 3" xfId="22633"/>
    <cellStyle name="Comma 7 13 2 3 2" xfId="51494"/>
    <cellStyle name="Comma 7 13 2 4" xfId="34384"/>
    <cellStyle name="Comma 7 13 3" xfId="8678"/>
    <cellStyle name="Comma 7 13 3 2" xfId="25725"/>
    <cellStyle name="Comma 7 13 3 2 2" xfId="54586"/>
    <cellStyle name="Comma 7 13 3 3" xfId="37539"/>
    <cellStyle name="Comma 7 13 4" xfId="13779"/>
    <cellStyle name="Comma 7 13 4 2" xfId="19953"/>
    <cellStyle name="Comma 7 13 4 2 2" xfId="48814"/>
    <cellStyle name="Comma 7 13 4 3" xfId="42640"/>
    <cellStyle name="Comma 7 13 5" xfId="17273"/>
    <cellStyle name="Comma 7 13 5 2" xfId="46134"/>
    <cellStyle name="Comma 7 13 6" xfId="31498"/>
    <cellStyle name="Comma 7 14" xfId="3049"/>
    <cellStyle name="Comma 7 14 2" xfId="9090"/>
    <cellStyle name="Comma 7 14 2 2" xfId="26137"/>
    <cellStyle name="Comma 7 14 2 2 2" xfId="54998"/>
    <cellStyle name="Comma 7 14 2 3" xfId="37951"/>
    <cellStyle name="Comma 7 14 3" xfId="14358"/>
    <cellStyle name="Comma 7 14 3 2" xfId="20159"/>
    <cellStyle name="Comma 7 14 3 2 2" xfId="49020"/>
    <cellStyle name="Comma 7 14 3 3" xfId="43219"/>
    <cellStyle name="Comma 7 14 4" xfId="14799"/>
    <cellStyle name="Comma 7 14 4 2" xfId="43660"/>
    <cellStyle name="Comma 7 14 5" xfId="31910"/>
    <cellStyle name="Comma 7 15" xfId="2843"/>
    <cellStyle name="Comma 7 15 2" xfId="8884"/>
    <cellStyle name="Comma 7 15 2 2" xfId="25931"/>
    <cellStyle name="Comma 7 15 2 2 2" xfId="54792"/>
    <cellStyle name="Comma 7 15 2 3" xfId="37745"/>
    <cellStyle name="Comma 7 15 3" xfId="17479"/>
    <cellStyle name="Comma 7 15 3 2" xfId="46340"/>
    <cellStyle name="Comma 7 15 4" xfId="31704"/>
    <cellStyle name="Comma 7 16" xfId="5729"/>
    <cellStyle name="Comma 7 16 2" xfId="11770"/>
    <cellStyle name="Comma 7 16 2 2" xfId="28817"/>
    <cellStyle name="Comma 7 16 2 2 2" xfId="57678"/>
    <cellStyle name="Comma 7 16 2 3" xfId="40631"/>
    <cellStyle name="Comma 7 16 3" xfId="22839"/>
    <cellStyle name="Comma 7 16 3 2" xfId="51700"/>
    <cellStyle name="Comma 7 16 4" xfId="34590"/>
    <cellStyle name="Comma 7 17" xfId="5946"/>
    <cellStyle name="Comma 7 17 2" xfId="23045"/>
    <cellStyle name="Comma 7 17 2 2" xfId="51906"/>
    <cellStyle name="Comma 7 17 3" xfId="34807"/>
    <cellStyle name="Comma 7 18" xfId="6204"/>
    <cellStyle name="Comma 7 18 2" xfId="23251"/>
    <cellStyle name="Comma 7 18 2 2" xfId="52112"/>
    <cellStyle name="Comma 7 18 3" xfId="35065"/>
    <cellStyle name="Comma 7 19" xfId="14593"/>
    <cellStyle name="Comma 7 19 2" xfId="43454"/>
    <cellStyle name="Comma 7 2" xfId="368"/>
    <cellStyle name="Comma 7 2 10" xfId="2531"/>
    <cellStyle name="Comma 7 2 10 2" xfId="5418"/>
    <cellStyle name="Comma 7 2 10 2 2" xfId="11459"/>
    <cellStyle name="Comma 7 2 10 2 2 2" xfId="28506"/>
    <cellStyle name="Comma 7 2 10 2 2 2 2" xfId="57367"/>
    <cellStyle name="Comma 7 2 10 2 2 3" xfId="40320"/>
    <cellStyle name="Comma 7 2 10 2 3" xfId="22528"/>
    <cellStyle name="Comma 7 2 10 2 3 2" xfId="51389"/>
    <cellStyle name="Comma 7 2 10 2 4" xfId="34279"/>
    <cellStyle name="Comma 7 2 10 3" xfId="8573"/>
    <cellStyle name="Comma 7 2 10 3 2" xfId="25620"/>
    <cellStyle name="Comma 7 2 10 3 2 2" xfId="54481"/>
    <cellStyle name="Comma 7 2 10 3 3" xfId="37434"/>
    <cellStyle name="Comma 7 2 10 4" xfId="14240"/>
    <cellStyle name="Comma 7 2 10 4 2" xfId="19848"/>
    <cellStyle name="Comma 7 2 10 4 2 2" xfId="48709"/>
    <cellStyle name="Comma 7 2 10 4 3" xfId="43101"/>
    <cellStyle name="Comma 7 2 10 5" xfId="17168"/>
    <cellStyle name="Comma 7 2 10 5 2" xfId="46029"/>
    <cellStyle name="Comma 7 2 10 6" xfId="31393"/>
    <cellStyle name="Comma 7 2 11" xfId="2740"/>
    <cellStyle name="Comma 7 2 11 2" xfId="5626"/>
    <cellStyle name="Comma 7 2 11 2 2" xfId="11667"/>
    <cellStyle name="Comma 7 2 11 2 2 2" xfId="28714"/>
    <cellStyle name="Comma 7 2 11 2 2 2 2" xfId="57575"/>
    <cellStyle name="Comma 7 2 11 2 2 3" xfId="40528"/>
    <cellStyle name="Comma 7 2 11 2 3" xfId="22736"/>
    <cellStyle name="Comma 7 2 11 2 3 2" xfId="51597"/>
    <cellStyle name="Comma 7 2 11 2 4" xfId="34487"/>
    <cellStyle name="Comma 7 2 11 3" xfId="8781"/>
    <cellStyle name="Comma 7 2 11 3 2" xfId="25828"/>
    <cellStyle name="Comma 7 2 11 3 2 2" xfId="54689"/>
    <cellStyle name="Comma 7 2 11 3 3" xfId="37642"/>
    <cellStyle name="Comma 7 2 11 4" xfId="13032"/>
    <cellStyle name="Comma 7 2 11 4 2" xfId="20056"/>
    <cellStyle name="Comma 7 2 11 4 2 2" xfId="48917"/>
    <cellStyle name="Comma 7 2 11 4 3" xfId="41893"/>
    <cellStyle name="Comma 7 2 11 5" xfId="17376"/>
    <cellStyle name="Comma 7 2 11 5 2" xfId="46237"/>
    <cellStyle name="Comma 7 2 11 6" xfId="31601"/>
    <cellStyle name="Comma 7 2 12" xfId="3255"/>
    <cellStyle name="Comma 7 2 12 2" xfId="9296"/>
    <cellStyle name="Comma 7 2 12 2 2" xfId="26343"/>
    <cellStyle name="Comma 7 2 12 2 2 2" xfId="55204"/>
    <cellStyle name="Comma 7 2 12 2 3" xfId="38157"/>
    <cellStyle name="Comma 7 2 12 3" xfId="12085"/>
    <cellStyle name="Comma 7 2 12 3 2" xfId="20365"/>
    <cellStyle name="Comma 7 2 12 3 2 2" xfId="49226"/>
    <cellStyle name="Comma 7 2 12 3 3" xfId="40946"/>
    <cellStyle name="Comma 7 2 12 4" xfId="15005"/>
    <cellStyle name="Comma 7 2 12 4 2" xfId="43866"/>
    <cellStyle name="Comma 7 2 12 5" xfId="32116"/>
    <cellStyle name="Comma 7 2 13" xfId="2946"/>
    <cellStyle name="Comma 7 2 13 2" xfId="8987"/>
    <cellStyle name="Comma 7 2 13 2 2" xfId="26034"/>
    <cellStyle name="Comma 7 2 13 2 2 2" xfId="54895"/>
    <cellStyle name="Comma 7 2 13 2 3" xfId="37848"/>
    <cellStyle name="Comma 7 2 13 3" xfId="17582"/>
    <cellStyle name="Comma 7 2 13 3 2" xfId="46443"/>
    <cellStyle name="Comma 7 2 13 4" xfId="31807"/>
    <cellStyle name="Comma 7 2 14" xfId="5832"/>
    <cellStyle name="Comma 7 2 14 2" xfId="11873"/>
    <cellStyle name="Comma 7 2 14 2 2" xfId="28920"/>
    <cellStyle name="Comma 7 2 14 2 2 2" xfId="57781"/>
    <cellStyle name="Comma 7 2 14 2 3" xfId="40734"/>
    <cellStyle name="Comma 7 2 14 3" xfId="22942"/>
    <cellStyle name="Comma 7 2 14 3 2" xfId="51803"/>
    <cellStyle name="Comma 7 2 14 4" xfId="34693"/>
    <cellStyle name="Comma 7 2 15" xfId="6049"/>
    <cellStyle name="Comma 7 2 15 2" xfId="23148"/>
    <cellStyle name="Comma 7 2 15 2 2" xfId="52009"/>
    <cellStyle name="Comma 7 2 15 3" xfId="34910"/>
    <cellStyle name="Comma 7 2 16" xfId="6410"/>
    <cellStyle name="Comma 7 2 16 2" xfId="23457"/>
    <cellStyle name="Comma 7 2 16 2 2" xfId="52318"/>
    <cellStyle name="Comma 7 2 16 3" xfId="35271"/>
    <cellStyle name="Comma 7 2 17" xfId="14696"/>
    <cellStyle name="Comma 7 2 17 2" xfId="43557"/>
    <cellStyle name="Comma 7 2 18" xfId="29230"/>
    <cellStyle name="Comma 7 2 2" xfId="574"/>
    <cellStyle name="Comma 7 2 2 2" xfId="2325"/>
    <cellStyle name="Comma 7 2 2 2 2" xfId="5212"/>
    <cellStyle name="Comma 7 2 2 2 2 2" xfId="11253"/>
    <cellStyle name="Comma 7 2 2 2 2 2 2" xfId="28300"/>
    <cellStyle name="Comma 7 2 2 2 2 2 2 2" xfId="57161"/>
    <cellStyle name="Comma 7 2 2 2 2 2 3" xfId="40114"/>
    <cellStyle name="Comma 7 2 2 2 2 3" xfId="22322"/>
    <cellStyle name="Comma 7 2 2 2 2 3 2" xfId="51183"/>
    <cellStyle name="Comma 7 2 2 2 2 4" xfId="34073"/>
    <cellStyle name="Comma 7 2 2 2 3" xfId="8367"/>
    <cellStyle name="Comma 7 2 2 2 3 2" xfId="25414"/>
    <cellStyle name="Comma 7 2 2 2 3 2 2" xfId="54275"/>
    <cellStyle name="Comma 7 2 2 2 3 3" xfId="37228"/>
    <cellStyle name="Comma 7 2 2 2 4" xfId="13130"/>
    <cellStyle name="Comma 7 2 2 2 4 2" xfId="19642"/>
    <cellStyle name="Comma 7 2 2 2 4 2 2" xfId="48503"/>
    <cellStyle name="Comma 7 2 2 2 4 3" xfId="41991"/>
    <cellStyle name="Comma 7 2 2 2 5" xfId="16962"/>
    <cellStyle name="Comma 7 2 2 2 5 2" xfId="45823"/>
    <cellStyle name="Comma 7 2 2 2 6" xfId="31187"/>
    <cellStyle name="Comma 7 2 2 3" xfId="3461"/>
    <cellStyle name="Comma 7 2 2 3 2" xfId="9502"/>
    <cellStyle name="Comma 7 2 2 3 2 2" xfId="26549"/>
    <cellStyle name="Comma 7 2 2 3 2 2 2" xfId="55410"/>
    <cellStyle name="Comma 7 2 2 3 2 3" xfId="38363"/>
    <cellStyle name="Comma 7 2 2 3 3" xfId="20571"/>
    <cellStyle name="Comma 7 2 2 3 3 2" xfId="49432"/>
    <cellStyle name="Comma 7 2 2 3 4" xfId="32322"/>
    <cellStyle name="Comma 7 2 2 4" xfId="6616"/>
    <cellStyle name="Comma 7 2 2 4 2" xfId="23663"/>
    <cellStyle name="Comma 7 2 2 4 2 2" xfId="52524"/>
    <cellStyle name="Comma 7 2 2 4 3" xfId="35477"/>
    <cellStyle name="Comma 7 2 2 5" xfId="13894"/>
    <cellStyle name="Comma 7 2 2 5 2" xfId="17891"/>
    <cellStyle name="Comma 7 2 2 5 2 2" xfId="46752"/>
    <cellStyle name="Comma 7 2 2 5 3" xfId="42755"/>
    <cellStyle name="Comma 7 2 2 6" xfId="15211"/>
    <cellStyle name="Comma 7 2 2 6 2" xfId="44072"/>
    <cellStyle name="Comma 7 2 2 7" xfId="29436"/>
    <cellStyle name="Comma 7 2 3" xfId="883"/>
    <cellStyle name="Comma 7 2 3 2" xfId="3770"/>
    <cellStyle name="Comma 7 2 3 2 2" xfId="9811"/>
    <cellStyle name="Comma 7 2 3 2 2 2" xfId="26858"/>
    <cellStyle name="Comma 7 2 3 2 2 2 2" xfId="55719"/>
    <cellStyle name="Comma 7 2 3 2 2 3" xfId="38672"/>
    <cellStyle name="Comma 7 2 3 2 3" xfId="20880"/>
    <cellStyle name="Comma 7 2 3 2 3 2" xfId="49741"/>
    <cellStyle name="Comma 7 2 3 2 4" xfId="32631"/>
    <cellStyle name="Comma 7 2 3 3" xfId="6925"/>
    <cellStyle name="Comma 7 2 3 3 2" xfId="23972"/>
    <cellStyle name="Comma 7 2 3 3 2 2" xfId="52833"/>
    <cellStyle name="Comma 7 2 3 3 3" xfId="35786"/>
    <cellStyle name="Comma 7 2 3 4" xfId="12048"/>
    <cellStyle name="Comma 7 2 3 4 2" xfId="18200"/>
    <cellStyle name="Comma 7 2 3 4 2 2" xfId="47061"/>
    <cellStyle name="Comma 7 2 3 4 3" xfId="40909"/>
    <cellStyle name="Comma 7 2 3 5" xfId="15520"/>
    <cellStyle name="Comma 7 2 3 5 2" xfId="44381"/>
    <cellStyle name="Comma 7 2 3 6" xfId="29745"/>
    <cellStyle name="Comma 7 2 4" xfId="1089"/>
    <cellStyle name="Comma 7 2 4 2" xfId="3976"/>
    <cellStyle name="Comma 7 2 4 2 2" xfId="10017"/>
    <cellStyle name="Comma 7 2 4 2 2 2" xfId="27064"/>
    <cellStyle name="Comma 7 2 4 2 2 2 2" xfId="55925"/>
    <cellStyle name="Comma 7 2 4 2 2 3" xfId="38878"/>
    <cellStyle name="Comma 7 2 4 2 3" xfId="21086"/>
    <cellStyle name="Comma 7 2 4 2 3 2" xfId="49947"/>
    <cellStyle name="Comma 7 2 4 2 4" xfId="32837"/>
    <cellStyle name="Comma 7 2 4 3" xfId="7131"/>
    <cellStyle name="Comma 7 2 4 3 2" xfId="24178"/>
    <cellStyle name="Comma 7 2 4 3 2 2" xfId="53039"/>
    <cellStyle name="Comma 7 2 4 3 3" xfId="35992"/>
    <cellStyle name="Comma 7 2 4 4" xfId="11925"/>
    <cellStyle name="Comma 7 2 4 4 2" xfId="18406"/>
    <cellStyle name="Comma 7 2 4 4 2 2" xfId="47267"/>
    <cellStyle name="Comma 7 2 4 4 3" xfId="40786"/>
    <cellStyle name="Comma 7 2 4 5" xfId="15726"/>
    <cellStyle name="Comma 7 2 4 5 2" xfId="44587"/>
    <cellStyle name="Comma 7 2 4 6" xfId="29951"/>
    <cellStyle name="Comma 7 2 5" xfId="1295"/>
    <cellStyle name="Comma 7 2 5 2" xfId="4182"/>
    <cellStyle name="Comma 7 2 5 2 2" xfId="10223"/>
    <cellStyle name="Comma 7 2 5 2 2 2" xfId="27270"/>
    <cellStyle name="Comma 7 2 5 2 2 2 2" xfId="56131"/>
    <cellStyle name="Comma 7 2 5 2 2 3" xfId="39084"/>
    <cellStyle name="Comma 7 2 5 2 3" xfId="21292"/>
    <cellStyle name="Comma 7 2 5 2 3 2" xfId="50153"/>
    <cellStyle name="Comma 7 2 5 2 4" xfId="33043"/>
    <cellStyle name="Comma 7 2 5 3" xfId="7337"/>
    <cellStyle name="Comma 7 2 5 3 2" xfId="24384"/>
    <cellStyle name="Comma 7 2 5 3 2 2" xfId="53245"/>
    <cellStyle name="Comma 7 2 5 3 3" xfId="36198"/>
    <cellStyle name="Comma 7 2 5 4" xfId="12819"/>
    <cellStyle name="Comma 7 2 5 4 2" xfId="18612"/>
    <cellStyle name="Comma 7 2 5 4 2 2" xfId="47473"/>
    <cellStyle name="Comma 7 2 5 4 3" xfId="41680"/>
    <cellStyle name="Comma 7 2 5 5" xfId="15932"/>
    <cellStyle name="Comma 7 2 5 5 2" xfId="44793"/>
    <cellStyle name="Comma 7 2 5 6" xfId="30157"/>
    <cellStyle name="Comma 7 2 6" xfId="1501"/>
    <cellStyle name="Comma 7 2 6 2" xfId="4388"/>
    <cellStyle name="Comma 7 2 6 2 2" xfId="10429"/>
    <cellStyle name="Comma 7 2 6 2 2 2" xfId="27476"/>
    <cellStyle name="Comma 7 2 6 2 2 2 2" xfId="56337"/>
    <cellStyle name="Comma 7 2 6 2 2 3" xfId="39290"/>
    <cellStyle name="Comma 7 2 6 2 3" xfId="21498"/>
    <cellStyle name="Comma 7 2 6 2 3 2" xfId="50359"/>
    <cellStyle name="Comma 7 2 6 2 4" xfId="33249"/>
    <cellStyle name="Comma 7 2 6 3" xfId="7543"/>
    <cellStyle name="Comma 7 2 6 3 2" xfId="24590"/>
    <cellStyle name="Comma 7 2 6 3 2 2" xfId="53451"/>
    <cellStyle name="Comma 7 2 6 3 3" xfId="36404"/>
    <cellStyle name="Comma 7 2 6 4" xfId="13333"/>
    <cellStyle name="Comma 7 2 6 4 2" xfId="18818"/>
    <cellStyle name="Comma 7 2 6 4 2 2" xfId="47679"/>
    <cellStyle name="Comma 7 2 6 4 3" xfId="42194"/>
    <cellStyle name="Comma 7 2 6 5" xfId="16138"/>
    <cellStyle name="Comma 7 2 6 5 2" xfId="44999"/>
    <cellStyle name="Comma 7 2 6 6" xfId="30363"/>
    <cellStyle name="Comma 7 2 7" xfId="1707"/>
    <cellStyle name="Comma 7 2 7 2" xfId="4594"/>
    <cellStyle name="Comma 7 2 7 2 2" xfId="10635"/>
    <cellStyle name="Comma 7 2 7 2 2 2" xfId="27682"/>
    <cellStyle name="Comma 7 2 7 2 2 2 2" xfId="56543"/>
    <cellStyle name="Comma 7 2 7 2 2 3" xfId="39496"/>
    <cellStyle name="Comma 7 2 7 2 3" xfId="21704"/>
    <cellStyle name="Comma 7 2 7 2 3 2" xfId="50565"/>
    <cellStyle name="Comma 7 2 7 2 4" xfId="33455"/>
    <cellStyle name="Comma 7 2 7 3" xfId="7749"/>
    <cellStyle name="Comma 7 2 7 3 2" xfId="24796"/>
    <cellStyle name="Comma 7 2 7 3 2 2" xfId="53657"/>
    <cellStyle name="Comma 7 2 7 3 3" xfId="36610"/>
    <cellStyle name="Comma 7 2 7 4" xfId="12126"/>
    <cellStyle name="Comma 7 2 7 4 2" xfId="19024"/>
    <cellStyle name="Comma 7 2 7 4 2 2" xfId="47885"/>
    <cellStyle name="Comma 7 2 7 4 3" xfId="40987"/>
    <cellStyle name="Comma 7 2 7 5" xfId="16344"/>
    <cellStyle name="Comma 7 2 7 5 2" xfId="45205"/>
    <cellStyle name="Comma 7 2 7 6" xfId="30569"/>
    <cellStyle name="Comma 7 2 8" xfId="1913"/>
    <cellStyle name="Comma 7 2 8 2" xfId="4800"/>
    <cellStyle name="Comma 7 2 8 2 2" xfId="10841"/>
    <cellStyle name="Comma 7 2 8 2 2 2" xfId="27888"/>
    <cellStyle name="Comma 7 2 8 2 2 2 2" xfId="56749"/>
    <cellStyle name="Comma 7 2 8 2 2 3" xfId="39702"/>
    <cellStyle name="Comma 7 2 8 2 3" xfId="21910"/>
    <cellStyle name="Comma 7 2 8 2 3 2" xfId="50771"/>
    <cellStyle name="Comma 7 2 8 2 4" xfId="33661"/>
    <cellStyle name="Comma 7 2 8 3" xfId="7955"/>
    <cellStyle name="Comma 7 2 8 3 2" xfId="25002"/>
    <cellStyle name="Comma 7 2 8 3 2 2" xfId="53863"/>
    <cellStyle name="Comma 7 2 8 3 3" xfId="36816"/>
    <cellStyle name="Comma 7 2 8 4" xfId="12143"/>
    <cellStyle name="Comma 7 2 8 4 2" xfId="19230"/>
    <cellStyle name="Comma 7 2 8 4 2 2" xfId="48091"/>
    <cellStyle name="Comma 7 2 8 4 3" xfId="41004"/>
    <cellStyle name="Comma 7 2 8 5" xfId="16550"/>
    <cellStyle name="Comma 7 2 8 5 2" xfId="45411"/>
    <cellStyle name="Comma 7 2 8 6" xfId="30775"/>
    <cellStyle name="Comma 7 2 9" xfId="2119"/>
    <cellStyle name="Comma 7 2 9 2" xfId="5006"/>
    <cellStyle name="Comma 7 2 9 2 2" xfId="11047"/>
    <cellStyle name="Comma 7 2 9 2 2 2" xfId="28094"/>
    <cellStyle name="Comma 7 2 9 2 2 2 2" xfId="56955"/>
    <cellStyle name="Comma 7 2 9 2 2 3" xfId="39908"/>
    <cellStyle name="Comma 7 2 9 2 3" xfId="22116"/>
    <cellStyle name="Comma 7 2 9 2 3 2" xfId="50977"/>
    <cellStyle name="Comma 7 2 9 2 4" xfId="33867"/>
    <cellStyle name="Comma 7 2 9 3" xfId="8161"/>
    <cellStyle name="Comma 7 2 9 3 2" xfId="25208"/>
    <cellStyle name="Comma 7 2 9 3 2 2" xfId="54069"/>
    <cellStyle name="Comma 7 2 9 3 3" xfId="37022"/>
    <cellStyle name="Comma 7 2 9 4" xfId="12648"/>
    <cellStyle name="Comma 7 2 9 4 2" xfId="19436"/>
    <cellStyle name="Comma 7 2 9 4 2 2" xfId="48297"/>
    <cellStyle name="Comma 7 2 9 4 3" xfId="41509"/>
    <cellStyle name="Comma 7 2 9 5" xfId="16756"/>
    <cellStyle name="Comma 7 2 9 5 2" xfId="45617"/>
    <cellStyle name="Comma 7 2 9 6" xfId="30981"/>
    <cellStyle name="Comma 7 20" xfId="29024"/>
    <cellStyle name="Comma 7 3" xfId="265"/>
    <cellStyle name="Comma 7 3 2" xfId="677"/>
    <cellStyle name="Comma 7 3 2 2" xfId="3564"/>
    <cellStyle name="Comma 7 3 2 2 2" xfId="9605"/>
    <cellStyle name="Comma 7 3 2 2 2 2" xfId="26652"/>
    <cellStyle name="Comma 7 3 2 2 2 2 2" xfId="55513"/>
    <cellStyle name="Comma 7 3 2 2 2 3" xfId="38466"/>
    <cellStyle name="Comma 7 3 2 2 3" xfId="20674"/>
    <cellStyle name="Comma 7 3 2 2 3 2" xfId="49535"/>
    <cellStyle name="Comma 7 3 2 2 4" xfId="32425"/>
    <cellStyle name="Comma 7 3 2 3" xfId="6719"/>
    <cellStyle name="Comma 7 3 2 3 2" xfId="23766"/>
    <cellStyle name="Comma 7 3 2 3 2 2" xfId="52627"/>
    <cellStyle name="Comma 7 3 2 3 3" xfId="35580"/>
    <cellStyle name="Comma 7 3 2 4" xfId="14268"/>
    <cellStyle name="Comma 7 3 2 4 2" xfId="17994"/>
    <cellStyle name="Comma 7 3 2 4 2 2" xfId="46855"/>
    <cellStyle name="Comma 7 3 2 4 3" xfId="43129"/>
    <cellStyle name="Comma 7 3 2 5" xfId="15314"/>
    <cellStyle name="Comma 7 3 2 5 2" xfId="44175"/>
    <cellStyle name="Comma 7 3 2 6" xfId="29539"/>
    <cellStyle name="Comma 7 3 3" xfId="2222"/>
    <cellStyle name="Comma 7 3 3 2" xfId="5109"/>
    <cellStyle name="Comma 7 3 3 2 2" xfId="11150"/>
    <cellStyle name="Comma 7 3 3 2 2 2" xfId="28197"/>
    <cellStyle name="Comma 7 3 3 2 2 2 2" xfId="57058"/>
    <cellStyle name="Comma 7 3 3 2 2 3" xfId="40011"/>
    <cellStyle name="Comma 7 3 3 2 3" xfId="22219"/>
    <cellStyle name="Comma 7 3 3 2 3 2" xfId="51080"/>
    <cellStyle name="Comma 7 3 3 2 4" xfId="33970"/>
    <cellStyle name="Comma 7 3 3 3" xfId="8264"/>
    <cellStyle name="Comma 7 3 3 3 2" xfId="25311"/>
    <cellStyle name="Comma 7 3 3 3 2 2" xfId="54172"/>
    <cellStyle name="Comma 7 3 3 3 3" xfId="37125"/>
    <cellStyle name="Comma 7 3 3 4" xfId="12385"/>
    <cellStyle name="Comma 7 3 3 4 2" xfId="19539"/>
    <cellStyle name="Comma 7 3 3 4 2 2" xfId="48400"/>
    <cellStyle name="Comma 7 3 3 4 3" xfId="41246"/>
    <cellStyle name="Comma 7 3 3 5" xfId="16859"/>
    <cellStyle name="Comma 7 3 3 5 2" xfId="45720"/>
    <cellStyle name="Comma 7 3 3 6" xfId="31084"/>
    <cellStyle name="Comma 7 3 4" xfId="3152"/>
    <cellStyle name="Comma 7 3 4 2" xfId="9193"/>
    <cellStyle name="Comma 7 3 4 2 2" xfId="26240"/>
    <cellStyle name="Comma 7 3 4 2 2 2" xfId="55101"/>
    <cellStyle name="Comma 7 3 4 2 3" xfId="38054"/>
    <cellStyle name="Comma 7 3 4 3" xfId="20262"/>
    <cellStyle name="Comma 7 3 4 3 2" xfId="49123"/>
    <cellStyle name="Comma 7 3 4 4" xfId="32013"/>
    <cellStyle name="Comma 7 3 5" xfId="6307"/>
    <cellStyle name="Comma 7 3 5 2" xfId="23354"/>
    <cellStyle name="Comma 7 3 5 2 2" xfId="52215"/>
    <cellStyle name="Comma 7 3 5 3" xfId="35168"/>
    <cellStyle name="Comma 7 3 6" xfId="13522"/>
    <cellStyle name="Comma 7 3 6 2" xfId="17685"/>
    <cellStyle name="Comma 7 3 6 2 2" xfId="46546"/>
    <cellStyle name="Comma 7 3 6 3" xfId="42383"/>
    <cellStyle name="Comma 7 3 7" xfId="14902"/>
    <cellStyle name="Comma 7 3 7 2" xfId="43763"/>
    <cellStyle name="Comma 7 3 8" xfId="29127"/>
    <cellStyle name="Comma 7 4" xfId="471"/>
    <cellStyle name="Comma 7 4 2" xfId="3358"/>
    <cellStyle name="Comma 7 4 2 2" xfId="9399"/>
    <cellStyle name="Comma 7 4 2 2 2" xfId="26446"/>
    <cellStyle name="Comma 7 4 2 2 2 2" xfId="55307"/>
    <cellStyle name="Comma 7 4 2 2 3" xfId="38260"/>
    <cellStyle name="Comma 7 4 2 3" xfId="20468"/>
    <cellStyle name="Comma 7 4 2 3 2" xfId="49329"/>
    <cellStyle name="Comma 7 4 2 4" xfId="32219"/>
    <cellStyle name="Comma 7 4 3" xfId="6513"/>
    <cellStyle name="Comma 7 4 3 2" xfId="23560"/>
    <cellStyle name="Comma 7 4 3 2 2" xfId="52421"/>
    <cellStyle name="Comma 7 4 3 3" xfId="35374"/>
    <cellStyle name="Comma 7 4 4" xfId="12502"/>
    <cellStyle name="Comma 7 4 4 2" xfId="17788"/>
    <cellStyle name="Comma 7 4 4 2 2" xfId="46649"/>
    <cellStyle name="Comma 7 4 4 3" xfId="41363"/>
    <cellStyle name="Comma 7 4 5" xfId="15108"/>
    <cellStyle name="Comma 7 4 5 2" xfId="43969"/>
    <cellStyle name="Comma 7 4 6" xfId="29333"/>
    <cellStyle name="Comma 7 5" xfId="780"/>
    <cellStyle name="Comma 7 5 2" xfId="3667"/>
    <cellStyle name="Comma 7 5 2 2" xfId="9708"/>
    <cellStyle name="Comma 7 5 2 2 2" xfId="26755"/>
    <cellStyle name="Comma 7 5 2 2 2 2" xfId="55616"/>
    <cellStyle name="Comma 7 5 2 2 3" xfId="38569"/>
    <cellStyle name="Comma 7 5 2 3" xfId="20777"/>
    <cellStyle name="Comma 7 5 2 3 2" xfId="49638"/>
    <cellStyle name="Comma 7 5 2 4" xfId="32528"/>
    <cellStyle name="Comma 7 5 3" xfId="6822"/>
    <cellStyle name="Comma 7 5 3 2" xfId="23869"/>
    <cellStyle name="Comma 7 5 3 2 2" xfId="52730"/>
    <cellStyle name="Comma 7 5 3 3" xfId="35683"/>
    <cellStyle name="Comma 7 5 4" xfId="14078"/>
    <cellStyle name="Comma 7 5 4 2" xfId="18097"/>
    <cellStyle name="Comma 7 5 4 2 2" xfId="46958"/>
    <cellStyle name="Comma 7 5 4 3" xfId="42939"/>
    <cellStyle name="Comma 7 5 5" xfId="15417"/>
    <cellStyle name="Comma 7 5 5 2" xfId="44278"/>
    <cellStyle name="Comma 7 5 6" xfId="29642"/>
    <cellStyle name="Comma 7 6" xfId="986"/>
    <cellStyle name="Comma 7 6 2" xfId="3873"/>
    <cellStyle name="Comma 7 6 2 2" xfId="9914"/>
    <cellStyle name="Comma 7 6 2 2 2" xfId="26961"/>
    <cellStyle name="Comma 7 6 2 2 2 2" xfId="55822"/>
    <cellStyle name="Comma 7 6 2 2 3" xfId="38775"/>
    <cellStyle name="Comma 7 6 2 3" xfId="20983"/>
    <cellStyle name="Comma 7 6 2 3 2" xfId="49844"/>
    <cellStyle name="Comma 7 6 2 4" xfId="32734"/>
    <cellStyle name="Comma 7 6 3" xfId="7028"/>
    <cellStyle name="Comma 7 6 3 2" xfId="24075"/>
    <cellStyle name="Comma 7 6 3 2 2" xfId="52936"/>
    <cellStyle name="Comma 7 6 3 3" xfId="35889"/>
    <cellStyle name="Comma 7 6 4" xfId="13728"/>
    <cellStyle name="Comma 7 6 4 2" xfId="18303"/>
    <cellStyle name="Comma 7 6 4 2 2" xfId="47164"/>
    <cellStyle name="Comma 7 6 4 3" xfId="42589"/>
    <cellStyle name="Comma 7 6 5" xfId="15623"/>
    <cellStyle name="Comma 7 6 5 2" xfId="44484"/>
    <cellStyle name="Comma 7 6 6" xfId="29848"/>
    <cellStyle name="Comma 7 7" xfId="1192"/>
    <cellStyle name="Comma 7 7 2" xfId="4079"/>
    <cellStyle name="Comma 7 7 2 2" xfId="10120"/>
    <cellStyle name="Comma 7 7 2 2 2" xfId="27167"/>
    <cellStyle name="Comma 7 7 2 2 2 2" xfId="56028"/>
    <cellStyle name="Comma 7 7 2 2 3" xfId="38981"/>
    <cellStyle name="Comma 7 7 2 3" xfId="21189"/>
    <cellStyle name="Comma 7 7 2 3 2" xfId="50050"/>
    <cellStyle name="Comma 7 7 2 4" xfId="32940"/>
    <cellStyle name="Comma 7 7 3" xfId="7234"/>
    <cellStyle name="Comma 7 7 3 2" xfId="24281"/>
    <cellStyle name="Comma 7 7 3 2 2" xfId="53142"/>
    <cellStyle name="Comma 7 7 3 3" xfId="36095"/>
    <cellStyle name="Comma 7 7 4" xfId="12785"/>
    <cellStyle name="Comma 7 7 4 2" xfId="18509"/>
    <cellStyle name="Comma 7 7 4 2 2" xfId="47370"/>
    <cellStyle name="Comma 7 7 4 3" xfId="41646"/>
    <cellStyle name="Comma 7 7 5" xfId="15829"/>
    <cellStyle name="Comma 7 7 5 2" xfId="44690"/>
    <cellStyle name="Comma 7 7 6" xfId="30054"/>
    <cellStyle name="Comma 7 8" xfId="1398"/>
    <cellStyle name="Comma 7 8 2" xfId="4285"/>
    <cellStyle name="Comma 7 8 2 2" xfId="10326"/>
    <cellStyle name="Comma 7 8 2 2 2" xfId="27373"/>
    <cellStyle name="Comma 7 8 2 2 2 2" xfId="56234"/>
    <cellStyle name="Comma 7 8 2 2 3" xfId="39187"/>
    <cellStyle name="Comma 7 8 2 3" xfId="21395"/>
    <cellStyle name="Comma 7 8 2 3 2" xfId="50256"/>
    <cellStyle name="Comma 7 8 2 4" xfId="33146"/>
    <cellStyle name="Comma 7 8 3" xfId="7440"/>
    <cellStyle name="Comma 7 8 3 2" xfId="24487"/>
    <cellStyle name="Comma 7 8 3 2 2" xfId="53348"/>
    <cellStyle name="Comma 7 8 3 3" xfId="36301"/>
    <cellStyle name="Comma 7 8 4" xfId="13189"/>
    <cellStyle name="Comma 7 8 4 2" xfId="18715"/>
    <cellStyle name="Comma 7 8 4 2 2" xfId="47576"/>
    <cellStyle name="Comma 7 8 4 3" xfId="42050"/>
    <cellStyle name="Comma 7 8 5" xfId="16035"/>
    <cellStyle name="Comma 7 8 5 2" xfId="44896"/>
    <cellStyle name="Comma 7 8 6" xfId="30260"/>
    <cellStyle name="Comma 7 9" xfId="1604"/>
    <cellStyle name="Comma 7 9 2" xfId="4491"/>
    <cellStyle name="Comma 7 9 2 2" xfId="10532"/>
    <cellStyle name="Comma 7 9 2 2 2" xfId="27579"/>
    <cellStyle name="Comma 7 9 2 2 2 2" xfId="56440"/>
    <cellStyle name="Comma 7 9 2 2 3" xfId="39393"/>
    <cellStyle name="Comma 7 9 2 3" xfId="21601"/>
    <cellStyle name="Comma 7 9 2 3 2" xfId="50462"/>
    <cellStyle name="Comma 7 9 2 4" xfId="33352"/>
    <cellStyle name="Comma 7 9 3" xfId="7646"/>
    <cellStyle name="Comma 7 9 3 2" xfId="24693"/>
    <cellStyle name="Comma 7 9 3 2 2" xfId="53554"/>
    <cellStyle name="Comma 7 9 3 3" xfId="36507"/>
    <cellStyle name="Comma 7 9 4" xfId="12540"/>
    <cellStyle name="Comma 7 9 4 2" xfId="18921"/>
    <cellStyle name="Comma 7 9 4 2 2" xfId="47782"/>
    <cellStyle name="Comma 7 9 4 3" xfId="41401"/>
    <cellStyle name="Comma 7 9 5" xfId="16241"/>
    <cellStyle name="Comma 7 9 5 2" xfId="45102"/>
    <cellStyle name="Comma 7 9 6" xfId="30466"/>
    <cellStyle name="Comma0" xfId="7"/>
    <cellStyle name="Comma0 2" xfId="8"/>
    <cellStyle name="Comma0 2 2" xfId="9"/>
    <cellStyle name="Comma0 3" xfId="10"/>
    <cellStyle name="Comma0 4" xfId="11"/>
    <cellStyle name="Currency 2" xfId="12"/>
    <cellStyle name="Currency 2 2" xfId="13"/>
    <cellStyle name="Currency 2 2 2" xfId="14"/>
    <cellStyle name="Currency 2 3" xfId="15"/>
    <cellStyle name="Currency 2 4" xfId="16"/>
    <cellStyle name="Currency 3" xfId="156"/>
    <cellStyle name="Currency 3 10" xfId="1804"/>
    <cellStyle name="Currency 3 10 2" xfId="4691"/>
    <cellStyle name="Currency 3 10 2 2" xfId="10732"/>
    <cellStyle name="Currency 3 10 2 2 2" xfId="27779"/>
    <cellStyle name="Currency 3 10 2 2 2 2" xfId="56640"/>
    <cellStyle name="Currency 3 10 2 2 3" xfId="39593"/>
    <cellStyle name="Currency 3 10 2 3" xfId="21801"/>
    <cellStyle name="Currency 3 10 2 3 2" xfId="50662"/>
    <cellStyle name="Currency 3 10 2 4" xfId="33552"/>
    <cellStyle name="Currency 3 10 3" xfId="7846"/>
    <cellStyle name="Currency 3 10 3 2" xfId="24893"/>
    <cellStyle name="Currency 3 10 3 2 2" xfId="53754"/>
    <cellStyle name="Currency 3 10 3 3" xfId="36707"/>
    <cellStyle name="Currency 3 10 4" xfId="13248"/>
    <cellStyle name="Currency 3 10 4 2" xfId="19121"/>
    <cellStyle name="Currency 3 10 4 2 2" xfId="47982"/>
    <cellStyle name="Currency 3 10 4 3" xfId="42109"/>
    <cellStyle name="Currency 3 10 5" xfId="16441"/>
    <cellStyle name="Currency 3 10 5 2" xfId="45302"/>
    <cellStyle name="Currency 3 10 6" xfId="30666"/>
    <cellStyle name="Currency 3 11" xfId="2010"/>
    <cellStyle name="Currency 3 11 2" xfId="4897"/>
    <cellStyle name="Currency 3 11 2 2" xfId="10938"/>
    <cellStyle name="Currency 3 11 2 2 2" xfId="27985"/>
    <cellStyle name="Currency 3 11 2 2 2 2" xfId="56846"/>
    <cellStyle name="Currency 3 11 2 2 3" xfId="39799"/>
    <cellStyle name="Currency 3 11 2 3" xfId="22007"/>
    <cellStyle name="Currency 3 11 2 3 2" xfId="50868"/>
    <cellStyle name="Currency 3 11 2 4" xfId="33758"/>
    <cellStyle name="Currency 3 11 3" xfId="8052"/>
    <cellStyle name="Currency 3 11 3 2" xfId="25099"/>
    <cellStyle name="Currency 3 11 3 2 2" xfId="53960"/>
    <cellStyle name="Currency 3 11 3 3" xfId="36913"/>
    <cellStyle name="Currency 3 11 4" xfId="13703"/>
    <cellStyle name="Currency 3 11 4 2" xfId="19327"/>
    <cellStyle name="Currency 3 11 4 2 2" xfId="48188"/>
    <cellStyle name="Currency 3 11 4 3" xfId="42564"/>
    <cellStyle name="Currency 3 11 5" xfId="16647"/>
    <cellStyle name="Currency 3 11 5 2" xfId="45508"/>
    <cellStyle name="Currency 3 11 6" xfId="30872"/>
    <cellStyle name="Currency 3 12" xfId="2422"/>
    <cellStyle name="Currency 3 12 2" xfId="5309"/>
    <cellStyle name="Currency 3 12 2 2" xfId="11350"/>
    <cellStyle name="Currency 3 12 2 2 2" xfId="28397"/>
    <cellStyle name="Currency 3 12 2 2 2 2" xfId="57258"/>
    <cellStyle name="Currency 3 12 2 2 3" xfId="40211"/>
    <cellStyle name="Currency 3 12 2 3" xfId="22419"/>
    <cellStyle name="Currency 3 12 2 3 2" xfId="51280"/>
    <cellStyle name="Currency 3 12 2 4" xfId="34170"/>
    <cellStyle name="Currency 3 12 3" xfId="8464"/>
    <cellStyle name="Currency 3 12 3 2" xfId="25511"/>
    <cellStyle name="Currency 3 12 3 2 2" xfId="54372"/>
    <cellStyle name="Currency 3 12 3 3" xfId="37325"/>
    <cellStyle name="Currency 3 12 4" xfId="12627"/>
    <cellStyle name="Currency 3 12 4 2" xfId="19739"/>
    <cellStyle name="Currency 3 12 4 2 2" xfId="48600"/>
    <cellStyle name="Currency 3 12 4 3" xfId="41488"/>
    <cellStyle name="Currency 3 12 5" xfId="17059"/>
    <cellStyle name="Currency 3 12 5 2" xfId="45920"/>
    <cellStyle name="Currency 3 12 6" xfId="31284"/>
    <cellStyle name="Currency 3 13" xfId="2631"/>
    <cellStyle name="Currency 3 13 2" xfId="5517"/>
    <cellStyle name="Currency 3 13 2 2" xfId="11558"/>
    <cellStyle name="Currency 3 13 2 2 2" xfId="28605"/>
    <cellStyle name="Currency 3 13 2 2 2 2" xfId="57466"/>
    <cellStyle name="Currency 3 13 2 2 3" xfId="40419"/>
    <cellStyle name="Currency 3 13 2 3" xfId="22627"/>
    <cellStyle name="Currency 3 13 2 3 2" xfId="51488"/>
    <cellStyle name="Currency 3 13 2 4" xfId="34378"/>
    <cellStyle name="Currency 3 13 3" xfId="8672"/>
    <cellStyle name="Currency 3 13 3 2" xfId="25719"/>
    <cellStyle name="Currency 3 13 3 2 2" xfId="54580"/>
    <cellStyle name="Currency 3 13 3 3" xfId="37533"/>
    <cellStyle name="Currency 3 13 4" xfId="14038"/>
    <cellStyle name="Currency 3 13 4 2" xfId="19947"/>
    <cellStyle name="Currency 3 13 4 2 2" xfId="48808"/>
    <cellStyle name="Currency 3 13 4 3" xfId="42899"/>
    <cellStyle name="Currency 3 13 5" xfId="17267"/>
    <cellStyle name="Currency 3 13 5 2" xfId="46128"/>
    <cellStyle name="Currency 3 13 6" xfId="31492"/>
    <cellStyle name="Currency 3 14" xfId="3043"/>
    <cellStyle name="Currency 3 14 2" xfId="9084"/>
    <cellStyle name="Currency 3 14 2 2" xfId="26131"/>
    <cellStyle name="Currency 3 14 2 2 2" xfId="54992"/>
    <cellStyle name="Currency 3 14 2 3" xfId="37945"/>
    <cellStyle name="Currency 3 14 3" xfId="13250"/>
    <cellStyle name="Currency 3 14 3 2" xfId="20153"/>
    <cellStyle name="Currency 3 14 3 2 2" xfId="49014"/>
    <cellStyle name="Currency 3 14 3 3" xfId="42111"/>
    <cellStyle name="Currency 3 14 4" xfId="14793"/>
    <cellStyle name="Currency 3 14 4 2" xfId="43654"/>
    <cellStyle name="Currency 3 14 5" xfId="31904"/>
    <cellStyle name="Currency 3 15" xfId="2837"/>
    <cellStyle name="Currency 3 15 2" xfId="8878"/>
    <cellStyle name="Currency 3 15 2 2" xfId="25925"/>
    <cellStyle name="Currency 3 15 2 2 2" xfId="54786"/>
    <cellStyle name="Currency 3 15 2 3" xfId="37739"/>
    <cellStyle name="Currency 3 15 3" xfId="17473"/>
    <cellStyle name="Currency 3 15 3 2" xfId="46334"/>
    <cellStyle name="Currency 3 15 4" xfId="31698"/>
    <cellStyle name="Currency 3 16" xfId="5723"/>
    <cellStyle name="Currency 3 16 2" xfId="11764"/>
    <cellStyle name="Currency 3 16 2 2" xfId="28811"/>
    <cellStyle name="Currency 3 16 2 2 2" xfId="57672"/>
    <cellStyle name="Currency 3 16 2 3" xfId="40625"/>
    <cellStyle name="Currency 3 16 3" xfId="22833"/>
    <cellStyle name="Currency 3 16 3 2" xfId="51694"/>
    <cellStyle name="Currency 3 16 4" xfId="34584"/>
    <cellStyle name="Currency 3 17" xfId="5940"/>
    <cellStyle name="Currency 3 17 2" xfId="23039"/>
    <cellStyle name="Currency 3 17 2 2" xfId="51900"/>
    <cellStyle name="Currency 3 17 3" xfId="34801"/>
    <cellStyle name="Currency 3 18" xfId="6198"/>
    <cellStyle name="Currency 3 18 2" xfId="23245"/>
    <cellStyle name="Currency 3 18 2 2" xfId="52106"/>
    <cellStyle name="Currency 3 18 3" xfId="35059"/>
    <cellStyle name="Currency 3 19" xfId="14587"/>
    <cellStyle name="Currency 3 19 2" xfId="43448"/>
    <cellStyle name="Currency 3 2" xfId="362"/>
    <cellStyle name="Currency 3 2 10" xfId="2525"/>
    <cellStyle name="Currency 3 2 10 2" xfId="5412"/>
    <cellStyle name="Currency 3 2 10 2 2" xfId="11453"/>
    <cellStyle name="Currency 3 2 10 2 2 2" xfId="28500"/>
    <cellStyle name="Currency 3 2 10 2 2 2 2" xfId="57361"/>
    <cellStyle name="Currency 3 2 10 2 2 3" xfId="40314"/>
    <cellStyle name="Currency 3 2 10 2 3" xfId="22522"/>
    <cellStyle name="Currency 3 2 10 2 3 2" xfId="51383"/>
    <cellStyle name="Currency 3 2 10 2 4" xfId="34273"/>
    <cellStyle name="Currency 3 2 10 3" xfId="8567"/>
    <cellStyle name="Currency 3 2 10 3 2" xfId="25614"/>
    <cellStyle name="Currency 3 2 10 3 2 2" xfId="54475"/>
    <cellStyle name="Currency 3 2 10 3 3" xfId="37428"/>
    <cellStyle name="Currency 3 2 10 4" xfId="13935"/>
    <cellStyle name="Currency 3 2 10 4 2" xfId="19842"/>
    <cellStyle name="Currency 3 2 10 4 2 2" xfId="48703"/>
    <cellStyle name="Currency 3 2 10 4 3" xfId="42796"/>
    <cellStyle name="Currency 3 2 10 5" xfId="17162"/>
    <cellStyle name="Currency 3 2 10 5 2" xfId="46023"/>
    <cellStyle name="Currency 3 2 10 6" xfId="31387"/>
    <cellStyle name="Currency 3 2 11" xfId="2734"/>
    <cellStyle name="Currency 3 2 11 2" xfId="5620"/>
    <cellStyle name="Currency 3 2 11 2 2" xfId="11661"/>
    <cellStyle name="Currency 3 2 11 2 2 2" xfId="28708"/>
    <cellStyle name="Currency 3 2 11 2 2 2 2" xfId="57569"/>
    <cellStyle name="Currency 3 2 11 2 2 3" xfId="40522"/>
    <cellStyle name="Currency 3 2 11 2 3" xfId="22730"/>
    <cellStyle name="Currency 3 2 11 2 3 2" xfId="51591"/>
    <cellStyle name="Currency 3 2 11 2 4" xfId="34481"/>
    <cellStyle name="Currency 3 2 11 3" xfId="8775"/>
    <cellStyle name="Currency 3 2 11 3 2" xfId="25822"/>
    <cellStyle name="Currency 3 2 11 3 2 2" xfId="54683"/>
    <cellStyle name="Currency 3 2 11 3 3" xfId="37636"/>
    <cellStyle name="Currency 3 2 11 4" xfId="14476"/>
    <cellStyle name="Currency 3 2 11 4 2" xfId="20050"/>
    <cellStyle name="Currency 3 2 11 4 2 2" xfId="48911"/>
    <cellStyle name="Currency 3 2 11 4 3" xfId="43337"/>
    <cellStyle name="Currency 3 2 11 5" xfId="17370"/>
    <cellStyle name="Currency 3 2 11 5 2" xfId="46231"/>
    <cellStyle name="Currency 3 2 11 6" xfId="31595"/>
    <cellStyle name="Currency 3 2 12" xfId="3249"/>
    <cellStyle name="Currency 3 2 12 2" xfId="9290"/>
    <cellStyle name="Currency 3 2 12 2 2" xfId="26337"/>
    <cellStyle name="Currency 3 2 12 2 2 2" xfId="55198"/>
    <cellStyle name="Currency 3 2 12 2 3" xfId="38151"/>
    <cellStyle name="Currency 3 2 12 3" xfId="13768"/>
    <cellStyle name="Currency 3 2 12 3 2" xfId="20359"/>
    <cellStyle name="Currency 3 2 12 3 2 2" xfId="49220"/>
    <cellStyle name="Currency 3 2 12 3 3" xfId="42629"/>
    <cellStyle name="Currency 3 2 12 4" xfId="14999"/>
    <cellStyle name="Currency 3 2 12 4 2" xfId="43860"/>
    <cellStyle name="Currency 3 2 12 5" xfId="32110"/>
    <cellStyle name="Currency 3 2 13" xfId="2940"/>
    <cellStyle name="Currency 3 2 13 2" xfId="8981"/>
    <cellStyle name="Currency 3 2 13 2 2" xfId="26028"/>
    <cellStyle name="Currency 3 2 13 2 2 2" xfId="54889"/>
    <cellStyle name="Currency 3 2 13 2 3" xfId="37842"/>
    <cellStyle name="Currency 3 2 13 3" xfId="17576"/>
    <cellStyle name="Currency 3 2 13 3 2" xfId="46437"/>
    <cellStyle name="Currency 3 2 13 4" xfId="31801"/>
    <cellStyle name="Currency 3 2 14" xfId="5826"/>
    <cellStyle name="Currency 3 2 14 2" xfId="11867"/>
    <cellStyle name="Currency 3 2 14 2 2" xfId="28914"/>
    <cellStyle name="Currency 3 2 14 2 2 2" xfId="57775"/>
    <cellStyle name="Currency 3 2 14 2 3" xfId="40728"/>
    <cellStyle name="Currency 3 2 14 3" xfId="22936"/>
    <cellStyle name="Currency 3 2 14 3 2" xfId="51797"/>
    <cellStyle name="Currency 3 2 14 4" xfId="34687"/>
    <cellStyle name="Currency 3 2 15" xfId="6043"/>
    <cellStyle name="Currency 3 2 15 2" xfId="23142"/>
    <cellStyle name="Currency 3 2 15 2 2" xfId="52003"/>
    <cellStyle name="Currency 3 2 15 3" xfId="34904"/>
    <cellStyle name="Currency 3 2 16" xfId="6404"/>
    <cellStyle name="Currency 3 2 16 2" xfId="23451"/>
    <cellStyle name="Currency 3 2 16 2 2" xfId="52312"/>
    <cellStyle name="Currency 3 2 16 3" xfId="35265"/>
    <cellStyle name="Currency 3 2 17" xfId="14690"/>
    <cellStyle name="Currency 3 2 17 2" xfId="43551"/>
    <cellStyle name="Currency 3 2 18" xfId="29224"/>
    <cellStyle name="Currency 3 2 2" xfId="568"/>
    <cellStyle name="Currency 3 2 2 2" xfId="2319"/>
    <cellStyle name="Currency 3 2 2 2 2" xfId="5206"/>
    <cellStyle name="Currency 3 2 2 2 2 2" xfId="11247"/>
    <cellStyle name="Currency 3 2 2 2 2 2 2" xfId="28294"/>
    <cellStyle name="Currency 3 2 2 2 2 2 2 2" xfId="57155"/>
    <cellStyle name="Currency 3 2 2 2 2 2 3" xfId="40108"/>
    <cellStyle name="Currency 3 2 2 2 2 3" xfId="22316"/>
    <cellStyle name="Currency 3 2 2 2 2 3 2" xfId="51177"/>
    <cellStyle name="Currency 3 2 2 2 2 4" xfId="34067"/>
    <cellStyle name="Currency 3 2 2 2 3" xfId="8361"/>
    <cellStyle name="Currency 3 2 2 2 3 2" xfId="25408"/>
    <cellStyle name="Currency 3 2 2 2 3 2 2" xfId="54269"/>
    <cellStyle name="Currency 3 2 2 2 3 3" xfId="37222"/>
    <cellStyle name="Currency 3 2 2 2 4" xfId="6066"/>
    <cellStyle name="Currency 3 2 2 2 4 2" xfId="19636"/>
    <cellStyle name="Currency 3 2 2 2 4 2 2" xfId="48497"/>
    <cellStyle name="Currency 3 2 2 2 4 3" xfId="34927"/>
    <cellStyle name="Currency 3 2 2 2 5" xfId="16956"/>
    <cellStyle name="Currency 3 2 2 2 5 2" xfId="45817"/>
    <cellStyle name="Currency 3 2 2 2 6" xfId="31181"/>
    <cellStyle name="Currency 3 2 2 3" xfId="3455"/>
    <cellStyle name="Currency 3 2 2 3 2" xfId="9496"/>
    <cellStyle name="Currency 3 2 2 3 2 2" xfId="26543"/>
    <cellStyle name="Currency 3 2 2 3 2 2 2" xfId="55404"/>
    <cellStyle name="Currency 3 2 2 3 2 3" xfId="38357"/>
    <cellStyle name="Currency 3 2 2 3 3" xfId="20565"/>
    <cellStyle name="Currency 3 2 2 3 3 2" xfId="49426"/>
    <cellStyle name="Currency 3 2 2 3 4" xfId="32316"/>
    <cellStyle name="Currency 3 2 2 4" xfId="6610"/>
    <cellStyle name="Currency 3 2 2 4 2" xfId="23657"/>
    <cellStyle name="Currency 3 2 2 4 2 2" xfId="52518"/>
    <cellStyle name="Currency 3 2 2 4 3" xfId="35471"/>
    <cellStyle name="Currency 3 2 2 5" xfId="13600"/>
    <cellStyle name="Currency 3 2 2 5 2" xfId="17885"/>
    <cellStyle name="Currency 3 2 2 5 2 2" xfId="46746"/>
    <cellStyle name="Currency 3 2 2 5 3" xfId="42461"/>
    <cellStyle name="Currency 3 2 2 6" xfId="15205"/>
    <cellStyle name="Currency 3 2 2 6 2" xfId="44066"/>
    <cellStyle name="Currency 3 2 2 7" xfId="29430"/>
    <cellStyle name="Currency 3 2 3" xfId="877"/>
    <cellStyle name="Currency 3 2 3 2" xfId="3764"/>
    <cellStyle name="Currency 3 2 3 2 2" xfId="9805"/>
    <cellStyle name="Currency 3 2 3 2 2 2" xfId="26852"/>
    <cellStyle name="Currency 3 2 3 2 2 2 2" xfId="55713"/>
    <cellStyle name="Currency 3 2 3 2 2 3" xfId="38666"/>
    <cellStyle name="Currency 3 2 3 2 3" xfId="20874"/>
    <cellStyle name="Currency 3 2 3 2 3 2" xfId="49735"/>
    <cellStyle name="Currency 3 2 3 2 4" xfId="32625"/>
    <cellStyle name="Currency 3 2 3 3" xfId="6919"/>
    <cellStyle name="Currency 3 2 3 3 2" xfId="23966"/>
    <cellStyle name="Currency 3 2 3 3 2 2" xfId="52827"/>
    <cellStyle name="Currency 3 2 3 3 3" xfId="35780"/>
    <cellStyle name="Currency 3 2 3 4" xfId="13460"/>
    <cellStyle name="Currency 3 2 3 4 2" xfId="18194"/>
    <cellStyle name="Currency 3 2 3 4 2 2" xfId="47055"/>
    <cellStyle name="Currency 3 2 3 4 3" xfId="42321"/>
    <cellStyle name="Currency 3 2 3 5" xfId="15514"/>
    <cellStyle name="Currency 3 2 3 5 2" xfId="44375"/>
    <cellStyle name="Currency 3 2 3 6" xfId="29739"/>
    <cellStyle name="Currency 3 2 4" xfId="1083"/>
    <cellStyle name="Currency 3 2 4 2" xfId="3970"/>
    <cellStyle name="Currency 3 2 4 2 2" xfId="10011"/>
    <cellStyle name="Currency 3 2 4 2 2 2" xfId="27058"/>
    <cellStyle name="Currency 3 2 4 2 2 2 2" xfId="55919"/>
    <cellStyle name="Currency 3 2 4 2 2 3" xfId="38872"/>
    <cellStyle name="Currency 3 2 4 2 3" xfId="21080"/>
    <cellStyle name="Currency 3 2 4 2 3 2" xfId="49941"/>
    <cellStyle name="Currency 3 2 4 2 4" xfId="32831"/>
    <cellStyle name="Currency 3 2 4 3" xfId="7125"/>
    <cellStyle name="Currency 3 2 4 3 2" xfId="24172"/>
    <cellStyle name="Currency 3 2 4 3 2 2" xfId="53033"/>
    <cellStyle name="Currency 3 2 4 3 3" xfId="35986"/>
    <cellStyle name="Currency 3 2 4 4" xfId="14333"/>
    <cellStyle name="Currency 3 2 4 4 2" xfId="18400"/>
    <cellStyle name="Currency 3 2 4 4 2 2" xfId="47261"/>
    <cellStyle name="Currency 3 2 4 4 3" xfId="43194"/>
    <cellStyle name="Currency 3 2 4 5" xfId="15720"/>
    <cellStyle name="Currency 3 2 4 5 2" xfId="44581"/>
    <cellStyle name="Currency 3 2 4 6" xfId="29945"/>
    <cellStyle name="Currency 3 2 5" xfId="1289"/>
    <cellStyle name="Currency 3 2 5 2" xfId="4176"/>
    <cellStyle name="Currency 3 2 5 2 2" xfId="10217"/>
    <cellStyle name="Currency 3 2 5 2 2 2" xfId="27264"/>
    <cellStyle name="Currency 3 2 5 2 2 2 2" xfId="56125"/>
    <cellStyle name="Currency 3 2 5 2 2 3" xfId="39078"/>
    <cellStyle name="Currency 3 2 5 2 3" xfId="21286"/>
    <cellStyle name="Currency 3 2 5 2 3 2" xfId="50147"/>
    <cellStyle name="Currency 3 2 5 2 4" xfId="33037"/>
    <cellStyle name="Currency 3 2 5 3" xfId="7331"/>
    <cellStyle name="Currency 3 2 5 3 2" xfId="24378"/>
    <cellStyle name="Currency 3 2 5 3 2 2" xfId="53239"/>
    <cellStyle name="Currency 3 2 5 3 3" xfId="36192"/>
    <cellStyle name="Currency 3 2 5 4" xfId="14084"/>
    <cellStyle name="Currency 3 2 5 4 2" xfId="18606"/>
    <cellStyle name="Currency 3 2 5 4 2 2" xfId="47467"/>
    <cellStyle name="Currency 3 2 5 4 3" xfId="42945"/>
    <cellStyle name="Currency 3 2 5 5" xfId="15926"/>
    <cellStyle name="Currency 3 2 5 5 2" xfId="44787"/>
    <cellStyle name="Currency 3 2 5 6" xfId="30151"/>
    <cellStyle name="Currency 3 2 6" xfId="1495"/>
    <cellStyle name="Currency 3 2 6 2" xfId="4382"/>
    <cellStyle name="Currency 3 2 6 2 2" xfId="10423"/>
    <cellStyle name="Currency 3 2 6 2 2 2" xfId="27470"/>
    <cellStyle name="Currency 3 2 6 2 2 2 2" xfId="56331"/>
    <cellStyle name="Currency 3 2 6 2 2 3" xfId="39284"/>
    <cellStyle name="Currency 3 2 6 2 3" xfId="21492"/>
    <cellStyle name="Currency 3 2 6 2 3 2" xfId="50353"/>
    <cellStyle name="Currency 3 2 6 2 4" xfId="33243"/>
    <cellStyle name="Currency 3 2 6 3" xfId="7537"/>
    <cellStyle name="Currency 3 2 6 3 2" xfId="24584"/>
    <cellStyle name="Currency 3 2 6 3 2 2" xfId="53445"/>
    <cellStyle name="Currency 3 2 6 3 3" xfId="36398"/>
    <cellStyle name="Currency 3 2 6 4" xfId="6083"/>
    <cellStyle name="Currency 3 2 6 4 2" xfId="18812"/>
    <cellStyle name="Currency 3 2 6 4 2 2" xfId="47673"/>
    <cellStyle name="Currency 3 2 6 4 3" xfId="34944"/>
    <cellStyle name="Currency 3 2 6 5" xfId="16132"/>
    <cellStyle name="Currency 3 2 6 5 2" xfId="44993"/>
    <cellStyle name="Currency 3 2 6 6" xfId="30357"/>
    <cellStyle name="Currency 3 2 7" xfId="1701"/>
    <cellStyle name="Currency 3 2 7 2" xfId="4588"/>
    <cellStyle name="Currency 3 2 7 2 2" xfId="10629"/>
    <cellStyle name="Currency 3 2 7 2 2 2" xfId="27676"/>
    <cellStyle name="Currency 3 2 7 2 2 2 2" xfId="56537"/>
    <cellStyle name="Currency 3 2 7 2 2 3" xfId="39490"/>
    <cellStyle name="Currency 3 2 7 2 3" xfId="21698"/>
    <cellStyle name="Currency 3 2 7 2 3 2" xfId="50559"/>
    <cellStyle name="Currency 3 2 7 2 4" xfId="33449"/>
    <cellStyle name="Currency 3 2 7 3" xfId="7743"/>
    <cellStyle name="Currency 3 2 7 3 2" xfId="24790"/>
    <cellStyle name="Currency 3 2 7 3 2 2" xfId="53651"/>
    <cellStyle name="Currency 3 2 7 3 3" xfId="36604"/>
    <cellStyle name="Currency 3 2 7 4" xfId="13359"/>
    <cellStyle name="Currency 3 2 7 4 2" xfId="19018"/>
    <cellStyle name="Currency 3 2 7 4 2 2" xfId="47879"/>
    <cellStyle name="Currency 3 2 7 4 3" xfId="42220"/>
    <cellStyle name="Currency 3 2 7 5" xfId="16338"/>
    <cellStyle name="Currency 3 2 7 5 2" xfId="45199"/>
    <cellStyle name="Currency 3 2 7 6" xfId="30563"/>
    <cellStyle name="Currency 3 2 8" xfId="1907"/>
    <cellStyle name="Currency 3 2 8 2" xfId="4794"/>
    <cellStyle name="Currency 3 2 8 2 2" xfId="10835"/>
    <cellStyle name="Currency 3 2 8 2 2 2" xfId="27882"/>
    <cellStyle name="Currency 3 2 8 2 2 2 2" xfId="56743"/>
    <cellStyle name="Currency 3 2 8 2 2 3" xfId="39696"/>
    <cellStyle name="Currency 3 2 8 2 3" xfId="21904"/>
    <cellStyle name="Currency 3 2 8 2 3 2" xfId="50765"/>
    <cellStyle name="Currency 3 2 8 2 4" xfId="33655"/>
    <cellStyle name="Currency 3 2 8 3" xfId="7949"/>
    <cellStyle name="Currency 3 2 8 3 2" xfId="24996"/>
    <cellStyle name="Currency 3 2 8 3 2 2" xfId="53857"/>
    <cellStyle name="Currency 3 2 8 3 3" xfId="36810"/>
    <cellStyle name="Currency 3 2 8 4" xfId="14468"/>
    <cellStyle name="Currency 3 2 8 4 2" xfId="19224"/>
    <cellStyle name="Currency 3 2 8 4 2 2" xfId="48085"/>
    <cellStyle name="Currency 3 2 8 4 3" xfId="43329"/>
    <cellStyle name="Currency 3 2 8 5" xfId="16544"/>
    <cellStyle name="Currency 3 2 8 5 2" xfId="45405"/>
    <cellStyle name="Currency 3 2 8 6" xfId="30769"/>
    <cellStyle name="Currency 3 2 9" xfId="2113"/>
    <cellStyle name="Currency 3 2 9 2" xfId="5000"/>
    <cellStyle name="Currency 3 2 9 2 2" xfId="11041"/>
    <cellStyle name="Currency 3 2 9 2 2 2" xfId="28088"/>
    <cellStyle name="Currency 3 2 9 2 2 2 2" xfId="56949"/>
    <cellStyle name="Currency 3 2 9 2 2 3" xfId="39902"/>
    <cellStyle name="Currency 3 2 9 2 3" xfId="22110"/>
    <cellStyle name="Currency 3 2 9 2 3 2" xfId="50971"/>
    <cellStyle name="Currency 3 2 9 2 4" xfId="33861"/>
    <cellStyle name="Currency 3 2 9 3" xfId="8155"/>
    <cellStyle name="Currency 3 2 9 3 2" xfId="25202"/>
    <cellStyle name="Currency 3 2 9 3 2 2" xfId="54063"/>
    <cellStyle name="Currency 3 2 9 3 3" xfId="37016"/>
    <cellStyle name="Currency 3 2 9 4" xfId="14189"/>
    <cellStyle name="Currency 3 2 9 4 2" xfId="19430"/>
    <cellStyle name="Currency 3 2 9 4 2 2" xfId="48291"/>
    <cellStyle name="Currency 3 2 9 4 3" xfId="43050"/>
    <cellStyle name="Currency 3 2 9 5" xfId="16750"/>
    <cellStyle name="Currency 3 2 9 5 2" xfId="45611"/>
    <cellStyle name="Currency 3 2 9 6" xfId="30975"/>
    <cellStyle name="Currency 3 20" xfId="29018"/>
    <cellStyle name="Currency 3 3" xfId="259"/>
    <cellStyle name="Currency 3 3 2" xfId="671"/>
    <cellStyle name="Currency 3 3 2 2" xfId="3558"/>
    <cellStyle name="Currency 3 3 2 2 2" xfId="9599"/>
    <cellStyle name="Currency 3 3 2 2 2 2" xfId="26646"/>
    <cellStyle name="Currency 3 3 2 2 2 2 2" xfId="55507"/>
    <cellStyle name="Currency 3 3 2 2 2 3" xfId="38460"/>
    <cellStyle name="Currency 3 3 2 2 3" xfId="20668"/>
    <cellStyle name="Currency 3 3 2 2 3 2" xfId="49529"/>
    <cellStyle name="Currency 3 3 2 2 4" xfId="32419"/>
    <cellStyle name="Currency 3 3 2 3" xfId="6713"/>
    <cellStyle name="Currency 3 3 2 3 2" xfId="23760"/>
    <cellStyle name="Currency 3 3 2 3 2 2" xfId="52621"/>
    <cellStyle name="Currency 3 3 2 3 3" xfId="35574"/>
    <cellStyle name="Currency 3 3 2 4" xfId="13753"/>
    <cellStyle name="Currency 3 3 2 4 2" xfId="17988"/>
    <cellStyle name="Currency 3 3 2 4 2 2" xfId="46849"/>
    <cellStyle name="Currency 3 3 2 4 3" xfId="42614"/>
    <cellStyle name="Currency 3 3 2 5" xfId="15308"/>
    <cellStyle name="Currency 3 3 2 5 2" xfId="44169"/>
    <cellStyle name="Currency 3 3 2 6" xfId="29533"/>
    <cellStyle name="Currency 3 3 3" xfId="2216"/>
    <cellStyle name="Currency 3 3 3 2" xfId="5103"/>
    <cellStyle name="Currency 3 3 3 2 2" xfId="11144"/>
    <cellStyle name="Currency 3 3 3 2 2 2" xfId="28191"/>
    <cellStyle name="Currency 3 3 3 2 2 2 2" xfId="57052"/>
    <cellStyle name="Currency 3 3 3 2 2 3" xfId="40005"/>
    <cellStyle name="Currency 3 3 3 2 3" xfId="22213"/>
    <cellStyle name="Currency 3 3 3 2 3 2" xfId="51074"/>
    <cellStyle name="Currency 3 3 3 2 4" xfId="33964"/>
    <cellStyle name="Currency 3 3 3 3" xfId="8258"/>
    <cellStyle name="Currency 3 3 3 3 2" xfId="25305"/>
    <cellStyle name="Currency 3 3 3 3 2 2" xfId="54166"/>
    <cellStyle name="Currency 3 3 3 3 3" xfId="37119"/>
    <cellStyle name="Currency 3 3 3 4" xfId="14283"/>
    <cellStyle name="Currency 3 3 3 4 2" xfId="19533"/>
    <cellStyle name="Currency 3 3 3 4 2 2" xfId="48394"/>
    <cellStyle name="Currency 3 3 3 4 3" xfId="43144"/>
    <cellStyle name="Currency 3 3 3 5" xfId="16853"/>
    <cellStyle name="Currency 3 3 3 5 2" xfId="45714"/>
    <cellStyle name="Currency 3 3 3 6" xfId="31078"/>
    <cellStyle name="Currency 3 3 4" xfId="3146"/>
    <cellStyle name="Currency 3 3 4 2" xfId="9187"/>
    <cellStyle name="Currency 3 3 4 2 2" xfId="26234"/>
    <cellStyle name="Currency 3 3 4 2 2 2" xfId="55095"/>
    <cellStyle name="Currency 3 3 4 2 3" xfId="38048"/>
    <cellStyle name="Currency 3 3 4 3" xfId="20256"/>
    <cellStyle name="Currency 3 3 4 3 2" xfId="49117"/>
    <cellStyle name="Currency 3 3 4 4" xfId="32007"/>
    <cellStyle name="Currency 3 3 5" xfId="6301"/>
    <cellStyle name="Currency 3 3 5 2" xfId="23348"/>
    <cellStyle name="Currency 3 3 5 2 2" xfId="52209"/>
    <cellStyle name="Currency 3 3 5 3" xfId="35162"/>
    <cellStyle name="Currency 3 3 6" xfId="13024"/>
    <cellStyle name="Currency 3 3 6 2" xfId="17679"/>
    <cellStyle name="Currency 3 3 6 2 2" xfId="46540"/>
    <cellStyle name="Currency 3 3 6 3" xfId="41885"/>
    <cellStyle name="Currency 3 3 7" xfId="14896"/>
    <cellStyle name="Currency 3 3 7 2" xfId="43757"/>
    <cellStyle name="Currency 3 3 8" xfId="29121"/>
    <cellStyle name="Currency 3 4" xfId="465"/>
    <cellStyle name="Currency 3 4 2" xfId="3352"/>
    <cellStyle name="Currency 3 4 2 2" xfId="9393"/>
    <cellStyle name="Currency 3 4 2 2 2" xfId="26440"/>
    <cellStyle name="Currency 3 4 2 2 2 2" xfId="55301"/>
    <cellStyle name="Currency 3 4 2 2 3" xfId="38254"/>
    <cellStyle name="Currency 3 4 2 3" xfId="20462"/>
    <cellStyle name="Currency 3 4 2 3 2" xfId="49323"/>
    <cellStyle name="Currency 3 4 2 4" xfId="32213"/>
    <cellStyle name="Currency 3 4 3" xfId="6507"/>
    <cellStyle name="Currency 3 4 3 2" xfId="23554"/>
    <cellStyle name="Currency 3 4 3 2 2" xfId="52415"/>
    <cellStyle name="Currency 3 4 3 3" xfId="35368"/>
    <cellStyle name="Currency 3 4 4" xfId="12577"/>
    <cellStyle name="Currency 3 4 4 2" xfId="17782"/>
    <cellStyle name="Currency 3 4 4 2 2" xfId="46643"/>
    <cellStyle name="Currency 3 4 4 3" xfId="41438"/>
    <cellStyle name="Currency 3 4 5" xfId="15102"/>
    <cellStyle name="Currency 3 4 5 2" xfId="43963"/>
    <cellStyle name="Currency 3 4 6" xfId="29327"/>
    <cellStyle name="Currency 3 5" xfId="774"/>
    <cellStyle name="Currency 3 5 2" xfId="3661"/>
    <cellStyle name="Currency 3 5 2 2" xfId="9702"/>
    <cellStyle name="Currency 3 5 2 2 2" xfId="26749"/>
    <cellStyle name="Currency 3 5 2 2 2 2" xfId="55610"/>
    <cellStyle name="Currency 3 5 2 2 3" xfId="38563"/>
    <cellStyle name="Currency 3 5 2 3" xfId="20771"/>
    <cellStyle name="Currency 3 5 2 3 2" xfId="49632"/>
    <cellStyle name="Currency 3 5 2 4" xfId="32522"/>
    <cellStyle name="Currency 3 5 3" xfId="6816"/>
    <cellStyle name="Currency 3 5 3 2" xfId="23863"/>
    <cellStyle name="Currency 3 5 3 2 2" xfId="52724"/>
    <cellStyle name="Currency 3 5 3 3" xfId="35677"/>
    <cellStyle name="Currency 3 5 4" xfId="13008"/>
    <cellStyle name="Currency 3 5 4 2" xfId="18091"/>
    <cellStyle name="Currency 3 5 4 2 2" xfId="46952"/>
    <cellStyle name="Currency 3 5 4 3" xfId="41869"/>
    <cellStyle name="Currency 3 5 5" xfId="15411"/>
    <cellStyle name="Currency 3 5 5 2" xfId="44272"/>
    <cellStyle name="Currency 3 5 6" xfId="29636"/>
    <cellStyle name="Currency 3 6" xfId="980"/>
    <cellStyle name="Currency 3 6 2" xfId="3867"/>
    <cellStyle name="Currency 3 6 2 2" xfId="9908"/>
    <cellStyle name="Currency 3 6 2 2 2" xfId="26955"/>
    <cellStyle name="Currency 3 6 2 2 2 2" xfId="55816"/>
    <cellStyle name="Currency 3 6 2 2 3" xfId="38769"/>
    <cellStyle name="Currency 3 6 2 3" xfId="20977"/>
    <cellStyle name="Currency 3 6 2 3 2" xfId="49838"/>
    <cellStyle name="Currency 3 6 2 4" xfId="32728"/>
    <cellStyle name="Currency 3 6 3" xfId="7022"/>
    <cellStyle name="Currency 3 6 3 2" xfId="24069"/>
    <cellStyle name="Currency 3 6 3 2 2" xfId="52930"/>
    <cellStyle name="Currency 3 6 3 3" xfId="35883"/>
    <cellStyle name="Currency 3 6 4" xfId="13570"/>
    <cellStyle name="Currency 3 6 4 2" xfId="18297"/>
    <cellStyle name="Currency 3 6 4 2 2" xfId="47158"/>
    <cellStyle name="Currency 3 6 4 3" xfId="42431"/>
    <cellStyle name="Currency 3 6 5" xfId="15617"/>
    <cellStyle name="Currency 3 6 5 2" xfId="44478"/>
    <cellStyle name="Currency 3 6 6" xfId="29842"/>
    <cellStyle name="Currency 3 7" xfId="1186"/>
    <cellStyle name="Currency 3 7 2" xfId="4073"/>
    <cellStyle name="Currency 3 7 2 2" xfId="10114"/>
    <cellStyle name="Currency 3 7 2 2 2" xfId="27161"/>
    <cellStyle name="Currency 3 7 2 2 2 2" xfId="56022"/>
    <cellStyle name="Currency 3 7 2 2 3" xfId="38975"/>
    <cellStyle name="Currency 3 7 2 3" xfId="21183"/>
    <cellStyle name="Currency 3 7 2 3 2" xfId="50044"/>
    <cellStyle name="Currency 3 7 2 4" xfId="32934"/>
    <cellStyle name="Currency 3 7 3" xfId="7228"/>
    <cellStyle name="Currency 3 7 3 2" xfId="24275"/>
    <cellStyle name="Currency 3 7 3 2 2" xfId="53136"/>
    <cellStyle name="Currency 3 7 3 3" xfId="36089"/>
    <cellStyle name="Currency 3 7 4" xfId="6068"/>
    <cellStyle name="Currency 3 7 4 2" xfId="18503"/>
    <cellStyle name="Currency 3 7 4 2 2" xfId="47364"/>
    <cellStyle name="Currency 3 7 4 3" xfId="34929"/>
    <cellStyle name="Currency 3 7 5" xfId="15823"/>
    <cellStyle name="Currency 3 7 5 2" xfId="44684"/>
    <cellStyle name="Currency 3 7 6" xfId="30048"/>
    <cellStyle name="Currency 3 8" xfId="1392"/>
    <cellStyle name="Currency 3 8 2" xfId="4279"/>
    <cellStyle name="Currency 3 8 2 2" xfId="10320"/>
    <cellStyle name="Currency 3 8 2 2 2" xfId="27367"/>
    <cellStyle name="Currency 3 8 2 2 2 2" xfId="56228"/>
    <cellStyle name="Currency 3 8 2 2 3" xfId="39181"/>
    <cellStyle name="Currency 3 8 2 3" xfId="21389"/>
    <cellStyle name="Currency 3 8 2 3 2" xfId="50250"/>
    <cellStyle name="Currency 3 8 2 4" xfId="33140"/>
    <cellStyle name="Currency 3 8 3" xfId="7434"/>
    <cellStyle name="Currency 3 8 3 2" xfId="24481"/>
    <cellStyle name="Currency 3 8 3 2 2" xfId="53342"/>
    <cellStyle name="Currency 3 8 3 3" xfId="36295"/>
    <cellStyle name="Currency 3 8 4" xfId="12829"/>
    <cellStyle name="Currency 3 8 4 2" xfId="18709"/>
    <cellStyle name="Currency 3 8 4 2 2" xfId="47570"/>
    <cellStyle name="Currency 3 8 4 3" xfId="41690"/>
    <cellStyle name="Currency 3 8 5" xfId="16029"/>
    <cellStyle name="Currency 3 8 5 2" xfId="44890"/>
    <cellStyle name="Currency 3 8 6" xfId="30254"/>
    <cellStyle name="Currency 3 9" xfId="1598"/>
    <cellStyle name="Currency 3 9 2" xfId="4485"/>
    <cellStyle name="Currency 3 9 2 2" xfId="10526"/>
    <cellStyle name="Currency 3 9 2 2 2" xfId="27573"/>
    <cellStyle name="Currency 3 9 2 2 2 2" xfId="56434"/>
    <cellStyle name="Currency 3 9 2 2 3" xfId="39387"/>
    <cellStyle name="Currency 3 9 2 3" xfId="21595"/>
    <cellStyle name="Currency 3 9 2 3 2" xfId="50456"/>
    <cellStyle name="Currency 3 9 2 4" xfId="33346"/>
    <cellStyle name="Currency 3 9 3" xfId="7640"/>
    <cellStyle name="Currency 3 9 3 2" xfId="24687"/>
    <cellStyle name="Currency 3 9 3 2 2" xfId="53548"/>
    <cellStyle name="Currency 3 9 3 3" xfId="36501"/>
    <cellStyle name="Currency 3 9 4" xfId="14235"/>
    <cellStyle name="Currency 3 9 4 2" xfId="18915"/>
    <cellStyle name="Currency 3 9 4 2 2" xfId="47776"/>
    <cellStyle name="Currency 3 9 4 3" xfId="43096"/>
    <cellStyle name="Currency 3 9 5" xfId="16235"/>
    <cellStyle name="Currency 3 9 5 2" xfId="45096"/>
    <cellStyle name="Currency 3 9 6" xfId="30460"/>
    <cellStyle name="Currency 4" xfId="160"/>
    <cellStyle name="Currency 4 10" xfId="1808"/>
    <cellStyle name="Currency 4 10 2" xfId="4695"/>
    <cellStyle name="Currency 4 10 2 2" xfId="10736"/>
    <cellStyle name="Currency 4 10 2 2 2" xfId="27783"/>
    <cellStyle name="Currency 4 10 2 2 2 2" xfId="56644"/>
    <cellStyle name="Currency 4 10 2 2 3" xfId="39597"/>
    <cellStyle name="Currency 4 10 2 3" xfId="21805"/>
    <cellStyle name="Currency 4 10 2 3 2" xfId="50666"/>
    <cellStyle name="Currency 4 10 2 4" xfId="33556"/>
    <cellStyle name="Currency 4 10 3" xfId="7850"/>
    <cellStyle name="Currency 4 10 3 2" xfId="24897"/>
    <cellStyle name="Currency 4 10 3 2 2" xfId="53758"/>
    <cellStyle name="Currency 4 10 3 3" xfId="36711"/>
    <cellStyle name="Currency 4 10 4" xfId="11889"/>
    <cellStyle name="Currency 4 10 4 2" xfId="19125"/>
    <cellStyle name="Currency 4 10 4 2 2" xfId="47986"/>
    <cellStyle name="Currency 4 10 4 3" xfId="40750"/>
    <cellStyle name="Currency 4 10 5" xfId="16445"/>
    <cellStyle name="Currency 4 10 5 2" xfId="45306"/>
    <cellStyle name="Currency 4 10 6" xfId="30670"/>
    <cellStyle name="Currency 4 11" xfId="2014"/>
    <cellStyle name="Currency 4 11 2" xfId="4901"/>
    <cellStyle name="Currency 4 11 2 2" xfId="10942"/>
    <cellStyle name="Currency 4 11 2 2 2" xfId="27989"/>
    <cellStyle name="Currency 4 11 2 2 2 2" xfId="56850"/>
    <cellStyle name="Currency 4 11 2 2 3" xfId="39803"/>
    <cellStyle name="Currency 4 11 2 3" xfId="22011"/>
    <cellStyle name="Currency 4 11 2 3 2" xfId="50872"/>
    <cellStyle name="Currency 4 11 2 4" xfId="33762"/>
    <cellStyle name="Currency 4 11 3" xfId="8056"/>
    <cellStyle name="Currency 4 11 3 2" xfId="25103"/>
    <cellStyle name="Currency 4 11 3 2 2" xfId="53964"/>
    <cellStyle name="Currency 4 11 3 3" xfId="36917"/>
    <cellStyle name="Currency 4 11 4" xfId="12420"/>
    <cellStyle name="Currency 4 11 4 2" xfId="19331"/>
    <cellStyle name="Currency 4 11 4 2 2" xfId="48192"/>
    <cellStyle name="Currency 4 11 4 3" xfId="41281"/>
    <cellStyle name="Currency 4 11 5" xfId="16651"/>
    <cellStyle name="Currency 4 11 5 2" xfId="45512"/>
    <cellStyle name="Currency 4 11 6" xfId="30876"/>
    <cellStyle name="Currency 4 12" xfId="2426"/>
    <cellStyle name="Currency 4 12 2" xfId="5313"/>
    <cellStyle name="Currency 4 12 2 2" xfId="11354"/>
    <cellStyle name="Currency 4 12 2 2 2" xfId="28401"/>
    <cellStyle name="Currency 4 12 2 2 2 2" xfId="57262"/>
    <cellStyle name="Currency 4 12 2 2 3" xfId="40215"/>
    <cellStyle name="Currency 4 12 2 3" xfId="22423"/>
    <cellStyle name="Currency 4 12 2 3 2" xfId="51284"/>
    <cellStyle name="Currency 4 12 2 4" xfId="34174"/>
    <cellStyle name="Currency 4 12 3" xfId="8468"/>
    <cellStyle name="Currency 4 12 3 2" xfId="25515"/>
    <cellStyle name="Currency 4 12 3 2 2" xfId="54376"/>
    <cellStyle name="Currency 4 12 3 3" xfId="37329"/>
    <cellStyle name="Currency 4 12 4" xfId="14025"/>
    <cellStyle name="Currency 4 12 4 2" xfId="19743"/>
    <cellStyle name="Currency 4 12 4 2 2" xfId="48604"/>
    <cellStyle name="Currency 4 12 4 3" xfId="42886"/>
    <cellStyle name="Currency 4 12 5" xfId="17063"/>
    <cellStyle name="Currency 4 12 5 2" xfId="45924"/>
    <cellStyle name="Currency 4 12 6" xfId="31288"/>
    <cellStyle name="Currency 4 13" xfId="2635"/>
    <cellStyle name="Currency 4 13 2" xfId="5521"/>
    <cellStyle name="Currency 4 13 2 2" xfId="11562"/>
    <cellStyle name="Currency 4 13 2 2 2" xfId="28609"/>
    <cellStyle name="Currency 4 13 2 2 2 2" xfId="57470"/>
    <cellStyle name="Currency 4 13 2 2 3" xfId="40423"/>
    <cellStyle name="Currency 4 13 2 3" xfId="22631"/>
    <cellStyle name="Currency 4 13 2 3 2" xfId="51492"/>
    <cellStyle name="Currency 4 13 2 4" xfId="34382"/>
    <cellStyle name="Currency 4 13 3" xfId="8676"/>
    <cellStyle name="Currency 4 13 3 2" xfId="25723"/>
    <cellStyle name="Currency 4 13 3 2 2" xfId="54584"/>
    <cellStyle name="Currency 4 13 3 3" xfId="37537"/>
    <cellStyle name="Currency 4 13 4" xfId="12282"/>
    <cellStyle name="Currency 4 13 4 2" xfId="19951"/>
    <cellStyle name="Currency 4 13 4 2 2" xfId="48812"/>
    <cellStyle name="Currency 4 13 4 3" xfId="41143"/>
    <cellStyle name="Currency 4 13 5" xfId="17271"/>
    <cellStyle name="Currency 4 13 5 2" xfId="46132"/>
    <cellStyle name="Currency 4 13 6" xfId="31496"/>
    <cellStyle name="Currency 4 14" xfId="3047"/>
    <cellStyle name="Currency 4 14 2" xfId="9088"/>
    <cellStyle name="Currency 4 14 2 2" xfId="26135"/>
    <cellStyle name="Currency 4 14 2 2 2" xfId="54996"/>
    <cellStyle name="Currency 4 14 2 3" xfId="37949"/>
    <cellStyle name="Currency 4 14 3" xfId="13714"/>
    <cellStyle name="Currency 4 14 3 2" xfId="20157"/>
    <cellStyle name="Currency 4 14 3 2 2" xfId="49018"/>
    <cellStyle name="Currency 4 14 3 3" xfId="42575"/>
    <cellStyle name="Currency 4 14 4" xfId="14797"/>
    <cellStyle name="Currency 4 14 4 2" xfId="43658"/>
    <cellStyle name="Currency 4 14 5" xfId="31908"/>
    <cellStyle name="Currency 4 15" xfId="2841"/>
    <cellStyle name="Currency 4 15 2" xfId="8882"/>
    <cellStyle name="Currency 4 15 2 2" xfId="25929"/>
    <cellStyle name="Currency 4 15 2 2 2" xfId="54790"/>
    <cellStyle name="Currency 4 15 2 3" xfId="37743"/>
    <cellStyle name="Currency 4 15 3" xfId="17477"/>
    <cellStyle name="Currency 4 15 3 2" xfId="46338"/>
    <cellStyle name="Currency 4 15 4" xfId="31702"/>
    <cellStyle name="Currency 4 16" xfId="5727"/>
    <cellStyle name="Currency 4 16 2" xfId="11768"/>
    <cellStyle name="Currency 4 16 2 2" xfId="28815"/>
    <cellStyle name="Currency 4 16 2 2 2" xfId="57676"/>
    <cellStyle name="Currency 4 16 2 3" xfId="40629"/>
    <cellStyle name="Currency 4 16 3" xfId="22837"/>
    <cellStyle name="Currency 4 16 3 2" xfId="51698"/>
    <cellStyle name="Currency 4 16 4" xfId="34588"/>
    <cellStyle name="Currency 4 17" xfId="5944"/>
    <cellStyle name="Currency 4 17 2" xfId="23043"/>
    <cellStyle name="Currency 4 17 2 2" xfId="51904"/>
    <cellStyle name="Currency 4 17 3" xfId="34805"/>
    <cellStyle name="Currency 4 18" xfId="6202"/>
    <cellStyle name="Currency 4 18 2" xfId="23249"/>
    <cellStyle name="Currency 4 18 2 2" xfId="52110"/>
    <cellStyle name="Currency 4 18 3" xfId="35063"/>
    <cellStyle name="Currency 4 19" xfId="14591"/>
    <cellStyle name="Currency 4 19 2" xfId="43452"/>
    <cellStyle name="Currency 4 2" xfId="366"/>
    <cellStyle name="Currency 4 2 10" xfId="2529"/>
    <cellStyle name="Currency 4 2 10 2" xfId="5416"/>
    <cellStyle name="Currency 4 2 10 2 2" xfId="11457"/>
    <cellStyle name="Currency 4 2 10 2 2 2" xfId="28504"/>
    <cellStyle name="Currency 4 2 10 2 2 2 2" xfId="57365"/>
    <cellStyle name="Currency 4 2 10 2 2 3" xfId="40318"/>
    <cellStyle name="Currency 4 2 10 2 3" xfId="22526"/>
    <cellStyle name="Currency 4 2 10 2 3 2" xfId="51387"/>
    <cellStyle name="Currency 4 2 10 2 4" xfId="34277"/>
    <cellStyle name="Currency 4 2 10 3" xfId="8571"/>
    <cellStyle name="Currency 4 2 10 3 2" xfId="25618"/>
    <cellStyle name="Currency 4 2 10 3 2 2" xfId="54479"/>
    <cellStyle name="Currency 4 2 10 3 3" xfId="37432"/>
    <cellStyle name="Currency 4 2 10 4" xfId="14127"/>
    <cellStyle name="Currency 4 2 10 4 2" xfId="19846"/>
    <cellStyle name="Currency 4 2 10 4 2 2" xfId="48707"/>
    <cellStyle name="Currency 4 2 10 4 3" xfId="42988"/>
    <cellStyle name="Currency 4 2 10 5" xfId="17166"/>
    <cellStyle name="Currency 4 2 10 5 2" xfId="46027"/>
    <cellStyle name="Currency 4 2 10 6" xfId="31391"/>
    <cellStyle name="Currency 4 2 11" xfId="2738"/>
    <cellStyle name="Currency 4 2 11 2" xfId="5624"/>
    <cellStyle name="Currency 4 2 11 2 2" xfId="11665"/>
    <cellStyle name="Currency 4 2 11 2 2 2" xfId="28712"/>
    <cellStyle name="Currency 4 2 11 2 2 2 2" xfId="57573"/>
    <cellStyle name="Currency 4 2 11 2 2 3" xfId="40526"/>
    <cellStyle name="Currency 4 2 11 2 3" xfId="22734"/>
    <cellStyle name="Currency 4 2 11 2 3 2" xfId="51595"/>
    <cellStyle name="Currency 4 2 11 2 4" xfId="34485"/>
    <cellStyle name="Currency 4 2 11 3" xfId="8779"/>
    <cellStyle name="Currency 4 2 11 3 2" xfId="25826"/>
    <cellStyle name="Currency 4 2 11 3 2 2" xfId="54687"/>
    <cellStyle name="Currency 4 2 11 3 3" xfId="37640"/>
    <cellStyle name="Currency 4 2 11 4" xfId="13584"/>
    <cellStyle name="Currency 4 2 11 4 2" xfId="20054"/>
    <cellStyle name="Currency 4 2 11 4 2 2" xfId="48915"/>
    <cellStyle name="Currency 4 2 11 4 3" xfId="42445"/>
    <cellStyle name="Currency 4 2 11 5" xfId="17374"/>
    <cellStyle name="Currency 4 2 11 5 2" xfId="46235"/>
    <cellStyle name="Currency 4 2 11 6" xfId="31599"/>
    <cellStyle name="Currency 4 2 12" xfId="3253"/>
    <cellStyle name="Currency 4 2 12 2" xfId="9294"/>
    <cellStyle name="Currency 4 2 12 2 2" xfId="26341"/>
    <cellStyle name="Currency 4 2 12 2 2 2" xfId="55202"/>
    <cellStyle name="Currency 4 2 12 2 3" xfId="38155"/>
    <cellStyle name="Currency 4 2 12 3" xfId="14175"/>
    <cellStyle name="Currency 4 2 12 3 2" xfId="20363"/>
    <cellStyle name="Currency 4 2 12 3 2 2" xfId="49224"/>
    <cellStyle name="Currency 4 2 12 3 3" xfId="43036"/>
    <cellStyle name="Currency 4 2 12 4" xfId="15003"/>
    <cellStyle name="Currency 4 2 12 4 2" xfId="43864"/>
    <cellStyle name="Currency 4 2 12 5" xfId="32114"/>
    <cellStyle name="Currency 4 2 13" xfId="2944"/>
    <cellStyle name="Currency 4 2 13 2" xfId="8985"/>
    <cellStyle name="Currency 4 2 13 2 2" xfId="26032"/>
    <cellStyle name="Currency 4 2 13 2 2 2" xfId="54893"/>
    <cellStyle name="Currency 4 2 13 2 3" xfId="37846"/>
    <cellStyle name="Currency 4 2 13 3" xfId="17580"/>
    <cellStyle name="Currency 4 2 13 3 2" xfId="46441"/>
    <cellStyle name="Currency 4 2 13 4" xfId="31805"/>
    <cellStyle name="Currency 4 2 14" xfId="5830"/>
    <cellStyle name="Currency 4 2 14 2" xfId="11871"/>
    <cellStyle name="Currency 4 2 14 2 2" xfId="28918"/>
    <cellStyle name="Currency 4 2 14 2 2 2" xfId="57779"/>
    <cellStyle name="Currency 4 2 14 2 3" xfId="40732"/>
    <cellStyle name="Currency 4 2 14 3" xfId="22940"/>
    <cellStyle name="Currency 4 2 14 3 2" xfId="51801"/>
    <cellStyle name="Currency 4 2 14 4" xfId="34691"/>
    <cellStyle name="Currency 4 2 15" xfId="6047"/>
    <cellStyle name="Currency 4 2 15 2" xfId="23146"/>
    <cellStyle name="Currency 4 2 15 2 2" xfId="52007"/>
    <cellStyle name="Currency 4 2 15 3" xfId="34908"/>
    <cellStyle name="Currency 4 2 16" xfId="6408"/>
    <cellStyle name="Currency 4 2 16 2" xfId="23455"/>
    <cellStyle name="Currency 4 2 16 2 2" xfId="52316"/>
    <cellStyle name="Currency 4 2 16 3" xfId="35269"/>
    <cellStyle name="Currency 4 2 17" xfId="14694"/>
    <cellStyle name="Currency 4 2 17 2" xfId="43555"/>
    <cellStyle name="Currency 4 2 18" xfId="29228"/>
    <cellStyle name="Currency 4 2 2" xfId="572"/>
    <cellStyle name="Currency 4 2 2 2" xfId="2323"/>
    <cellStyle name="Currency 4 2 2 2 2" xfId="5210"/>
    <cellStyle name="Currency 4 2 2 2 2 2" xfId="11251"/>
    <cellStyle name="Currency 4 2 2 2 2 2 2" xfId="28298"/>
    <cellStyle name="Currency 4 2 2 2 2 2 2 2" xfId="57159"/>
    <cellStyle name="Currency 4 2 2 2 2 2 3" xfId="40112"/>
    <cellStyle name="Currency 4 2 2 2 2 3" xfId="22320"/>
    <cellStyle name="Currency 4 2 2 2 2 3 2" xfId="51181"/>
    <cellStyle name="Currency 4 2 2 2 2 4" xfId="34071"/>
    <cellStyle name="Currency 4 2 2 2 3" xfId="8365"/>
    <cellStyle name="Currency 4 2 2 2 3 2" xfId="25412"/>
    <cellStyle name="Currency 4 2 2 2 3 2 2" xfId="54273"/>
    <cellStyle name="Currency 4 2 2 2 3 3" xfId="37226"/>
    <cellStyle name="Currency 4 2 2 2 4" xfId="12812"/>
    <cellStyle name="Currency 4 2 2 2 4 2" xfId="19640"/>
    <cellStyle name="Currency 4 2 2 2 4 2 2" xfId="48501"/>
    <cellStyle name="Currency 4 2 2 2 4 3" xfId="41673"/>
    <cellStyle name="Currency 4 2 2 2 5" xfId="16960"/>
    <cellStyle name="Currency 4 2 2 2 5 2" xfId="45821"/>
    <cellStyle name="Currency 4 2 2 2 6" xfId="31185"/>
    <cellStyle name="Currency 4 2 2 3" xfId="3459"/>
    <cellStyle name="Currency 4 2 2 3 2" xfId="9500"/>
    <cellStyle name="Currency 4 2 2 3 2 2" xfId="26547"/>
    <cellStyle name="Currency 4 2 2 3 2 2 2" xfId="55408"/>
    <cellStyle name="Currency 4 2 2 3 2 3" xfId="38361"/>
    <cellStyle name="Currency 4 2 2 3 3" xfId="20569"/>
    <cellStyle name="Currency 4 2 2 3 3 2" xfId="49430"/>
    <cellStyle name="Currency 4 2 2 3 4" xfId="32320"/>
    <cellStyle name="Currency 4 2 2 4" xfId="6614"/>
    <cellStyle name="Currency 4 2 2 4 2" xfId="23661"/>
    <cellStyle name="Currency 4 2 2 4 2 2" xfId="52522"/>
    <cellStyle name="Currency 4 2 2 4 3" xfId="35475"/>
    <cellStyle name="Currency 4 2 2 5" xfId="13741"/>
    <cellStyle name="Currency 4 2 2 5 2" xfId="17889"/>
    <cellStyle name="Currency 4 2 2 5 2 2" xfId="46750"/>
    <cellStyle name="Currency 4 2 2 5 3" xfId="42602"/>
    <cellStyle name="Currency 4 2 2 6" xfId="15209"/>
    <cellStyle name="Currency 4 2 2 6 2" xfId="44070"/>
    <cellStyle name="Currency 4 2 2 7" xfId="29434"/>
    <cellStyle name="Currency 4 2 3" xfId="881"/>
    <cellStyle name="Currency 4 2 3 2" xfId="3768"/>
    <cellStyle name="Currency 4 2 3 2 2" xfId="9809"/>
    <cellStyle name="Currency 4 2 3 2 2 2" xfId="26856"/>
    <cellStyle name="Currency 4 2 3 2 2 2 2" xfId="55717"/>
    <cellStyle name="Currency 4 2 3 2 2 3" xfId="38670"/>
    <cellStyle name="Currency 4 2 3 2 3" xfId="20878"/>
    <cellStyle name="Currency 4 2 3 2 3 2" xfId="49739"/>
    <cellStyle name="Currency 4 2 3 2 4" xfId="32629"/>
    <cellStyle name="Currency 4 2 3 3" xfId="6923"/>
    <cellStyle name="Currency 4 2 3 3 2" xfId="23970"/>
    <cellStyle name="Currency 4 2 3 3 2 2" xfId="52831"/>
    <cellStyle name="Currency 4 2 3 3 3" xfId="35784"/>
    <cellStyle name="Currency 4 2 3 4" xfId="13198"/>
    <cellStyle name="Currency 4 2 3 4 2" xfId="18198"/>
    <cellStyle name="Currency 4 2 3 4 2 2" xfId="47059"/>
    <cellStyle name="Currency 4 2 3 4 3" xfId="42059"/>
    <cellStyle name="Currency 4 2 3 5" xfId="15518"/>
    <cellStyle name="Currency 4 2 3 5 2" xfId="44379"/>
    <cellStyle name="Currency 4 2 3 6" xfId="29743"/>
    <cellStyle name="Currency 4 2 4" xfId="1087"/>
    <cellStyle name="Currency 4 2 4 2" xfId="3974"/>
    <cellStyle name="Currency 4 2 4 2 2" xfId="10015"/>
    <cellStyle name="Currency 4 2 4 2 2 2" xfId="27062"/>
    <cellStyle name="Currency 4 2 4 2 2 2 2" xfId="55923"/>
    <cellStyle name="Currency 4 2 4 2 2 3" xfId="38876"/>
    <cellStyle name="Currency 4 2 4 2 3" xfId="21084"/>
    <cellStyle name="Currency 4 2 4 2 3 2" xfId="49945"/>
    <cellStyle name="Currency 4 2 4 2 4" xfId="32835"/>
    <cellStyle name="Currency 4 2 4 3" xfId="7129"/>
    <cellStyle name="Currency 4 2 4 3 2" xfId="24176"/>
    <cellStyle name="Currency 4 2 4 3 2 2" xfId="53037"/>
    <cellStyle name="Currency 4 2 4 3 3" xfId="35990"/>
    <cellStyle name="Currency 4 2 4 4" xfId="12869"/>
    <cellStyle name="Currency 4 2 4 4 2" xfId="18404"/>
    <cellStyle name="Currency 4 2 4 4 2 2" xfId="47265"/>
    <cellStyle name="Currency 4 2 4 4 3" xfId="41730"/>
    <cellStyle name="Currency 4 2 4 5" xfId="15724"/>
    <cellStyle name="Currency 4 2 4 5 2" xfId="44585"/>
    <cellStyle name="Currency 4 2 4 6" xfId="29949"/>
    <cellStyle name="Currency 4 2 5" xfId="1293"/>
    <cellStyle name="Currency 4 2 5 2" xfId="4180"/>
    <cellStyle name="Currency 4 2 5 2 2" xfId="10221"/>
    <cellStyle name="Currency 4 2 5 2 2 2" xfId="27268"/>
    <cellStyle name="Currency 4 2 5 2 2 2 2" xfId="56129"/>
    <cellStyle name="Currency 4 2 5 2 2 3" xfId="39082"/>
    <cellStyle name="Currency 4 2 5 2 3" xfId="21290"/>
    <cellStyle name="Currency 4 2 5 2 3 2" xfId="50151"/>
    <cellStyle name="Currency 4 2 5 2 4" xfId="33041"/>
    <cellStyle name="Currency 4 2 5 3" xfId="7335"/>
    <cellStyle name="Currency 4 2 5 3 2" xfId="24382"/>
    <cellStyle name="Currency 4 2 5 3 2 2" xfId="53243"/>
    <cellStyle name="Currency 4 2 5 3 3" xfId="36196"/>
    <cellStyle name="Currency 4 2 5 4" xfId="12257"/>
    <cellStyle name="Currency 4 2 5 4 2" xfId="18610"/>
    <cellStyle name="Currency 4 2 5 4 2 2" xfId="47471"/>
    <cellStyle name="Currency 4 2 5 4 3" xfId="41118"/>
    <cellStyle name="Currency 4 2 5 5" xfId="15930"/>
    <cellStyle name="Currency 4 2 5 5 2" xfId="44791"/>
    <cellStyle name="Currency 4 2 5 6" xfId="30155"/>
    <cellStyle name="Currency 4 2 6" xfId="1499"/>
    <cellStyle name="Currency 4 2 6 2" xfId="4386"/>
    <cellStyle name="Currency 4 2 6 2 2" xfId="10427"/>
    <cellStyle name="Currency 4 2 6 2 2 2" xfId="27474"/>
    <cellStyle name="Currency 4 2 6 2 2 2 2" xfId="56335"/>
    <cellStyle name="Currency 4 2 6 2 2 3" xfId="39288"/>
    <cellStyle name="Currency 4 2 6 2 3" xfId="21496"/>
    <cellStyle name="Currency 4 2 6 2 3 2" xfId="50357"/>
    <cellStyle name="Currency 4 2 6 2 4" xfId="33247"/>
    <cellStyle name="Currency 4 2 6 3" xfId="7541"/>
    <cellStyle name="Currency 4 2 6 3 2" xfId="24588"/>
    <cellStyle name="Currency 4 2 6 3 2 2" xfId="53449"/>
    <cellStyle name="Currency 4 2 6 3 3" xfId="36402"/>
    <cellStyle name="Currency 4 2 6 4" xfId="12434"/>
    <cellStyle name="Currency 4 2 6 4 2" xfId="18816"/>
    <cellStyle name="Currency 4 2 6 4 2 2" xfId="47677"/>
    <cellStyle name="Currency 4 2 6 4 3" xfId="41295"/>
    <cellStyle name="Currency 4 2 6 5" xfId="16136"/>
    <cellStyle name="Currency 4 2 6 5 2" xfId="44997"/>
    <cellStyle name="Currency 4 2 6 6" xfId="30361"/>
    <cellStyle name="Currency 4 2 7" xfId="1705"/>
    <cellStyle name="Currency 4 2 7 2" xfId="4592"/>
    <cellStyle name="Currency 4 2 7 2 2" xfId="10633"/>
    <cellStyle name="Currency 4 2 7 2 2 2" xfId="27680"/>
    <cellStyle name="Currency 4 2 7 2 2 2 2" xfId="56541"/>
    <cellStyle name="Currency 4 2 7 2 2 3" xfId="39494"/>
    <cellStyle name="Currency 4 2 7 2 3" xfId="21702"/>
    <cellStyle name="Currency 4 2 7 2 3 2" xfId="50563"/>
    <cellStyle name="Currency 4 2 7 2 4" xfId="33453"/>
    <cellStyle name="Currency 4 2 7 3" xfId="7747"/>
    <cellStyle name="Currency 4 2 7 3 2" xfId="24794"/>
    <cellStyle name="Currency 4 2 7 3 2 2" xfId="53655"/>
    <cellStyle name="Currency 4 2 7 3 3" xfId="36608"/>
    <cellStyle name="Currency 4 2 7 4" xfId="12255"/>
    <cellStyle name="Currency 4 2 7 4 2" xfId="19022"/>
    <cellStyle name="Currency 4 2 7 4 2 2" xfId="47883"/>
    <cellStyle name="Currency 4 2 7 4 3" xfId="41116"/>
    <cellStyle name="Currency 4 2 7 5" xfId="16342"/>
    <cellStyle name="Currency 4 2 7 5 2" xfId="45203"/>
    <cellStyle name="Currency 4 2 7 6" xfId="30567"/>
    <cellStyle name="Currency 4 2 8" xfId="1911"/>
    <cellStyle name="Currency 4 2 8 2" xfId="4798"/>
    <cellStyle name="Currency 4 2 8 2 2" xfId="10839"/>
    <cellStyle name="Currency 4 2 8 2 2 2" xfId="27886"/>
    <cellStyle name="Currency 4 2 8 2 2 2 2" xfId="56747"/>
    <cellStyle name="Currency 4 2 8 2 2 3" xfId="39700"/>
    <cellStyle name="Currency 4 2 8 2 3" xfId="21908"/>
    <cellStyle name="Currency 4 2 8 2 3 2" xfId="50769"/>
    <cellStyle name="Currency 4 2 8 2 4" xfId="33659"/>
    <cellStyle name="Currency 4 2 8 3" xfId="7953"/>
    <cellStyle name="Currency 4 2 8 3 2" xfId="25000"/>
    <cellStyle name="Currency 4 2 8 3 2 2" xfId="53861"/>
    <cellStyle name="Currency 4 2 8 3 3" xfId="36814"/>
    <cellStyle name="Currency 4 2 8 4" xfId="13505"/>
    <cellStyle name="Currency 4 2 8 4 2" xfId="19228"/>
    <cellStyle name="Currency 4 2 8 4 2 2" xfId="48089"/>
    <cellStyle name="Currency 4 2 8 4 3" xfId="42366"/>
    <cellStyle name="Currency 4 2 8 5" xfId="16548"/>
    <cellStyle name="Currency 4 2 8 5 2" xfId="45409"/>
    <cellStyle name="Currency 4 2 8 6" xfId="30773"/>
    <cellStyle name="Currency 4 2 9" xfId="2117"/>
    <cellStyle name="Currency 4 2 9 2" xfId="5004"/>
    <cellStyle name="Currency 4 2 9 2 2" xfId="11045"/>
    <cellStyle name="Currency 4 2 9 2 2 2" xfId="28092"/>
    <cellStyle name="Currency 4 2 9 2 2 2 2" xfId="56953"/>
    <cellStyle name="Currency 4 2 9 2 2 3" xfId="39906"/>
    <cellStyle name="Currency 4 2 9 2 3" xfId="22114"/>
    <cellStyle name="Currency 4 2 9 2 3 2" xfId="50975"/>
    <cellStyle name="Currency 4 2 9 2 4" xfId="33865"/>
    <cellStyle name="Currency 4 2 9 3" xfId="8159"/>
    <cellStyle name="Currency 4 2 9 3 2" xfId="25206"/>
    <cellStyle name="Currency 4 2 9 3 2 2" xfId="54067"/>
    <cellStyle name="Currency 4 2 9 3 3" xfId="37020"/>
    <cellStyle name="Currency 4 2 9 4" xfId="12241"/>
    <cellStyle name="Currency 4 2 9 4 2" xfId="19434"/>
    <cellStyle name="Currency 4 2 9 4 2 2" xfId="48295"/>
    <cellStyle name="Currency 4 2 9 4 3" xfId="41102"/>
    <cellStyle name="Currency 4 2 9 5" xfId="16754"/>
    <cellStyle name="Currency 4 2 9 5 2" xfId="45615"/>
    <cellStyle name="Currency 4 2 9 6" xfId="30979"/>
    <cellStyle name="Currency 4 20" xfId="29022"/>
    <cellStyle name="Currency 4 3" xfId="263"/>
    <cellStyle name="Currency 4 3 2" xfId="675"/>
    <cellStyle name="Currency 4 3 2 2" xfId="3562"/>
    <cellStyle name="Currency 4 3 2 2 2" xfId="9603"/>
    <cellStyle name="Currency 4 3 2 2 2 2" xfId="26650"/>
    <cellStyle name="Currency 4 3 2 2 2 2 2" xfId="55511"/>
    <cellStyle name="Currency 4 3 2 2 2 3" xfId="38464"/>
    <cellStyle name="Currency 4 3 2 2 3" xfId="20672"/>
    <cellStyle name="Currency 4 3 2 2 3 2" xfId="49533"/>
    <cellStyle name="Currency 4 3 2 2 4" xfId="32423"/>
    <cellStyle name="Currency 4 3 2 3" xfId="6717"/>
    <cellStyle name="Currency 4 3 2 3 2" xfId="23764"/>
    <cellStyle name="Currency 4 3 2 3 2 2" xfId="52625"/>
    <cellStyle name="Currency 4 3 2 3 3" xfId="35578"/>
    <cellStyle name="Currency 4 3 2 4" xfId="13214"/>
    <cellStyle name="Currency 4 3 2 4 2" xfId="17992"/>
    <cellStyle name="Currency 4 3 2 4 2 2" xfId="46853"/>
    <cellStyle name="Currency 4 3 2 4 3" xfId="42075"/>
    <cellStyle name="Currency 4 3 2 5" xfId="15312"/>
    <cellStyle name="Currency 4 3 2 5 2" xfId="44173"/>
    <cellStyle name="Currency 4 3 2 6" xfId="29537"/>
    <cellStyle name="Currency 4 3 3" xfId="2220"/>
    <cellStyle name="Currency 4 3 3 2" xfId="5107"/>
    <cellStyle name="Currency 4 3 3 2 2" xfId="11148"/>
    <cellStyle name="Currency 4 3 3 2 2 2" xfId="28195"/>
    <cellStyle name="Currency 4 3 3 2 2 2 2" xfId="57056"/>
    <cellStyle name="Currency 4 3 3 2 2 3" xfId="40009"/>
    <cellStyle name="Currency 4 3 3 2 3" xfId="22217"/>
    <cellStyle name="Currency 4 3 3 2 3 2" xfId="51078"/>
    <cellStyle name="Currency 4 3 3 2 4" xfId="33968"/>
    <cellStyle name="Currency 4 3 3 3" xfId="8262"/>
    <cellStyle name="Currency 4 3 3 3 2" xfId="25309"/>
    <cellStyle name="Currency 4 3 3 3 2 2" xfId="54170"/>
    <cellStyle name="Currency 4 3 3 3 3" xfId="37123"/>
    <cellStyle name="Currency 4 3 3 4" xfId="13051"/>
    <cellStyle name="Currency 4 3 3 4 2" xfId="19537"/>
    <cellStyle name="Currency 4 3 3 4 2 2" xfId="48398"/>
    <cellStyle name="Currency 4 3 3 4 3" xfId="41912"/>
    <cellStyle name="Currency 4 3 3 5" xfId="16857"/>
    <cellStyle name="Currency 4 3 3 5 2" xfId="45718"/>
    <cellStyle name="Currency 4 3 3 6" xfId="31082"/>
    <cellStyle name="Currency 4 3 4" xfId="3150"/>
    <cellStyle name="Currency 4 3 4 2" xfId="9191"/>
    <cellStyle name="Currency 4 3 4 2 2" xfId="26238"/>
    <cellStyle name="Currency 4 3 4 2 2 2" xfId="55099"/>
    <cellStyle name="Currency 4 3 4 2 3" xfId="38052"/>
    <cellStyle name="Currency 4 3 4 3" xfId="20260"/>
    <cellStyle name="Currency 4 3 4 3 2" xfId="49121"/>
    <cellStyle name="Currency 4 3 4 4" xfId="32011"/>
    <cellStyle name="Currency 4 3 5" xfId="6305"/>
    <cellStyle name="Currency 4 3 5 2" xfId="23352"/>
    <cellStyle name="Currency 4 3 5 2 2" xfId="52213"/>
    <cellStyle name="Currency 4 3 5 3" xfId="35166"/>
    <cellStyle name="Currency 4 3 6" xfId="13143"/>
    <cellStyle name="Currency 4 3 6 2" xfId="17683"/>
    <cellStyle name="Currency 4 3 6 2 2" xfId="46544"/>
    <cellStyle name="Currency 4 3 6 3" xfId="42004"/>
    <cellStyle name="Currency 4 3 7" xfId="14900"/>
    <cellStyle name="Currency 4 3 7 2" xfId="43761"/>
    <cellStyle name="Currency 4 3 8" xfId="29125"/>
    <cellStyle name="Currency 4 4" xfId="469"/>
    <cellStyle name="Currency 4 4 2" xfId="3356"/>
    <cellStyle name="Currency 4 4 2 2" xfId="9397"/>
    <cellStyle name="Currency 4 4 2 2 2" xfId="26444"/>
    <cellStyle name="Currency 4 4 2 2 2 2" xfId="55305"/>
    <cellStyle name="Currency 4 4 2 2 3" xfId="38258"/>
    <cellStyle name="Currency 4 4 2 3" xfId="20466"/>
    <cellStyle name="Currency 4 4 2 3 2" xfId="49327"/>
    <cellStyle name="Currency 4 4 2 4" xfId="32217"/>
    <cellStyle name="Currency 4 4 3" xfId="6511"/>
    <cellStyle name="Currency 4 4 3 2" xfId="23558"/>
    <cellStyle name="Currency 4 4 3 2 2" xfId="52419"/>
    <cellStyle name="Currency 4 4 3 3" xfId="35372"/>
    <cellStyle name="Currency 4 4 4" xfId="12414"/>
    <cellStyle name="Currency 4 4 4 2" xfId="17786"/>
    <cellStyle name="Currency 4 4 4 2 2" xfId="46647"/>
    <cellStyle name="Currency 4 4 4 3" xfId="41275"/>
    <cellStyle name="Currency 4 4 5" xfId="15106"/>
    <cellStyle name="Currency 4 4 5 2" xfId="43967"/>
    <cellStyle name="Currency 4 4 6" xfId="29331"/>
    <cellStyle name="Currency 4 5" xfId="778"/>
    <cellStyle name="Currency 4 5 2" xfId="3665"/>
    <cellStyle name="Currency 4 5 2 2" xfId="9706"/>
    <cellStyle name="Currency 4 5 2 2 2" xfId="26753"/>
    <cellStyle name="Currency 4 5 2 2 2 2" xfId="55614"/>
    <cellStyle name="Currency 4 5 2 2 3" xfId="38567"/>
    <cellStyle name="Currency 4 5 2 3" xfId="20775"/>
    <cellStyle name="Currency 4 5 2 3 2" xfId="49636"/>
    <cellStyle name="Currency 4 5 2 4" xfId="32526"/>
    <cellStyle name="Currency 4 5 3" xfId="6820"/>
    <cellStyle name="Currency 4 5 3 2" xfId="23867"/>
    <cellStyle name="Currency 4 5 3 2 2" xfId="52728"/>
    <cellStyle name="Currency 4 5 3 3" xfId="35681"/>
    <cellStyle name="Currency 4 5 4" xfId="12843"/>
    <cellStyle name="Currency 4 5 4 2" xfId="18095"/>
    <cellStyle name="Currency 4 5 4 2 2" xfId="46956"/>
    <cellStyle name="Currency 4 5 4 3" xfId="41704"/>
    <cellStyle name="Currency 4 5 5" xfId="15415"/>
    <cellStyle name="Currency 4 5 5 2" xfId="44276"/>
    <cellStyle name="Currency 4 5 6" xfId="29640"/>
    <cellStyle name="Currency 4 6" xfId="984"/>
    <cellStyle name="Currency 4 6 2" xfId="3871"/>
    <cellStyle name="Currency 4 6 2 2" xfId="9912"/>
    <cellStyle name="Currency 4 6 2 2 2" xfId="26959"/>
    <cellStyle name="Currency 4 6 2 2 2 2" xfId="55820"/>
    <cellStyle name="Currency 4 6 2 2 3" xfId="38773"/>
    <cellStyle name="Currency 4 6 2 3" xfId="20981"/>
    <cellStyle name="Currency 4 6 2 3 2" xfId="49842"/>
    <cellStyle name="Currency 4 6 2 4" xfId="32732"/>
    <cellStyle name="Currency 4 6 3" xfId="7026"/>
    <cellStyle name="Currency 4 6 3 2" xfId="24073"/>
    <cellStyle name="Currency 4 6 3 2 2" xfId="52934"/>
    <cellStyle name="Currency 4 6 3 3" xfId="35887"/>
    <cellStyle name="Currency 4 6 4" xfId="13982"/>
    <cellStyle name="Currency 4 6 4 2" xfId="18301"/>
    <cellStyle name="Currency 4 6 4 2 2" xfId="47162"/>
    <cellStyle name="Currency 4 6 4 3" xfId="42843"/>
    <cellStyle name="Currency 4 6 5" xfId="15621"/>
    <cellStyle name="Currency 4 6 5 2" xfId="44482"/>
    <cellStyle name="Currency 4 6 6" xfId="29846"/>
    <cellStyle name="Currency 4 7" xfId="1190"/>
    <cellStyle name="Currency 4 7 2" xfId="4077"/>
    <cellStyle name="Currency 4 7 2 2" xfId="10118"/>
    <cellStyle name="Currency 4 7 2 2 2" xfId="27165"/>
    <cellStyle name="Currency 4 7 2 2 2 2" xfId="56026"/>
    <cellStyle name="Currency 4 7 2 2 3" xfId="38979"/>
    <cellStyle name="Currency 4 7 2 3" xfId="21187"/>
    <cellStyle name="Currency 4 7 2 3 2" xfId="50048"/>
    <cellStyle name="Currency 4 7 2 4" xfId="32938"/>
    <cellStyle name="Currency 4 7 3" xfId="7232"/>
    <cellStyle name="Currency 4 7 3 2" xfId="24279"/>
    <cellStyle name="Currency 4 7 3 2 2" xfId="53140"/>
    <cellStyle name="Currency 4 7 3 3" xfId="36093"/>
    <cellStyle name="Currency 4 7 4" xfId="13013"/>
    <cellStyle name="Currency 4 7 4 2" xfId="18507"/>
    <cellStyle name="Currency 4 7 4 2 2" xfId="47368"/>
    <cellStyle name="Currency 4 7 4 3" xfId="41874"/>
    <cellStyle name="Currency 4 7 5" xfId="15827"/>
    <cellStyle name="Currency 4 7 5 2" xfId="44688"/>
    <cellStyle name="Currency 4 7 6" xfId="30052"/>
    <cellStyle name="Currency 4 8" xfId="1396"/>
    <cellStyle name="Currency 4 8 2" xfId="4283"/>
    <cellStyle name="Currency 4 8 2 2" xfId="10324"/>
    <cellStyle name="Currency 4 8 2 2 2" xfId="27371"/>
    <cellStyle name="Currency 4 8 2 2 2 2" xfId="56232"/>
    <cellStyle name="Currency 4 8 2 2 3" xfId="39185"/>
    <cellStyle name="Currency 4 8 2 3" xfId="21393"/>
    <cellStyle name="Currency 4 8 2 3 2" xfId="50254"/>
    <cellStyle name="Currency 4 8 2 4" xfId="33144"/>
    <cellStyle name="Currency 4 8 3" xfId="7438"/>
    <cellStyle name="Currency 4 8 3 2" xfId="24485"/>
    <cellStyle name="Currency 4 8 3 2 2" xfId="53346"/>
    <cellStyle name="Currency 4 8 3 3" xfId="36299"/>
    <cellStyle name="Currency 4 8 4" xfId="13626"/>
    <cellStyle name="Currency 4 8 4 2" xfId="18713"/>
    <cellStyle name="Currency 4 8 4 2 2" xfId="47574"/>
    <cellStyle name="Currency 4 8 4 3" xfId="42487"/>
    <cellStyle name="Currency 4 8 5" xfId="16033"/>
    <cellStyle name="Currency 4 8 5 2" xfId="44894"/>
    <cellStyle name="Currency 4 8 6" xfId="30258"/>
    <cellStyle name="Currency 4 9" xfId="1602"/>
    <cellStyle name="Currency 4 9 2" xfId="4489"/>
    <cellStyle name="Currency 4 9 2 2" xfId="10530"/>
    <cellStyle name="Currency 4 9 2 2 2" xfId="27577"/>
    <cellStyle name="Currency 4 9 2 2 2 2" xfId="56438"/>
    <cellStyle name="Currency 4 9 2 2 3" xfId="39391"/>
    <cellStyle name="Currency 4 9 2 3" xfId="21599"/>
    <cellStyle name="Currency 4 9 2 3 2" xfId="50460"/>
    <cellStyle name="Currency 4 9 2 4" xfId="33350"/>
    <cellStyle name="Currency 4 9 3" xfId="7644"/>
    <cellStyle name="Currency 4 9 3 2" xfId="24691"/>
    <cellStyle name="Currency 4 9 3 2 2" xfId="53552"/>
    <cellStyle name="Currency 4 9 3 3" xfId="36505"/>
    <cellStyle name="Currency 4 9 4" xfId="12676"/>
    <cellStyle name="Currency 4 9 4 2" xfId="18919"/>
    <cellStyle name="Currency 4 9 4 2 2" xfId="47780"/>
    <cellStyle name="Currency 4 9 4 3" xfId="41537"/>
    <cellStyle name="Currency 4 9 5" xfId="16239"/>
    <cellStyle name="Currency 4 9 5 2" xfId="45100"/>
    <cellStyle name="Currency 4 9 6" xfId="30464"/>
    <cellStyle name="Currency 5" xfId="2533"/>
    <cellStyle name="Currency 5 2" xfId="5420"/>
    <cellStyle name="Currency 5 2 2" xfId="11461"/>
    <cellStyle name="Currency 5 2 2 2" xfId="28508"/>
    <cellStyle name="Currency 5 2 2 2 2" xfId="57369"/>
    <cellStyle name="Currency 5 2 2 3" xfId="40322"/>
    <cellStyle name="Currency 5 2 3" xfId="22530"/>
    <cellStyle name="Currency 5 2 3 2" xfId="51391"/>
    <cellStyle name="Currency 5 2 4" xfId="34281"/>
    <cellStyle name="Currency 5 3" xfId="8575"/>
    <cellStyle name="Currency 5 3 2" xfId="25622"/>
    <cellStyle name="Currency 5 3 2 2" xfId="54483"/>
    <cellStyle name="Currency 5 3 3" xfId="37436"/>
    <cellStyle name="Currency 5 4" xfId="12562"/>
    <cellStyle name="Currency 5 4 2" xfId="19850"/>
    <cellStyle name="Currency 5 4 2 2" xfId="48711"/>
    <cellStyle name="Currency 5 4 3" xfId="41423"/>
    <cellStyle name="Currency 5 5" xfId="17170"/>
    <cellStyle name="Currency 5 5 2" xfId="46031"/>
    <cellStyle name="Currency 5 6" xfId="31395"/>
    <cellStyle name="Currency0" xfId="17"/>
    <cellStyle name="Currency0 2" xfId="18"/>
    <cellStyle name="Currency0 2 2" xfId="19"/>
    <cellStyle name="Date" xfId="20"/>
    <cellStyle name="Date 2" xfId="21"/>
    <cellStyle name="Date 2 2" xfId="22"/>
    <cellStyle name="Explanatory Text" xfId="63" builtinId="53" customBuiltin="1"/>
    <cellStyle name="Fixed" xfId="23"/>
    <cellStyle name="Fixed 2" xfId="24"/>
    <cellStyle name="Fixed 2 2" xfId="25"/>
    <cellStyle name="Good" xfId="54" builtinId="26" customBuiltin="1"/>
    <cellStyle name="Heading 1" xfId="50" builtinId="16" customBuiltin="1"/>
    <cellStyle name="Heading 1 2" xfId="26"/>
    <cellStyle name="Heading 2" xfId="51" builtinId="17" customBuiltin="1"/>
    <cellStyle name="Heading 2 2" xfId="27"/>
    <cellStyle name="Heading 3" xfId="52" builtinId="18" customBuiltin="1"/>
    <cellStyle name="Heading 4" xfId="53" builtinId="19" customBuiltin="1"/>
    <cellStyle name="Input" xfId="57" builtinId="20" customBuiltin="1"/>
    <cellStyle name="Linked Cell" xfId="60" builtinId="24" customBuiltin="1"/>
    <cellStyle name="Neutral" xfId="56" builtinId="28" customBuiltin="1"/>
    <cellStyle name="Normal" xfId="0" builtinId="0"/>
    <cellStyle name="Normal 10" xfId="28"/>
    <cellStyle name="Normal 10 10" xfId="1711"/>
    <cellStyle name="Normal 10 10 2" xfId="4598"/>
    <cellStyle name="Normal 10 10 2 2" xfId="10639"/>
    <cellStyle name="Normal 10 10 2 2 2" xfId="27686"/>
    <cellStyle name="Normal 10 10 2 2 2 2" xfId="56547"/>
    <cellStyle name="Normal 10 10 2 2 3" xfId="39500"/>
    <cellStyle name="Normal 10 10 2 3" xfId="21708"/>
    <cellStyle name="Normal 10 10 2 3 2" xfId="50569"/>
    <cellStyle name="Normal 10 10 2 4" xfId="33459"/>
    <cellStyle name="Normal 10 10 3" xfId="7753"/>
    <cellStyle name="Normal 10 10 3 2" xfId="24800"/>
    <cellStyle name="Normal 10 10 3 2 2" xfId="53661"/>
    <cellStyle name="Normal 10 10 3 3" xfId="36614"/>
    <cellStyle name="Normal 10 10 4" xfId="14120"/>
    <cellStyle name="Normal 10 10 4 2" xfId="19028"/>
    <cellStyle name="Normal 10 10 4 2 2" xfId="47889"/>
    <cellStyle name="Normal 10 10 4 3" xfId="42981"/>
    <cellStyle name="Normal 10 10 5" xfId="16348"/>
    <cellStyle name="Normal 10 10 5 2" xfId="45209"/>
    <cellStyle name="Normal 10 10 6" xfId="30573"/>
    <cellStyle name="Normal 10 11" xfId="1917"/>
    <cellStyle name="Normal 10 11 2" xfId="4804"/>
    <cellStyle name="Normal 10 11 2 2" xfId="10845"/>
    <cellStyle name="Normal 10 11 2 2 2" xfId="27892"/>
    <cellStyle name="Normal 10 11 2 2 2 2" xfId="56753"/>
    <cellStyle name="Normal 10 11 2 2 3" xfId="39706"/>
    <cellStyle name="Normal 10 11 2 3" xfId="21914"/>
    <cellStyle name="Normal 10 11 2 3 2" xfId="50775"/>
    <cellStyle name="Normal 10 11 2 4" xfId="33665"/>
    <cellStyle name="Normal 10 11 3" xfId="7959"/>
    <cellStyle name="Normal 10 11 3 2" xfId="25006"/>
    <cellStyle name="Normal 10 11 3 2 2" xfId="53867"/>
    <cellStyle name="Normal 10 11 3 3" xfId="36820"/>
    <cellStyle name="Normal 10 11 4" xfId="14331"/>
    <cellStyle name="Normal 10 11 4 2" xfId="19234"/>
    <cellStyle name="Normal 10 11 4 2 2" xfId="48095"/>
    <cellStyle name="Normal 10 11 4 3" xfId="43192"/>
    <cellStyle name="Normal 10 11 5" xfId="16554"/>
    <cellStyle name="Normal 10 11 5 2" xfId="45415"/>
    <cellStyle name="Normal 10 11 6" xfId="30779"/>
    <cellStyle name="Normal 10 12" xfId="2329"/>
    <cellStyle name="Normal 10 12 2" xfId="5216"/>
    <cellStyle name="Normal 10 12 2 2" xfId="11257"/>
    <cellStyle name="Normal 10 12 2 2 2" xfId="28304"/>
    <cellStyle name="Normal 10 12 2 2 2 2" xfId="57165"/>
    <cellStyle name="Normal 10 12 2 2 3" xfId="40118"/>
    <cellStyle name="Normal 10 12 2 3" xfId="22326"/>
    <cellStyle name="Normal 10 12 2 3 2" xfId="51187"/>
    <cellStyle name="Normal 10 12 2 4" xfId="34077"/>
    <cellStyle name="Normal 10 12 3" xfId="8371"/>
    <cellStyle name="Normal 10 12 3 2" xfId="25418"/>
    <cellStyle name="Normal 10 12 3 2 2" xfId="54279"/>
    <cellStyle name="Normal 10 12 3 3" xfId="37232"/>
    <cellStyle name="Normal 10 12 4" xfId="13446"/>
    <cellStyle name="Normal 10 12 4 2" xfId="19646"/>
    <cellStyle name="Normal 10 12 4 2 2" xfId="48507"/>
    <cellStyle name="Normal 10 12 4 3" xfId="42307"/>
    <cellStyle name="Normal 10 12 5" xfId="16966"/>
    <cellStyle name="Normal 10 12 5 2" xfId="45827"/>
    <cellStyle name="Normal 10 12 6" xfId="31191"/>
    <cellStyle name="Normal 10 13" xfId="2538"/>
    <cellStyle name="Normal 10 13 2" xfId="5424"/>
    <cellStyle name="Normal 10 13 2 2" xfId="11465"/>
    <cellStyle name="Normal 10 13 2 2 2" xfId="28512"/>
    <cellStyle name="Normal 10 13 2 2 2 2" xfId="57373"/>
    <cellStyle name="Normal 10 13 2 2 3" xfId="40326"/>
    <cellStyle name="Normal 10 13 2 3" xfId="22534"/>
    <cellStyle name="Normal 10 13 2 3 2" xfId="51395"/>
    <cellStyle name="Normal 10 13 2 4" xfId="34285"/>
    <cellStyle name="Normal 10 13 3" xfId="8579"/>
    <cellStyle name="Normal 10 13 3 2" xfId="25626"/>
    <cellStyle name="Normal 10 13 3 2 2" xfId="54487"/>
    <cellStyle name="Normal 10 13 3 3" xfId="37440"/>
    <cellStyle name="Normal 10 13 4" xfId="13433"/>
    <cellStyle name="Normal 10 13 4 2" xfId="19854"/>
    <cellStyle name="Normal 10 13 4 2 2" xfId="48715"/>
    <cellStyle name="Normal 10 13 4 3" xfId="42294"/>
    <cellStyle name="Normal 10 13 5" xfId="17174"/>
    <cellStyle name="Normal 10 13 5 2" xfId="46035"/>
    <cellStyle name="Normal 10 13 6" xfId="31399"/>
    <cellStyle name="Normal 10 14" xfId="2950"/>
    <cellStyle name="Normal 10 14 2" xfId="8991"/>
    <cellStyle name="Normal 10 14 2 2" xfId="26038"/>
    <cellStyle name="Normal 10 14 2 2 2" xfId="54899"/>
    <cellStyle name="Normal 10 14 2 3" xfId="37852"/>
    <cellStyle name="Normal 10 14 3" xfId="13015"/>
    <cellStyle name="Normal 10 14 3 2" xfId="20060"/>
    <cellStyle name="Normal 10 14 3 2 2" xfId="48921"/>
    <cellStyle name="Normal 10 14 3 3" xfId="41876"/>
    <cellStyle name="Normal 10 14 4" xfId="14700"/>
    <cellStyle name="Normal 10 14 4 2" xfId="43561"/>
    <cellStyle name="Normal 10 14 5" xfId="31811"/>
    <cellStyle name="Normal 10 15" xfId="2744"/>
    <cellStyle name="Normal 10 15 2" xfId="8785"/>
    <cellStyle name="Normal 10 15 2 2" xfId="25832"/>
    <cellStyle name="Normal 10 15 2 2 2" xfId="54693"/>
    <cellStyle name="Normal 10 15 2 3" xfId="37646"/>
    <cellStyle name="Normal 10 15 3" xfId="17380"/>
    <cellStyle name="Normal 10 15 3 2" xfId="46241"/>
    <cellStyle name="Normal 10 15 4" xfId="31605"/>
    <cellStyle name="Normal 10 16" xfId="5630"/>
    <cellStyle name="Normal 10 16 2" xfId="11671"/>
    <cellStyle name="Normal 10 16 2 2" xfId="28718"/>
    <cellStyle name="Normal 10 16 2 2 2" xfId="57579"/>
    <cellStyle name="Normal 10 16 2 3" xfId="40532"/>
    <cellStyle name="Normal 10 16 3" xfId="22740"/>
    <cellStyle name="Normal 10 16 3 2" xfId="51601"/>
    <cellStyle name="Normal 10 16 4" xfId="34491"/>
    <cellStyle name="Normal 10 17" xfId="5840"/>
    <cellStyle name="Normal 10 17 2" xfId="22946"/>
    <cellStyle name="Normal 10 17 2 2" xfId="51807"/>
    <cellStyle name="Normal 10 17 3" xfId="34701"/>
    <cellStyle name="Normal 10 18" xfId="6105"/>
    <cellStyle name="Normal 10 18 2" xfId="23152"/>
    <cellStyle name="Normal 10 18 2 2" xfId="52013"/>
    <cellStyle name="Normal 10 18 3" xfId="34966"/>
    <cellStyle name="Normal 10 19" xfId="14494"/>
    <cellStyle name="Normal 10 19 2" xfId="43355"/>
    <cellStyle name="Normal 10 2" xfId="269"/>
    <cellStyle name="Normal 10 2 10" xfId="2432"/>
    <cellStyle name="Normal 10 2 10 2" xfId="5319"/>
    <cellStyle name="Normal 10 2 10 2 2" xfId="11360"/>
    <cellStyle name="Normal 10 2 10 2 2 2" xfId="28407"/>
    <cellStyle name="Normal 10 2 10 2 2 2 2" xfId="57268"/>
    <cellStyle name="Normal 10 2 10 2 2 3" xfId="40221"/>
    <cellStyle name="Normal 10 2 10 2 3" xfId="22429"/>
    <cellStyle name="Normal 10 2 10 2 3 2" xfId="51290"/>
    <cellStyle name="Normal 10 2 10 2 4" xfId="34180"/>
    <cellStyle name="Normal 10 2 10 3" xfId="8474"/>
    <cellStyle name="Normal 10 2 10 3 2" xfId="25521"/>
    <cellStyle name="Normal 10 2 10 3 2 2" xfId="54382"/>
    <cellStyle name="Normal 10 2 10 3 3" xfId="37335"/>
    <cellStyle name="Normal 10 2 10 4" xfId="12933"/>
    <cellStyle name="Normal 10 2 10 4 2" xfId="19749"/>
    <cellStyle name="Normal 10 2 10 4 2 2" xfId="48610"/>
    <cellStyle name="Normal 10 2 10 4 3" xfId="41794"/>
    <cellStyle name="Normal 10 2 10 5" xfId="17069"/>
    <cellStyle name="Normal 10 2 10 5 2" xfId="45930"/>
    <cellStyle name="Normal 10 2 10 6" xfId="31294"/>
    <cellStyle name="Normal 10 2 11" xfId="2641"/>
    <cellStyle name="Normal 10 2 11 2" xfId="5527"/>
    <cellStyle name="Normal 10 2 11 2 2" xfId="11568"/>
    <cellStyle name="Normal 10 2 11 2 2 2" xfId="28615"/>
    <cellStyle name="Normal 10 2 11 2 2 2 2" xfId="57476"/>
    <cellStyle name="Normal 10 2 11 2 2 3" xfId="40429"/>
    <cellStyle name="Normal 10 2 11 2 3" xfId="22637"/>
    <cellStyle name="Normal 10 2 11 2 3 2" xfId="51498"/>
    <cellStyle name="Normal 10 2 11 2 4" xfId="34388"/>
    <cellStyle name="Normal 10 2 11 3" xfId="8682"/>
    <cellStyle name="Normal 10 2 11 3 2" xfId="25729"/>
    <cellStyle name="Normal 10 2 11 3 2 2" xfId="54590"/>
    <cellStyle name="Normal 10 2 11 3 3" xfId="37543"/>
    <cellStyle name="Normal 10 2 11 4" xfId="12290"/>
    <cellStyle name="Normal 10 2 11 4 2" xfId="19957"/>
    <cellStyle name="Normal 10 2 11 4 2 2" xfId="48818"/>
    <cellStyle name="Normal 10 2 11 4 3" xfId="41151"/>
    <cellStyle name="Normal 10 2 11 5" xfId="17277"/>
    <cellStyle name="Normal 10 2 11 5 2" xfId="46138"/>
    <cellStyle name="Normal 10 2 11 6" xfId="31502"/>
    <cellStyle name="Normal 10 2 12" xfId="3156"/>
    <cellStyle name="Normal 10 2 12 2" xfId="9197"/>
    <cellStyle name="Normal 10 2 12 2 2" xfId="26244"/>
    <cellStyle name="Normal 10 2 12 2 2 2" xfId="55105"/>
    <cellStyle name="Normal 10 2 12 2 3" xfId="38058"/>
    <cellStyle name="Normal 10 2 12 3" xfId="12760"/>
    <cellStyle name="Normal 10 2 12 3 2" xfId="20266"/>
    <cellStyle name="Normal 10 2 12 3 2 2" xfId="49127"/>
    <cellStyle name="Normal 10 2 12 3 3" xfId="41621"/>
    <cellStyle name="Normal 10 2 12 4" xfId="14906"/>
    <cellStyle name="Normal 10 2 12 4 2" xfId="43767"/>
    <cellStyle name="Normal 10 2 12 5" xfId="32017"/>
    <cellStyle name="Normal 10 2 13" xfId="2847"/>
    <cellStyle name="Normal 10 2 13 2" xfId="8888"/>
    <cellStyle name="Normal 10 2 13 2 2" xfId="25935"/>
    <cellStyle name="Normal 10 2 13 2 2 2" xfId="54796"/>
    <cellStyle name="Normal 10 2 13 2 3" xfId="37749"/>
    <cellStyle name="Normal 10 2 13 3" xfId="17483"/>
    <cellStyle name="Normal 10 2 13 3 2" xfId="46344"/>
    <cellStyle name="Normal 10 2 13 4" xfId="31708"/>
    <cellStyle name="Normal 10 2 14" xfId="5733"/>
    <cellStyle name="Normal 10 2 14 2" xfId="11774"/>
    <cellStyle name="Normal 10 2 14 2 2" xfId="28821"/>
    <cellStyle name="Normal 10 2 14 2 2 2" xfId="57682"/>
    <cellStyle name="Normal 10 2 14 2 3" xfId="40635"/>
    <cellStyle name="Normal 10 2 14 3" xfId="22843"/>
    <cellStyle name="Normal 10 2 14 3 2" xfId="51704"/>
    <cellStyle name="Normal 10 2 14 4" xfId="34594"/>
    <cellStyle name="Normal 10 2 15" xfId="5950"/>
    <cellStyle name="Normal 10 2 15 2" xfId="23049"/>
    <cellStyle name="Normal 10 2 15 2 2" xfId="51910"/>
    <cellStyle name="Normal 10 2 15 3" xfId="34811"/>
    <cellStyle name="Normal 10 2 16" xfId="6311"/>
    <cellStyle name="Normal 10 2 16 2" xfId="23358"/>
    <cellStyle name="Normal 10 2 16 2 2" xfId="52219"/>
    <cellStyle name="Normal 10 2 16 3" xfId="35172"/>
    <cellStyle name="Normal 10 2 17" xfId="14597"/>
    <cellStyle name="Normal 10 2 17 2" xfId="43458"/>
    <cellStyle name="Normal 10 2 18" xfId="29131"/>
    <cellStyle name="Normal 10 2 2" xfId="475"/>
    <cellStyle name="Normal 10 2 2 2" xfId="2226"/>
    <cellStyle name="Normal 10 2 2 2 2" xfId="5113"/>
    <cellStyle name="Normal 10 2 2 2 2 2" xfId="11154"/>
    <cellStyle name="Normal 10 2 2 2 2 2 2" xfId="28201"/>
    <cellStyle name="Normal 10 2 2 2 2 2 2 2" xfId="57062"/>
    <cellStyle name="Normal 10 2 2 2 2 2 3" xfId="40015"/>
    <cellStyle name="Normal 10 2 2 2 2 3" xfId="22223"/>
    <cellStyle name="Normal 10 2 2 2 2 3 2" xfId="51084"/>
    <cellStyle name="Normal 10 2 2 2 2 4" xfId="33974"/>
    <cellStyle name="Normal 10 2 2 2 3" xfId="8268"/>
    <cellStyle name="Normal 10 2 2 2 3 2" xfId="25315"/>
    <cellStyle name="Normal 10 2 2 2 3 2 2" xfId="54176"/>
    <cellStyle name="Normal 10 2 2 2 3 3" xfId="37129"/>
    <cellStyle name="Normal 10 2 2 2 4" xfId="11966"/>
    <cellStyle name="Normal 10 2 2 2 4 2" xfId="19543"/>
    <cellStyle name="Normal 10 2 2 2 4 2 2" xfId="48404"/>
    <cellStyle name="Normal 10 2 2 2 4 3" xfId="40827"/>
    <cellStyle name="Normal 10 2 2 2 5" xfId="16863"/>
    <cellStyle name="Normal 10 2 2 2 5 2" xfId="45724"/>
    <cellStyle name="Normal 10 2 2 2 6" xfId="31088"/>
    <cellStyle name="Normal 10 2 2 3" xfId="3362"/>
    <cellStyle name="Normal 10 2 2 3 2" xfId="9403"/>
    <cellStyle name="Normal 10 2 2 3 2 2" xfId="26450"/>
    <cellStyle name="Normal 10 2 2 3 2 2 2" xfId="55311"/>
    <cellStyle name="Normal 10 2 2 3 2 3" xfId="38264"/>
    <cellStyle name="Normal 10 2 2 3 3" xfId="20472"/>
    <cellStyle name="Normal 10 2 2 3 3 2" xfId="49333"/>
    <cellStyle name="Normal 10 2 2 3 4" xfId="32223"/>
    <cellStyle name="Normal 10 2 2 4" xfId="6517"/>
    <cellStyle name="Normal 10 2 2 4 2" xfId="23564"/>
    <cellStyle name="Normal 10 2 2 4 2 2" xfId="52425"/>
    <cellStyle name="Normal 10 2 2 4 3" xfId="35378"/>
    <cellStyle name="Normal 10 2 2 5" xfId="13687"/>
    <cellStyle name="Normal 10 2 2 5 2" xfId="17792"/>
    <cellStyle name="Normal 10 2 2 5 2 2" xfId="46653"/>
    <cellStyle name="Normal 10 2 2 5 3" xfId="42548"/>
    <cellStyle name="Normal 10 2 2 6" xfId="15112"/>
    <cellStyle name="Normal 10 2 2 6 2" xfId="43973"/>
    <cellStyle name="Normal 10 2 2 7" xfId="29337"/>
    <cellStyle name="Normal 10 2 3" xfId="784"/>
    <cellStyle name="Normal 10 2 3 2" xfId="3671"/>
    <cellStyle name="Normal 10 2 3 2 2" xfId="9712"/>
    <cellStyle name="Normal 10 2 3 2 2 2" xfId="26759"/>
    <cellStyle name="Normal 10 2 3 2 2 2 2" xfId="55620"/>
    <cellStyle name="Normal 10 2 3 2 2 3" xfId="38573"/>
    <cellStyle name="Normal 10 2 3 2 3" xfId="20781"/>
    <cellStyle name="Normal 10 2 3 2 3 2" xfId="49642"/>
    <cellStyle name="Normal 10 2 3 2 4" xfId="32532"/>
    <cellStyle name="Normal 10 2 3 3" xfId="6826"/>
    <cellStyle name="Normal 10 2 3 3 2" xfId="23873"/>
    <cellStyle name="Normal 10 2 3 3 2 2" xfId="52734"/>
    <cellStyle name="Normal 10 2 3 3 3" xfId="35687"/>
    <cellStyle name="Normal 10 2 3 4" xfId="12073"/>
    <cellStyle name="Normal 10 2 3 4 2" xfId="18101"/>
    <cellStyle name="Normal 10 2 3 4 2 2" xfId="46962"/>
    <cellStyle name="Normal 10 2 3 4 3" xfId="40934"/>
    <cellStyle name="Normal 10 2 3 5" xfId="15421"/>
    <cellStyle name="Normal 10 2 3 5 2" xfId="44282"/>
    <cellStyle name="Normal 10 2 3 6" xfId="29646"/>
    <cellStyle name="Normal 10 2 4" xfId="990"/>
    <cellStyle name="Normal 10 2 4 2" xfId="3877"/>
    <cellStyle name="Normal 10 2 4 2 2" xfId="9918"/>
    <cellStyle name="Normal 10 2 4 2 2 2" xfId="26965"/>
    <cellStyle name="Normal 10 2 4 2 2 2 2" xfId="55826"/>
    <cellStyle name="Normal 10 2 4 2 2 3" xfId="38779"/>
    <cellStyle name="Normal 10 2 4 2 3" xfId="20987"/>
    <cellStyle name="Normal 10 2 4 2 3 2" xfId="49848"/>
    <cellStyle name="Normal 10 2 4 2 4" xfId="32738"/>
    <cellStyle name="Normal 10 2 4 3" xfId="7032"/>
    <cellStyle name="Normal 10 2 4 3 2" xfId="24079"/>
    <cellStyle name="Normal 10 2 4 3 2 2" xfId="52940"/>
    <cellStyle name="Normal 10 2 4 3 3" xfId="35893"/>
    <cellStyle name="Normal 10 2 4 4" xfId="12410"/>
    <cellStyle name="Normal 10 2 4 4 2" xfId="18307"/>
    <cellStyle name="Normal 10 2 4 4 2 2" xfId="47168"/>
    <cellStyle name="Normal 10 2 4 4 3" xfId="41271"/>
    <cellStyle name="Normal 10 2 4 5" xfId="15627"/>
    <cellStyle name="Normal 10 2 4 5 2" xfId="44488"/>
    <cellStyle name="Normal 10 2 4 6" xfId="29852"/>
    <cellStyle name="Normal 10 2 5" xfId="1196"/>
    <cellStyle name="Normal 10 2 5 2" xfId="4083"/>
    <cellStyle name="Normal 10 2 5 2 2" xfId="10124"/>
    <cellStyle name="Normal 10 2 5 2 2 2" xfId="27171"/>
    <cellStyle name="Normal 10 2 5 2 2 2 2" xfId="56032"/>
    <cellStyle name="Normal 10 2 5 2 2 3" xfId="38985"/>
    <cellStyle name="Normal 10 2 5 2 3" xfId="21193"/>
    <cellStyle name="Normal 10 2 5 2 3 2" xfId="50054"/>
    <cellStyle name="Normal 10 2 5 2 4" xfId="32944"/>
    <cellStyle name="Normal 10 2 5 3" xfId="7238"/>
    <cellStyle name="Normal 10 2 5 3 2" xfId="24285"/>
    <cellStyle name="Normal 10 2 5 3 2 2" xfId="53146"/>
    <cellStyle name="Normal 10 2 5 3 3" xfId="36099"/>
    <cellStyle name="Normal 10 2 5 4" xfId="13708"/>
    <cellStyle name="Normal 10 2 5 4 2" xfId="18513"/>
    <cellStyle name="Normal 10 2 5 4 2 2" xfId="47374"/>
    <cellStyle name="Normal 10 2 5 4 3" xfId="42569"/>
    <cellStyle name="Normal 10 2 5 5" xfId="15833"/>
    <cellStyle name="Normal 10 2 5 5 2" xfId="44694"/>
    <cellStyle name="Normal 10 2 5 6" xfId="30058"/>
    <cellStyle name="Normal 10 2 6" xfId="1402"/>
    <cellStyle name="Normal 10 2 6 2" xfId="4289"/>
    <cellStyle name="Normal 10 2 6 2 2" xfId="10330"/>
    <cellStyle name="Normal 10 2 6 2 2 2" xfId="27377"/>
    <cellStyle name="Normal 10 2 6 2 2 2 2" xfId="56238"/>
    <cellStyle name="Normal 10 2 6 2 2 3" xfId="39191"/>
    <cellStyle name="Normal 10 2 6 2 3" xfId="21399"/>
    <cellStyle name="Normal 10 2 6 2 3 2" xfId="50260"/>
    <cellStyle name="Normal 10 2 6 2 4" xfId="33150"/>
    <cellStyle name="Normal 10 2 6 3" xfId="7444"/>
    <cellStyle name="Normal 10 2 6 3 2" xfId="24491"/>
    <cellStyle name="Normal 10 2 6 3 2 2" xfId="53352"/>
    <cellStyle name="Normal 10 2 6 3 3" xfId="36305"/>
    <cellStyle name="Normal 10 2 6 4" xfId="12662"/>
    <cellStyle name="Normal 10 2 6 4 2" xfId="18719"/>
    <cellStyle name="Normal 10 2 6 4 2 2" xfId="47580"/>
    <cellStyle name="Normal 10 2 6 4 3" xfId="41523"/>
    <cellStyle name="Normal 10 2 6 5" xfId="16039"/>
    <cellStyle name="Normal 10 2 6 5 2" xfId="44900"/>
    <cellStyle name="Normal 10 2 6 6" xfId="30264"/>
    <cellStyle name="Normal 10 2 7" xfId="1608"/>
    <cellStyle name="Normal 10 2 7 2" xfId="4495"/>
    <cellStyle name="Normal 10 2 7 2 2" xfId="10536"/>
    <cellStyle name="Normal 10 2 7 2 2 2" xfId="27583"/>
    <cellStyle name="Normal 10 2 7 2 2 2 2" xfId="56444"/>
    <cellStyle name="Normal 10 2 7 2 2 3" xfId="39397"/>
    <cellStyle name="Normal 10 2 7 2 3" xfId="21605"/>
    <cellStyle name="Normal 10 2 7 2 3 2" xfId="50466"/>
    <cellStyle name="Normal 10 2 7 2 4" xfId="33356"/>
    <cellStyle name="Normal 10 2 7 3" xfId="7650"/>
    <cellStyle name="Normal 10 2 7 3 2" xfId="24697"/>
    <cellStyle name="Normal 10 2 7 3 2 2" xfId="53558"/>
    <cellStyle name="Normal 10 2 7 3 3" xfId="36511"/>
    <cellStyle name="Normal 10 2 7 4" xfId="13772"/>
    <cellStyle name="Normal 10 2 7 4 2" xfId="18925"/>
    <cellStyle name="Normal 10 2 7 4 2 2" xfId="47786"/>
    <cellStyle name="Normal 10 2 7 4 3" xfId="42633"/>
    <cellStyle name="Normal 10 2 7 5" xfId="16245"/>
    <cellStyle name="Normal 10 2 7 5 2" xfId="45106"/>
    <cellStyle name="Normal 10 2 7 6" xfId="30470"/>
    <cellStyle name="Normal 10 2 8" xfId="1814"/>
    <cellStyle name="Normal 10 2 8 2" xfId="4701"/>
    <cellStyle name="Normal 10 2 8 2 2" xfId="10742"/>
    <cellStyle name="Normal 10 2 8 2 2 2" xfId="27789"/>
    <cellStyle name="Normal 10 2 8 2 2 2 2" xfId="56650"/>
    <cellStyle name="Normal 10 2 8 2 2 3" xfId="39603"/>
    <cellStyle name="Normal 10 2 8 2 3" xfId="21811"/>
    <cellStyle name="Normal 10 2 8 2 3 2" xfId="50672"/>
    <cellStyle name="Normal 10 2 8 2 4" xfId="33562"/>
    <cellStyle name="Normal 10 2 8 3" xfId="7856"/>
    <cellStyle name="Normal 10 2 8 3 2" xfId="24903"/>
    <cellStyle name="Normal 10 2 8 3 2 2" xfId="53764"/>
    <cellStyle name="Normal 10 2 8 3 3" xfId="36717"/>
    <cellStyle name="Normal 10 2 8 4" xfId="13864"/>
    <cellStyle name="Normal 10 2 8 4 2" xfId="19131"/>
    <cellStyle name="Normal 10 2 8 4 2 2" xfId="47992"/>
    <cellStyle name="Normal 10 2 8 4 3" xfId="42725"/>
    <cellStyle name="Normal 10 2 8 5" xfId="16451"/>
    <cellStyle name="Normal 10 2 8 5 2" xfId="45312"/>
    <cellStyle name="Normal 10 2 8 6" xfId="30676"/>
    <cellStyle name="Normal 10 2 9" xfId="2020"/>
    <cellStyle name="Normal 10 2 9 2" xfId="4907"/>
    <cellStyle name="Normal 10 2 9 2 2" xfId="10948"/>
    <cellStyle name="Normal 10 2 9 2 2 2" xfId="27995"/>
    <cellStyle name="Normal 10 2 9 2 2 2 2" xfId="56856"/>
    <cellStyle name="Normal 10 2 9 2 2 3" xfId="39809"/>
    <cellStyle name="Normal 10 2 9 2 3" xfId="22017"/>
    <cellStyle name="Normal 10 2 9 2 3 2" xfId="50878"/>
    <cellStyle name="Normal 10 2 9 2 4" xfId="33768"/>
    <cellStyle name="Normal 10 2 9 3" xfId="8062"/>
    <cellStyle name="Normal 10 2 9 3 2" xfId="25109"/>
    <cellStyle name="Normal 10 2 9 3 2 2" xfId="53970"/>
    <cellStyle name="Normal 10 2 9 3 3" xfId="36923"/>
    <cellStyle name="Normal 10 2 9 4" xfId="13917"/>
    <cellStyle name="Normal 10 2 9 4 2" xfId="19337"/>
    <cellStyle name="Normal 10 2 9 4 2 2" xfId="48198"/>
    <cellStyle name="Normal 10 2 9 4 3" xfId="42778"/>
    <cellStyle name="Normal 10 2 9 5" xfId="16657"/>
    <cellStyle name="Normal 10 2 9 5 2" xfId="45518"/>
    <cellStyle name="Normal 10 2 9 6" xfId="30882"/>
    <cellStyle name="Normal 10 20" xfId="28925"/>
    <cellStyle name="Normal 10 3" xfId="166"/>
    <cellStyle name="Normal 10 3 2" xfId="578"/>
    <cellStyle name="Normal 10 3 2 2" xfId="3465"/>
    <cellStyle name="Normal 10 3 2 2 2" xfId="9506"/>
    <cellStyle name="Normal 10 3 2 2 2 2" xfId="26553"/>
    <cellStyle name="Normal 10 3 2 2 2 2 2" xfId="55414"/>
    <cellStyle name="Normal 10 3 2 2 2 3" xfId="38367"/>
    <cellStyle name="Normal 10 3 2 2 3" xfId="20575"/>
    <cellStyle name="Normal 10 3 2 2 3 2" xfId="49436"/>
    <cellStyle name="Normal 10 3 2 2 4" xfId="32326"/>
    <cellStyle name="Normal 10 3 2 3" xfId="6620"/>
    <cellStyle name="Normal 10 3 2 3 2" xfId="23667"/>
    <cellStyle name="Normal 10 3 2 3 2 2" xfId="52528"/>
    <cellStyle name="Normal 10 3 2 3 3" xfId="35481"/>
    <cellStyle name="Normal 10 3 2 4" xfId="13888"/>
    <cellStyle name="Normal 10 3 2 4 2" xfId="17895"/>
    <cellStyle name="Normal 10 3 2 4 2 2" xfId="46756"/>
    <cellStyle name="Normal 10 3 2 4 3" xfId="42749"/>
    <cellStyle name="Normal 10 3 2 5" xfId="15215"/>
    <cellStyle name="Normal 10 3 2 5 2" xfId="44076"/>
    <cellStyle name="Normal 10 3 2 6" xfId="29440"/>
    <cellStyle name="Normal 10 3 3" xfId="2123"/>
    <cellStyle name="Normal 10 3 3 2" xfId="5010"/>
    <cellStyle name="Normal 10 3 3 2 2" xfId="11051"/>
    <cellStyle name="Normal 10 3 3 2 2 2" xfId="28098"/>
    <cellStyle name="Normal 10 3 3 2 2 2 2" xfId="56959"/>
    <cellStyle name="Normal 10 3 3 2 2 3" xfId="39912"/>
    <cellStyle name="Normal 10 3 3 2 3" xfId="22120"/>
    <cellStyle name="Normal 10 3 3 2 3 2" xfId="50981"/>
    <cellStyle name="Normal 10 3 3 2 4" xfId="33871"/>
    <cellStyle name="Normal 10 3 3 3" xfId="8165"/>
    <cellStyle name="Normal 10 3 3 3 2" xfId="25212"/>
    <cellStyle name="Normal 10 3 3 3 2 2" xfId="54073"/>
    <cellStyle name="Normal 10 3 3 3 3" xfId="37026"/>
    <cellStyle name="Normal 10 3 3 4" xfId="13933"/>
    <cellStyle name="Normal 10 3 3 4 2" xfId="19440"/>
    <cellStyle name="Normal 10 3 3 4 2 2" xfId="48301"/>
    <cellStyle name="Normal 10 3 3 4 3" xfId="42794"/>
    <cellStyle name="Normal 10 3 3 5" xfId="16760"/>
    <cellStyle name="Normal 10 3 3 5 2" xfId="45621"/>
    <cellStyle name="Normal 10 3 3 6" xfId="30985"/>
    <cellStyle name="Normal 10 3 4" xfId="3053"/>
    <cellStyle name="Normal 10 3 4 2" xfId="9094"/>
    <cellStyle name="Normal 10 3 4 2 2" xfId="26141"/>
    <cellStyle name="Normal 10 3 4 2 2 2" xfId="55002"/>
    <cellStyle name="Normal 10 3 4 2 3" xfId="37955"/>
    <cellStyle name="Normal 10 3 4 3" xfId="20163"/>
    <cellStyle name="Normal 10 3 4 3 2" xfId="49024"/>
    <cellStyle name="Normal 10 3 4 4" xfId="31914"/>
    <cellStyle name="Normal 10 3 5" xfId="6208"/>
    <cellStyle name="Normal 10 3 5 2" xfId="23255"/>
    <cellStyle name="Normal 10 3 5 2 2" xfId="52116"/>
    <cellStyle name="Normal 10 3 5 3" xfId="35069"/>
    <cellStyle name="Normal 10 3 6" xfId="13041"/>
    <cellStyle name="Normal 10 3 6 2" xfId="17586"/>
    <cellStyle name="Normal 10 3 6 2 2" xfId="46447"/>
    <cellStyle name="Normal 10 3 6 3" xfId="41902"/>
    <cellStyle name="Normal 10 3 7" xfId="14803"/>
    <cellStyle name="Normal 10 3 7 2" xfId="43664"/>
    <cellStyle name="Normal 10 3 8" xfId="29028"/>
    <cellStyle name="Normal 10 4" xfId="372"/>
    <cellStyle name="Normal 10 4 2" xfId="3259"/>
    <cellStyle name="Normal 10 4 2 2" xfId="9300"/>
    <cellStyle name="Normal 10 4 2 2 2" xfId="26347"/>
    <cellStyle name="Normal 10 4 2 2 2 2" xfId="55208"/>
    <cellStyle name="Normal 10 4 2 2 3" xfId="38161"/>
    <cellStyle name="Normal 10 4 2 3" xfId="20369"/>
    <cellStyle name="Normal 10 4 2 3 2" xfId="49230"/>
    <cellStyle name="Normal 10 4 2 4" xfId="32120"/>
    <cellStyle name="Normal 10 4 3" xfId="6414"/>
    <cellStyle name="Normal 10 4 3 2" xfId="23461"/>
    <cellStyle name="Normal 10 4 3 2 2" xfId="52322"/>
    <cellStyle name="Normal 10 4 3 3" xfId="35275"/>
    <cellStyle name="Normal 10 4 4" xfId="13571"/>
    <cellStyle name="Normal 10 4 4 2" xfId="17689"/>
    <cellStyle name="Normal 10 4 4 2 2" xfId="46550"/>
    <cellStyle name="Normal 10 4 4 3" xfId="42432"/>
    <cellStyle name="Normal 10 4 5" xfId="15009"/>
    <cellStyle name="Normal 10 4 5 2" xfId="43870"/>
    <cellStyle name="Normal 10 4 6" xfId="29234"/>
    <cellStyle name="Normal 10 5" xfId="681"/>
    <cellStyle name="Normal 10 5 2" xfId="3568"/>
    <cellStyle name="Normal 10 5 2 2" xfId="9609"/>
    <cellStyle name="Normal 10 5 2 2 2" xfId="26656"/>
    <cellStyle name="Normal 10 5 2 2 2 2" xfId="55517"/>
    <cellStyle name="Normal 10 5 2 2 3" xfId="38470"/>
    <cellStyle name="Normal 10 5 2 3" xfId="20678"/>
    <cellStyle name="Normal 10 5 2 3 2" xfId="49539"/>
    <cellStyle name="Normal 10 5 2 4" xfId="32429"/>
    <cellStyle name="Normal 10 5 3" xfId="6723"/>
    <cellStyle name="Normal 10 5 3 2" xfId="23770"/>
    <cellStyle name="Normal 10 5 3 2 2" xfId="52631"/>
    <cellStyle name="Normal 10 5 3 3" xfId="35584"/>
    <cellStyle name="Normal 10 5 4" xfId="13504"/>
    <cellStyle name="Normal 10 5 4 2" xfId="17998"/>
    <cellStyle name="Normal 10 5 4 2 2" xfId="46859"/>
    <cellStyle name="Normal 10 5 4 3" xfId="42365"/>
    <cellStyle name="Normal 10 5 5" xfId="15318"/>
    <cellStyle name="Normal 10 5 5 2" xfId="44179"/>
    <cellStyle name="Normal 10 5 6" xfId="29543"/>
    <cellStyle name="Normal 10 6" xfId="887"/>
    <cellStyle name="Normal 10 6 2" xfId="3774"/>
    <cellStyle name="Normal 10 6 2 2" xfId="9815"/>
    <cellStyle name="Normal 10 6 2 2 2" xfId="26862"/>
    <cellStyle name="Normal 10 6 2 2 2 2" xfId="55723"/>
    <cellStyle name="Normal 10 6 2 2 3" xfId="38676"/>
    <cellStyle name="Normal 10 6 2 3" xfId="20884"/>
    <cellStyle name="Normal 10 6 2 3 2" xfId="49745"/>
    <cellStyle name="Normal 10 6 2 4" xfId="32635"/>
    <cellStyle name="Normal 10 6 3" xfId="6929"/>
    <cellStyle name="Normal 10 6 3 2" xfId="23976"/>
    <cellStyle name="Normal 10 6 3 2 2" xfId="52837"/>
    <cellStyle name="Normal 10 6 3 3" xfId="35790"/>
    <cellStyle name="Normal 10 6 4" xfId="13943"/>
    <cellStyle name="Normal 10 6 4 2" xfId="18204"/>
    <cellStyle name="Normal 10 6 4 2 2" xfId="47065"/>
    <cellStyle name="Normal 10 6 4 3" xfId="42804"/>
    <cellStyle name="Normal 10 6 5" xfId="15524"/>
    <cellStyle name="Normal 10 6 5 2" xfId="44385"/>
    <cellStyle name="Normal 10 6 6" xfId="29749"/>
    <cellStyle name="Normal 10 7" xfId="1093"/>
    <cellStyle name="Normal 10 7 2" xfId="3980"/>
    <cellStyle name="Normal 10 7 2 2" xfId="10021"/>
    <cellStyle name="Normal 10 7 2 2 2" xfId="27068"/>
    <cellStyle name="Normal 10 7 2 2 2 2" xfId="55929"/>
    <cellStyle name="Normal 10 7 2 2 3" xfId="38882"/>
    <cellStyle name="Normal 10 7 2 3" xfId="21090"/>
    <cellStyle name="Normal 10 7 2 3 2" xfId="49951"/>
    <cellStyle name="Normal 10 7 2 4" xfId="32841"/>
    <cellStyle name="Normal 10 7 3" xfId="7135"/>
    <cellStyle name="Normal 10 7 3 2" xfId="24182"/>
    <cellStyle name="Normal 10 7 3 2 2" xfId="53043"/>
    <cellStyle name="Normal 10 7 3 3" xfId="35996"/>
    <cellStyle name="Normal 10 7 4" xfId="11878"/>
    <cellStyle name="Normal 10 7 4 2" xfId="18410"/>
    <cellStyle name="Normal 10 7 4 2 2" xfId="47271"/>
    <cellStyle name="Normal 10 7 4 3" xfId="40739"/>
    <cellStyle name="Normal 10 7 5" xfId="15730"/>
    <cellStyle name="Normal 10 7 5 2" xfId="44591"/>
    <cellStyle name="Normal 10 7 6" xfId="29955"/>
    <cellStyle name="Normal 10 8" xfId="1299"/>
    <cellStyle name="Normal 10 8 2" xfId="4186"/>
    <cellStyle name="Normal 10 8 2 2" xfId="10227"/>
    <cellStyle name="Normal 10 8 2 2 2" xfId="27274"/>
    <cellStyle name="Normal 10 8 2 2 2 2" xfId="56135"/>
    <cellStyle name="Normal 10 8 2 2 3" xfId="39088"/>
    <cellStyle name="Normal 10 8 2 3" xfId="21296"/>
    <cellStyle name="Normal 10 8 2 3 2" xfId="50157"/>
    <cellStyle name="Normal 10 8 2 4" xfId="33047"/>
    <cellStyle name="Normal 10 8 3" xfId="7341"/>
    <cellStyle name="Normal 10 8 3 2" xfId="24388"/>
    <cellStyle name="Normal 10 8 3 2 2" xfId="53249"/>
    <cellStyle name="Normal 10 8 3 3" xfId="36202"/>
    <cellStyle name="Normal 10 8 4" xfId="13968"/>
    <cellStyle name="Normal 10 8 4 2" xfId="18616"/>
    <cellStyle name="Normal 10 8 4 2 2" xfId="47477"/>
    <cellStyle name="Normal 10 8 4 3" xfId="42829"/>
    <cellStyle name="Normal 10 8 5" xfId="15936"/>
    <cellStyle name="Normal 10 8 5 2" xfId="44797"/>
    <cellStyle name="Normal 10 8 6" xfId="30161"/>
    <cellStyle name="Normal 10 9" xfId="1505"/>
    <cellStyle name="Normal 10 9 2" xfId="4392"/>
    <cellStyle name="Normal 10 9 2 2" xfId="10433"/>
    <cellStyle name="Normal 10 9 2 2 2" xfId="27480"/>
    <cellStyle name="Normal 10 9 2 2 2 2" xfId="56341"/>
    <cellStyle name="Normal 10 9 2 2 3" xfId="39294"/>
    <cellStyle name="Normal 10 9 2 3" xfId="21502"/>
    <cellStyle name="Normal 10 9 2 3 2" xfId="50363"/>
    <cellStyle name="Normal 10 9 2 4" xfId="33253"/>
    <cellStyle name="Normal 10 9 3" xfId="7547"/>
    <cellStyle name="Normal 10 9 3 2" xfId="24594"/>
    <cellStyle name="Normal 10 9 3 2 2" xfId="53455"/>
    <cellStyle name="Normal 10 9 3 3" xfId="36408"/>
    <cellStyle name="Normal 10 9 4" xfId="13324"/>
    <cellStyle name="Normal 10 9 4 2" xfId="18822"/>
    <cellStyle name="Normal 10 9 4 2 2" xfId="47683"/>
    <cellStyle name="Normal 10 9 4 3" xfId="42185"/>
    <cellStyle name="Normal 10 9 5" xfId="16142"/>
    <cellStyle name="Normal 10 9 5 2" xfId="45003"/>
    <cellStyle name="Normal 10 9 6" xfId="30367"/>
    <cellStyle name="Normal 11" xfId="155"/>
    <cellStyle name="Normal 11 10" xfId="1803"/>
    <cellStyle name="Normal 11 10 2" xfId="4690"/>
    <cellStyle name="Normal 11 10 2 2" xfId="10731"/>
    <cellStyle name="Normal 11 10 2 2 2" xfId="27778"/>
    <cellStyle name="Normal 11 10 2 2 2 2" xfId="56639"/>
    <cellStyle name="Normal 11 10 2 2 3" xfId="39592"/>
    <cellStyle name="Normal 11 10 2 3" xfId="21800"/>
    <cellStyle name="Normal 11 10 2 3 2" xfId="50661"/>
    <cellStyle name="Normal 11 10 2 4" xfId="33551"/>
    <cellStyle name="Normal 11 10 3" xfId="7845"/>
    <cellStyle name="Normal 11 10 3 2" xfId="24892"/>
    <cellStyle name="Normal 11 10 3 2 2" xfId="53753"/>
    <cellStyle name="Normal 11 10 3 3" xfId="36706"/>
    <cellStyle name="Normal 11 10 4" xfId="14322"/>
    <cellStyle name="Normal 11 10 4 2" xfId="19120"/>
    <cellStyle name="Normal 11 10 4 2 2" xfId="47981"/>
    <cellStyle name="Normal 11 10 4 3" xfId="43183"/>
    <cellStyle name="Normal 11 10 5" xfId="16440"/>
    <cellStyle name="Normal 11 10 5 2" xfId="45301"/>
    <cellStyle name="Normal 11 10 6" xfId="30665"/>
    <cellStyle name="Normal 11 11" xfId="2009"/>
    <cellStyle name="Normal 11 11 2" xfId="4896"/>
    <cellStyle name="Normal 11 11 2 2" xfId="10937"/>
    <cellStyle name="Normal 11 11 2 2 2" xfId="27984"/>
    <cellStyle name="Normal 11 11 2 2 2 2" xfId="56845"/>
    <cellStyle name="Normal 11 11 2 2 3" xfId="39798"/>
    <cellStyle name="Normal 11 11 2 3" xfId="22006"/>
    <cellStyle name="Normal 11 11 2 3 2" xfId="50867"/>
    <cellStyle name="Normal 11 11 2 4" xfId="33757"/>
    <cellStyle name="Normal 11 11 3" xfId="8051"/>
    <cellStyle name="Normal 11 11 3 2" xfId="25098"/>
    <cellStyle name="Normal 11 11 3 2 2" xfId="53959"/>
    <cellStyle name="Normal 11 11 3 3" xfId="36912"/>
    <cellStyle name="Normal 11 11 4" xfId="14306"/>
    <cellStyle name="Normal 11 11 4 2" xfId="19326"/>
    <cellStyle name="Normal 11 11 4 2 2" xfId="48187"/>
    <cellStyle name="Normal 11 11 4 3" xfId="43167"/>
    <cellStyle name="Normal 11 11 5" xfId="16646"/>
    <cellStyle name="Normal 11 11 5 2" xfId="45507"/>
    <cellStyle name="Normal 11 11 6" xfId="30871"/>
    <cellStyle name="Normal 11 12" xfId="2421"/>
    <cellStyle name="Normal 11 12 2" xfId="5308"/>
    <cellStyle name="Normal 11 12 2 2" xfId="11349"/>
    <cellStyle name="Normal 11 12 2 2 2" xfId="28396"/>
    <cellStyle name="Normal 11 12 2 2 2 2" xfId="57257"/>
    <cellStyle name="Normal 11 12 2 2 3" xfId="40210"/>
    <cellStyle name="Normal 11 12 2 3" xfId="22418"/>
    <cellStyle name="Normal 11 12 2 3 2" xfId="51279"/>
    <cellStyle name="Normal 11 12 2 4" xfId="34169"/>
    <cellStyle name="Normal 11 12 3" xfId="8463"/>
    <cellStyle name="Normal 11 12 3 2" xfId="25510"/>
    <cellStyle name="Normal 11 12 3 2 2" xfId="54371"/>
    <cellStyle name="Normal 11 12 3 3" xfId="37324"/>
    <cellStyle name="Normal 11 12 4" xfId="13268"/>
    <cellStyle name="Normal 11 12 4 2" xfId="19738"/>
    <cellStyle name="Normal 11 12 4 2 2" xfId="48599"/>
    <cellStyle name="Normal 11 12 4 3" xfId="42129"/>
    <cellStyle name="Normal 11 12 5" xfId="17058"/>
    <cellStyle name="Normal 11 12 5 2" xfId="45919"/>
    <cellStyle name="Normal 11 12 6" xfId="31283"/>
    <cellStyle name="Normal 11 13" xfId="2630"/>
    <cellStyle name="Normal 11 13 2" xfId="5516"/>
    <cellStyle name="Normal 11 13 2 2" xfId="11557"/>
    <cellStyle name="Normal 11 13 2 2 2" xfId="28604"/>
    <cellStyle name="Normal 11 13 2 2 2 2" xfId="57465"/>
    <cellStyle name="Normal 11 13 2 2 3" xfId="40418"/>
    <cellStyle name="Normal 11 13 2 3" xfId="22626"/>
    <cellStyle name="Normal 11 13 2 3 2" xfId="51487"/>
    <cellStyle name="Normal 11 13 2 4" xfId="34377"/>
    <cellStyle name="Normal 11 13 3" xfId="8671"/>
    <cellStyle name="Normal 11 13 3 2" xfId="25718"/>
    <cellStyle name="Normal 11 13 3 2 2" xfId="54579"/>
    <cellStyle name="Normal 11 13 3 3" xfId="37532"/>
    <cellStyle name="Normal 11 13 4" xfId="12568"/>
    <cellStyle name="Normal 11 13 4 2" xfId="19946"/>
    <cellStyle name="Normal 11 13 4 2 2" xfId="48807"/>
    <cellStyle name="Normal 11 13 4 3" xfId="41429"/>
    <cellStyle name="Normal 11 13 5" xfId="17266"/>
    <cellStyle name="Normal 11 13 5 2" xfId="46127"/>
    <cellStyle name="Normal 11 13 6" xfId="31491"/>
    <cellStyle name="Normal 11 14" xfId="3042"/>
    <cellStyle name="Normal 11 14 2" xfId="9083"/>
    <cellStyle name="Normal 11 14 2 2" xfId="26130"/>
    <cellStyle name="Normal 11 14 2 2 2" xfId="54991"/>
    <cellStyle name="Normal 11 14 2 3" xfId="37944"/>
    <cellStyle name="Normal 11 14 3" xfId="14419"/>
    <cellStyle name="Normal 11 14 3 2" xfId="20152"/>
    <cellStyle name="Normal 11 14 3 2 2" xfId="49013"/>
    <cellStyle name="Normal 11 14 3 3" xfId="43280"/>
    <cellStyle name="Normal 11 14 4" xfId="14792"/>
    <cellStyle name="Normal 11 14 4 2" xfId="43653"/>
    <cellStyle name="Normal 11 14 5" xfId="31903"/>
    <cellStyle name="Normal 11 15" xfId="2836"/>
    <cellStyle name="Normal 11 15 2" xfId="8877"/>
    <cellStyle name="Normal 11 15 2 2" xfId="25924"/>
    <cellStyle name="Normal 11 15 2 2 2" xfId="54785"/>
    <cellStyle name="Normal 11 15 2 3" xfId="37738"/>
    <cellStyle name="Normal 11 15 3" xfId="17472"/>
    <cellStyle name="Normal 11 15 3 2" xfId="46333"/>
    <cellStyle name="Normal 11 15 4" xfId="31697"/>
    <cellStyle name="Normal 11 16" xfId="5722"/>
    <cellStyle name="Normal 11 16 2" xfId="11763"/>
    <cellStyle name="Normal 11 16 2 2" xfId="28810"/>
    <cellStyle name="Normal 11 16 2 2 2" xfId="57671"/>
    <cellStyle name="Normal 11 16 2 3" xfId="40624"/>
    <cellStyle name="Normal 11 16 3" xfId="22832"/>
    <cellStyle name="Normal 11 16 3 2" xfId="51693"/>
    <cellStyle name="Normal 11 16 4" xfId="34583"/>
    <cellStyle name="Normal 11 17" xfId="5939"/>
    <cellStyle name="Normal 11 17 2" xfId="23038"/>
    <cellStyle name="Normal 11 17 2 2" xfId="51899"/>
    <cellStyle name="Normal 11 17 3" xfId="34800"/>
    <cellStyle name="Normal 11 18" xfId="6197"/>
    <cellStyle name="Normal 11 18 2" xfId="23244"/>
    <cellStyle name="Normal 11 18 2 2" xfId="52105"/>
    <cellStyle name="Normal 11 18 3" xfId="35058"/>
    <cellStyle name="Normal 11 19" xfId="14586"/>
    <cellStyle name="Normal 11 19 2" xfId="43447"/>
    <cellStyle name="Normal 11 2" xfId="361"/>
    <cellStyle name="Normal 11 2 10" xfId="2524"/>
    <cellStyle name="Normal 11 2 10 2" xfId="5411"/>
    <cellStyle name="Normal 11 2 10 2 2" xfId="11452"/>
    <cellStyle name="Normal 11 2 10 2 2 2" xfId="28499"/>
    <cellStyle name="Normal 11 2 10 2 2 2 2" xfId="57360"/>
    <cellStyle name="Normal 11 2 10 2 2 3" xfId="40313"/>
    <cellStyle name="Normal 11 2 10 2 3" xfId="22521"/>
    <cellStyle name="Normal 11 2 10 2 3 2" xfId="51382"/>
    <cellStyle name="Normal 11 2 10 2 4" xfId="34272"/>
    <cellStyle name="Normal 11 2 10 3" xfId="8566"/>
    <cellStyle name="Normal 11 2 10 3 2" xfId="25613"/>
    <cellStyle name="Normal 11 2 10 3 2 2" xfId="54474"/>
    <cellStyle name="Normal 11 2 10 3 3" xfId="37427"/>
    <cellStyle name="Normal 11 2 10 4" xfId="13763"/>
    <cellStyle name="Normal 11 2 10 4 2" xfId="19841"/>
    <cellStyle name="Normal 11 2 10 4 2 2" xfId="48702"/>
    <cellStyle name="Normal 11 2 10 4 3" xfId="42624"/>
    <cellStyle name="Normal 11 2 10 5" xfId="17161"/>
    <cellStyle name="Normal 11 2 10 5 2" xfId="46022"/>
    <cellStyle name="Normal 11 2 10 6" xfId="31386"/>
    <cellStyle name="Normal 11 2 11" xfId="2733"/>
    <cellStyle name="Normal 11 2 11 2" xfId="5619"/>
    <cellStyle name="Normal 11 2 11 2 2" xfId="11660"/>
    <cellStyle name="Normal 11 2 11 2 2 2" xfId="28707"/>
    <cellStyle name="Normal 11 2 11 2 2 2 2" xfId="57568"/>
    <cellStyle name="Normal 11 2 11 2 2 3" xfId="40521"/>
    <cellStyle name="Normal 11 2 11 2 3" xfId="22729"/>
    <cellStyle name="Normal 11 2 11 2 3 2" xfId="51590"/>
    <cellStyle name="Normal 11 2 11 2 4" xfId="34480"/>
    <cellStyle name="Normal 11 2 11 3" xfId="8774"/>
    <cellStyle name="Normal 11 2 11 3 2" xfId="25821"/>
    <cellStyle name="Normal 11 2 11 3 2 2" xfId="54682"/>
    <cellStyle name="Normal 11 2 11 3 3" xfId="37635"/>
    <cellStyle name="Normal 11 2 11 4" xfId="14397"/>
    <cellStyle name="Normal 11 2 11 4 2" xfId="20049"/>
    <cellStyle name="Normal 11 2 11 4 2 2" xfId="48910"/>
    <cellStyle name="Normal 11 2 11 4 3" xfId="43258"/>
    <cellStyle name="Normal 11 2 11 5" xfId="17369"/>
    <cellStyle name="Normal 11 2 11 5 2" xfId="46230"/>
    <cellStyle name="Normal 11 2 11 6" xfId="31594"/>
    <cellStyle name="Normal 11 2 12" xfId="3248"/>
    <cellStyle name="Normal 11 2 12 2" xfId="9289"/>
    <cellStyle name="Normal 11 2 12 2 2" xfId="26336"/>
    <cellStyle name="Normal 11 2 12 2 2 2" xfId="55197"/>
    <cellStyle name="Normal 11 2 12 2 3" xfId="38150"/>
    <cellStyle name="Normal 11 2 12 3" xfId="11992"/>
    <cellStyle name="Normal 11 2 12 3 2" xfId="20358"/>
    <cellStyle name="Normal 11 2 12 3 2 2" xfId="49219"/>
    <cellStyle name="Normal 11 2 12 3 3" xfId="40853"/>
    <cellStyle name="Normal 11 2 12 4" xfId="14998"/>
    <cellStyle name="Normal 11 2 12 4 2" xfId="43859"/>
    <cellStyle name="Normal 11 2 12 5" xfId="32109"/>
    <cellStyle name="Normal 11 2 13" xfId="2939"/>
    <cellStyle name="Normal 11 2 13 2" xfId="8980"/>
    <cellStyle name="Normal 11 2 13 2 2" xfId="26027"/>
    <cellStyle name="Normal 11 2 13 2 2 2" xfId="54888"/>
    <cellStyle name="Normal 11 2 13 2 3" xfId="37841"/>
    <cellStyle name="Normal 11 2 13 3" xfId="17575"/>
    <cellStyle name="Normal 11 2 13 3 2" xfId="46436"/>
    <cellStyle name="Normal 11 2 13 4" xfId="31800"/>
    <cellStyle name="Normal 11 2 14" xfId="5825"/>
    <cellStyle name="Normal 11 2 14 2" xfId="11866"/>
    <cellStyle name="Normal 11 2 14 2 2" xfId="28913"/>
    <cellStyle name="Normal 11 2 14 2 2 2" xfId="57774"/>
    <cellStyle name="Normal 11 2 14 2 3" xfId="40727"/>
    <cellStyle name="Normal 11 2 14 3" xfId="22935"/>
    <cellStyle name="Normal 11 2 14 3 2" xfId="51796"/>
    <cellStyle name="Normal 11 2 14 4" xfId="34686"/>
    <cellStyle name="Normal 11 2 15" xfId="6042"/>
    <cellStyle name="Normal 11 2 15 2" xfId="23141"/>
    <cellStyle name="Normal 11 2 15 2 2" xfId="52002"/>
    <cellStyle name="Normal 11 2 15 3" xfId="34903"/>
    <cellStyle name="Normal 11 2 16" xfId="6403"/>
    <cellStyle name="Normal 11 2 16 2" xfId="23450"/>
    <cellStyle name="Normal 11 2 16 2 2" xfId="52311"/>
    <cellStyle name="Normal 11 2 16 3" xfId="35264"/>
    <cellStyle name="Normal 11 2 17" xfId="14689"/>
    <cellStyle name="Normal 11 2 17 2" xfId="43550"/>
    <cellStyle name="Normal 11 2 18" xfId="29223"/>
    <cellStyle name="Normal 11 2 2" xfId="567"/>
    <cellStyle name="Normal 11 2 2 2" xfId="2318"/>
    <cellStyle name="Normal 11 2 2 2 2" xfId="5205"/>
    <cellStyle name="Normal 11 2 2 2 2 2" xfId="11246"/>
    <cellStyle name="Normal 11 2 2 2 2 2 2" xfId="28293"/>
    <cellStyle name="Normal 11 2 2 2 2 2 2 2" xfId="57154"/>
    <cellStyle name="Normal 11 2 2 2 2 2 3" xfId="40107"/>
    <cellStyle name="Normal 11 2 2 2 2 3" xfId="22315"/>
    <cellStyle name="Normal 11 2 2 2 2 3 2" xfId="51176"/>
    <cellStyle name="Normal 11 2 2 2 2 4" xfId="34066"/>
    <cellStyle name="Normal 11 2 2 2 3" xfId="8360"/>
    <cellStyle name="Normal 11 2 2 2 3 2" xfId="25407"/>
    <cellStyle name="Normal 11 2 2 2 3 2 2" xfId="54268"/>
    <cellStyle name="Normal 11 2 2 2 3 3" xfId="37221"/>
    <cellStyle name="Normal 11 2 2 2 4" xfId="12538"/>
    <cellStyle name="Normal 11 2 2 2 4 2" xfId="19635"/>
    <cellStyle name="Normal 11 2 2 2 4 2 2" xfId="48496"/>
    <cellStyle name="Normal 11 2 2 2 4 3" xfId="41399"/>
    <cellStyle name="Normal 11 2 2 2 5" xfId="16955"/>
    <cellStyle name="Normal 11 2 2 2 5 2" xfId="45816"/>
    <cellStyle name="Normal 11 2 2 2 6" xfId="31180"/>
    <cellStyle name="Normal 11 2 2 3" xfId="3454"/>
    <cellStyle name="Normal 11 2 2 3 2" xfId="9495"/>
    <cellStyle name="Normal 11 2 2 3 2 2" xfId="26542"/>
    <cellStyle name="Normal 11 2 2 3 2 2 2" xfId="55403"/>
    <cellStyle name="Normal 11 2 2 3 2 3" xfId="38356"/>
    <cellStyle name="Normal 11 2 2 3 3" xfId="20564"/>
    <cellStyle name="Normal 11 2 2 3 3 2" xfId="49425"/>
    <cellStyle name="Normal 11 2 2 3 4" xfId="32315"/>
    <cellStyle name="Normal 11 2 2 4" xfId="6609"/>
    <cellStyle name="Normal 11 2 2 4 2" xfId="23656"/>
    <cellStyle name="Normal 11 2 2 4 2 2" xfId="52517"/>
    <cellStyle name="Normal 11 2 2 4 3" xfId="35470"/>
    <cellStyle name="Normal 11 2 2 5" xfId="13904"/>
    <cellStyle name="Normal 11 2 2 5 2" xfId="17884"/>
    <cellStyle name="Normal 11 2 2 5 2 2" xfId="46745"/>
    <cellStyle name="Normal 11 2 2 5 3" xfId="42765"/>
    <cellStyle name="Normal 11 2 2 6" xfId="15204"/>
    <cellStyle name="Normal 11 2 2 6 2" xfId="44065"/>
    <cellStyle name="Normal 11 2 2 7" xfId="29429"/>
    <cellStyle name="Normal 11 2 3" xfId="876"/>
    <cellStyle name="Normal 11 2 3 2" xfId="3763"/>
    <cellStyle name="Normal 11 2 3 2 2" xfId="9804"/>
    <cellStyle name="Normal 11 2 3 2 2 2" xfId="26851"/>
    <cellStyle name="Normal 11 2 3 2 2 2 2" xfId="55712"/>
    <cellStyle name="Normal 11 2 3 2 2 3" xfId="38665"/>
    <cellStyle name="Normal 11 2 3 2 3" xfId="20873"/>
    <cellStyle name="Normal 11 2 3 2 3 2" xfId="49734"/>
    <cellStyle name="Normal 11 2 3 2 4" xfId="32624"/>
    <cellStyle name="Normal 11 2 3 3" xfId="6918"/>
    <cellStyle name="Normal 11 2 3 3 2" xfId="23965"/>
    <cellStyle name="Normal 11 2 3 3 2 2" xfId="52826"/>
    <cellStyle name="Normal 11 2 3 3 3" xfId="35779"/>
    <cellStyle name="Normal 11 2 3 4" xfId="12283"/>
    <cellStyle name="Normal 11 2 3 4 2" xfId="18193"/>
    <cellStyle name="Normal 11 2 3 4 2 2" xfId="47054"/>
    <cellStyle name="Normal 11 2 3 4 3" xfId="41144"/>
    <cellStyle name="Normal 11 2 3 5" xfId="15513"/>
    <cellStyle name="Normal 11 2 3 5 2" xfId="44374"/>
    <cellStyle name="Normal 11 2 3 6" xfId="29738"/>
    <cellStyle name="Normal 11 2 4" xfId="1082"/>
    <cellStyle name="Normal 11 2 4 2" xfId="3969"/>
    <cellStyle name="Normal 11 2 4 2 2" xfId="10010"/>
    <cellStyle name="Normal 11 2 4 2 2 2" xfId="27057"/>
    <cellStyle name="Normal 11 2 4 2 2 2 2" xfId="55918"/>
    <cellStyle name="Normal 11 2 4 2 2 3" xfId="38871"/>
    <cellStyle name="Normal 11 2 4 2 3" xfId="21079"/>
    <cellStyle name="Normal 11 2 4 2 3 2" xfId="49940"/>
    <cellStyle name="Normal 11 2 4 2 4" xfId="32830"/>
    <cellStyle name="Normal 11 2 4 3" xfId="7124"/>
    <cellStyle name="Normal 11 2 4 3 2" xfId="24171"/>
    <cellStyle name="Normal 11 2 4 3 2 2" xfId="53032"/>
    <cellStyle name="Normal 11 2 4 3 3" xfId="35985"/>
    <cellStyle name="Normal 11 2 4 4" xfId="13089"/>
    <cellStyle name="Normal 11 2 4 4 2" xfId="18399"/>
    <cellStyle name="Normal 11 2 4 4 2 2" xfId="47260"/>
    <cellStyle name="Normal 11 2 4 4 3" xfId="41950"/>
    <cellStyle name="Normal 11 2 4 5" xfId="15719"/>
    <cellStyle name="Normal 11 2 4 5 2" xfId="44580"/>
    <cellStyle name="Normal 11 2 4 6" xfId="29944"/>
    <cellStyle name="Normal 11 2 5" xfId="1288"/>
    <cellStyle name="Normal 11 2 5 2" xfId="4175"/>
    <cellStyle name="Normal 11 2 5 2 2" xfId="10216"/>
    <cellStyle name="Normal 11 2 5 2 2 2" xfId="27263"/>
    <cellStyle name="Normal 11 2 5 2 2 2 2" xfId="56124"/>
    <cellStyle name="Normal 11 2 5 2 2 3" xfId="39077"/>
    <cellStyle name="Normal 11 2 5 2 3" xfId="21285"/>
    <cellStyle name="Normal 11 2 5 2 3 2" xfId="50146"/>
    <cellStyle name="Normal 11 2 5 2 4" xfId="33036"/>
    <cellStyle name="Normal 11 2 5 3" xfId="7330"/>
    <cellStyle name="Normal 11 2 5 3 2" xfId="24377"/>
    <cellStyle name="Normal 11 2 5 3 2 2" xfId="53238"/>
    <cellStyle name="Normal 11 2 5 3 3" xfId="36191"/>
    <cellStyle name="Normal 11 2 5 4" xfId="14091"/>
    <cellStyle name="Normal 11 2 5 4 2" xfId="18605"/>
    <cellStyle name="Normal 11 2 5 4 2 2" xfId="47466"/>
    <cellStyle name="Normal 11 2 5 4 3" xfId="42952"/>
    <cellStyle name="Normal 11 2 5 5" xfId="15925"/>
    <cellStyle name="Normal 11 2 5 5 2" xfId="44786"/>
    <cellStyle name="Normal 11 2 5 6" xfId="30150"/>
    <cellStyle name="Normal 11 2 6" xfId="1494"/>
    <cellStyle name="Normal 11 2 6 2" xfId="4381"/>
    <cellStyle name="Normal 11 2 6 2 2" xfId="10422"/>
    <cellStyle name="Normal 11 2 6 2 2 2" xfId="27469"/>
    <cellStyle name="Normal 11 2 6 2 2 2 2" xfId="56330"/>
    <cellStyle name="Normal 11 2 6 2 2 3" xfId="39283"/>
    <cellStyle name="Normal 11 2 6 2 3" xfId="21491"/>
    <cellStyle name="Normal 11 2 6 2 3 2" xfId="50352"/>
    <cellStyle name="Normal 11 2 6 2 4" xfId="33242"/>
    <cellStyle name="Normal 11 2 6 3" xfId="7536"/>
    <cellStyle name="Normal 11 2 6 3 2" xfId="24583"/>
    <cellStyle name="Normal 11 2 6 3 2 2" xfId="53444"/>
    <cellStyle name="Normal 11 2 6 3 3" xfId="36397"/>
    <cellStyle name="Normal 11 2 6 4" xfId="14311"/>
    <cellStyle name="Normal 11 2 6 4 2" xfId="18811"/>
    <cellStyle name="Normal 11 2 6 4 2 2" xfId="47672"/>
    <cellStyle name="Normal 11 2 6 4 3" xfId="43172"/>
    <cellStyle name="Normal 11 2 6 5" xfId="16131"/>
    <cellStyle name="Normal 11 2 6 5 2" xfId="44992"/>
    <cellStyle name="Normal 11 2 6 6" xfId="30356"/>
    <cellStyle name="Normal 11 2 7" xfId="1700"/>
    <cellStyle name="Normal 11 2 7 2" xfId="4587"/>
    <cellStyle name="Normal 11 2 7 2 2" xfId="10628"/>
    <cellStyle name="Normal 11 2 7 2 2 2" xfId="27675"/>
    <cellStyle name="Normal 11 2 7 2 2 2 2" xfId="56536"/>
    <cellStyle name="Normal 11 2 7 2 2 3" xfId="39489"/>
    <cellStyle name="Normal 11 2 7 2 3" xfId="21697"/>
    <cellStyle name="Normal 11 2 7 2 3 2" xfId="50558"/>
    <cellStyle name="Normal 11 2 7 2 4" xfId="33448"/>
    <cellStyle name="Normal 11 2 7 3" xfId="7742"/>
    <cellStyle name="Normal 11 2 7 3 2" xfId="24789"/>
    <cellStyle name="Normal 11 2 7 3 2 2" xfId="53650"/>
    <cellStyle name="Normal 11 2 7 3 3" xfId="36603"/>
    <cellStyle name="Normal 11 2 7 4" xfId="12644"/>
    <cellStyle name="Normal 11 2 7 4 2" xfId="19017"/>
    <cellStyle name="Normal 11 2 7 4 2 2" xfId="47878"/>
    <cellStyle name="Normal 11 2 7 4 3" xfId="41505"/>
    <cellStyle name="Normal 11 2 7 5" xfId="16337"/>
    <cellStyle name="Normal 11 2 7 5 2" xfId="45198"/>
    <cellStyle name="Normal 11 2 7 6" xfId="30562"/>
    <cellStyle name="Normal 11 2 8" xfId="1906"/>
    <cellStyle name="Normal 11 2 8 2" xfId="4793"/>
    <cellStyle name="Normal 11 2 8 2 2" xfId="10834"/>
    <cellStyle name="Normal 11 2 8 2 2 2" xfId="27881"/>
    <cellStyle name="Normal 11 2 8 2 2 2 2" xfId="56742"/>
    <cellStyle name="Normal 11 2 8 2 2 3" xfId="39695"/>
    <cellStyle name="Normal 11 2 8 2 3" xfId="21903"/>
    <cellStyle name="Normal 11 2 8 2 3 2" xfId="50764"/>
    <cellStyle name="Normal 11 2 8 2 4" xfId="33654"/>
    <cellStyle name="Normal 11 2 8 3" xfId="7948"/>
    <cellStyle name="Normal 11 2 8 3 2" xfId="24995"/>
    <cellStyle name="Normal 11 2 8 3 2 2" xfId="53856"/>
    <cellStyle name="Normal 11 2 8 3 3" xfId="36809"/>
    <cellStyle name="Normal 11 2 8 4" xfId="12637"/>
    <cellStyle name="Normal 11 2 8 4 2" xfId="19223"/>
    <cellStyle name="Normal 11 2 8 4 2 2" xfId="48084"/>
    <cellStyle name="Normal 11 2 8 4 3" xfId="41498"/>
    <cellStyle name="Normal 11 2 8 5" xfId="16543"/>
    <cellStyle name="Normal 11 2 8 5 2" xfId="45404"/>
    <cellStyle name="Normal 11 2 8 6" xfId="30768"/>
    <cellStyle name="Normal 11 2 9" xfId="2112"/>
    <cellStyle name="Normal 11 2 9 2" xfId="4999"/>
    <cellStyle name="Normal 11 2 9 2 2" xfId="11040"/>
    <cellStyle name="Normal 11 2 9 2 2 2" xfId="28087"/>
    <cellStyle name="Normal 11 2 9 2 2 2 2" xfId="56948"/>
    <cellStyle name="Normal 11 2 9 2 2 3" xfId="39901"/>
    <cellStyle name="Normal 11 2 9 2 3" xfId="22109"/>
    <cellStyle name="Normal 11 2 9 2 3 2" xfId="50970"/>
    <cellStyle name="Normal 11 2 9 2 4" xfId="33860"/>
    <cellStyle name="Normal 11 2 9 3" xfId="8154"/>
    <cellStyle name="Normal 11 2 9 3 2" xfId="25201"/>
    <cellStyle name="Normal 11 2 9 3 2 2" xfId="54062"/>
    <cellStyle name="Normal 11 2 9 3 3" xfId="37015"/>
    <cellStyle name="Normal 11 2 9 4" xfId="13686"/>
    <cellStyle name="Normal 11 2 9 4 2" xfId="19429"/>
    <cellStyle name="Normal 11 2 9 4 2 2" xfId="48290"/>
    <cellStyle name="Normal 11 2 9 4 3" xfId="42547"/>
    <cellStyle name="Normal 11 2 9 5" xfId="16749"/>
    <cellStyle name="Normal 11 2 9 5 2" xfId="45610"/>
    <cellStyle name="Normal 11 2 9 6" xfId="30974"/>
    <cellStyle name="Normal 11 20" xfId="29017"/>
    <cellStyle name="Normal 11 3" xfId="258"/>
    <cellStyle name="Normal 11 3 2" xfId="670"/>
    <cellStyle name="Normal 11 3 2 2" xfId="3557"/>
    <cellStyle name="Normal 11 3 2 2 2" xfId="9598"/>
    <cellStyle name="Normal 11 3 2 2 2 2" xfId="26645"/>
    <cellStyle name="Normal 11 3 2 2 2 2 2" xfId="55506"/>
    <cellStyle name="Normal 11 3 2 2 2 3" xfId="38459"/>
    <cellStyle name="Normal 11 3 2 2 3" xfId="20667"/>
    <cellStyle name="Normal 11 3 2 2 3 2" xfId="49528"/>
    <cellStyle name="Normal 11 3 2 2 4" xfId="32418"/>
    <cellStyle name="Normal 11 3 2 3" xfId="6712"/>
    <cellStyle name="Normal 11 3 2 3 2" xfId="23759"/>
    <cellStyle name="Normal 11 3 2 3 2 2" xfId="52620"/>
    <cellStyle name="Normal 11 3 2 3 3" xfId="35573"/>
    <cellStyle name="Normal 11 3 2 4" xfId="12022"/>
    <cellStyle name="Normal 11 3 2 4 2" xfId="17987"/>
    <cellStyle name="Normal 11 3 2 4 2 2" xfId="46848"/>
    <cellStyle name="Normal 11 3 2 4 3" xfId="40883"/>
    <cellStyle name="Normal 11 3 2 5" xfId="15307"/>
    <cellStyle name="Normal 11 3 2 5 2" xfId="44168"/>
    <cellStyle name="Normal 11 3 2 6" xfId="29532"/>
    <cellStyle name="Normal 11 3 3" xfId="2215"/>
    <cellStyle name="Normal 11 3 3 2" xfId="5102"/>
    <cellStyle name="Normal 11 3 3 2 2" xfId="11143"/>
    <cellStyle name="Normal 11 3 3 2 2 2" xfId="28190"/>
    <cellStyle name="Normal 11 3 3 2 2 2 2" xfId="57051"/>
    <cellStyle name="Normal 11 3 3 2 2 3" xfId="40004"/>
    <cellStyle name="Normal 11 3 3 2 3" xfId="22212"/>
    <cellStyle name="Normal 11 3 3 2 3 2" xfId="51073"/>
    <cellStyle name="Normal 11 3 3 2 4" xfId="33963"/>
    <cellStyle name="Normal 11 3 3 3" xfId="8257"/>
    <cellStyle name="Normal 11 3 3 3 2" xfId="25304"/>
    <cellStyle name="Normal 11 3 3 3 2 2" xfId="54165"/>
    <cellStyle name="Normal 11 3 3 3 3" xfId="37118"/>
    <cellStyle name="Normal 11 3 3 4" xfId="14351"/>
    <cellStyle name="Normal 11 3 3 4 2" xfId="19532"/>
    <cellStyle name="Normal 11 3 3 4 2 2" xfId="48393"/>
    <cellStyle name="Normal 11 3 3 4 3" xfId="43212"/>
    <cellStyle name="Normal 11 3 3 5" xfId="16852"/>
    <cellStyle name="Normal 11 3 3 5 2" xfId="45713"/>
    <cellStyle name="Normal 11 3 3 6" xfId="31077"/>
    <cellStyle name="Normal 11 3 4" xfId="3145"/>
    <cellStyle name="Normal 11 3 4 2" xfId="9186"/>
    <cellStyle name="Normal 11 3 4 2 2" xfId="26233"/>
    <cellStyle name="Normal 11 3 4 2 2 2" xfId="55094"/>
    <cellStyle name="Normal 11 3 4 2 3" xfId="38047"/>
    <cellStyle name="Normal 11 3 4 3" xfId="20255"/>
    <cellStyle name="Normal 11 3 4 3 2" xfId="49116"/>
    <cellStyle name="Normal 11 3 4 4" xfId="32006"/>
    <cellStyle name="Normal 11 3 5" xfId="6300"/>
    <cellStyle name="Normal 11 3 5 2" xfId="23347"/>
    <cellStyle name="Normal 11 3 5 2 2" xfId="52208"/>
    <cellStyle name="Normal 11 3 5 3" xfId="35161"/>
    <cellStyle name="Normal 11 3 6" xfId="14409"/>
    <cellStyle name="Normal 11 3 6 2" xfId="17678"/>
    <cellStyle name="Normal 11 3 6 2 2" xfId="46539"/>
    <cellStyle name="Normal 11 3 6 3" xfId="43270"/>
    <cellStyle name="Normal 11 3 7" xfId="14895"/>
    <cellStyle name="Normal 11 3 7 2" xfId="43756"/>
    <cellStyle name="Normal 11 3 8" xfId="29120"/>
    <cellStyle name="Normal 11 4" xfId="464"/>
    <cellStyle name="Normal 11 4 2" xfId="3351"/>
    <cellStyle name="Normal 11 4 2 2" xfId="9392"/>
    <cellStyle name="Normal 11 4 2 2 2" xfId="26439"/>
    <cellStyle name="Normal 11 4 2 2 2 2" xfId="55300"/>
    <cellStyle name="Normal 11 4 2 2 3" xfId="38253"/>
    <cellStyle name="Normal 11 4 2 3" xfId="20461"/>
    <cellStyle name="Normal 11 4 2 3 2" xfId="49322"/>
    <cellStyle name="Normal 11 4 2 4" xfId="32212"/>
    <cellStyle name="Normal 11 4 3" xfId="6506"/>
    <cellStyle name="Normal 11 4 3 2" xfId="23553"/>
    <cellStyle name="Normal 11 4 3 2 2" xfId="52414"/>
    <cellStyle name="Normal 11 4 3 3" xfId="35367"/>
    <cellStyle name="Normal 11 4 4" xfId="14104"/>
    <cellStyle name="Normal 11 4 4 2" xfId="17781"/>
    <cellStyle name="Normal 11 4 4 2 2" xfId="46642"/>
    <cellStyle name="Normal 11 4 4 3" xfId="42965"/>
    <cellStyle name="Normal 11 4 5" xfId="15101"/>
    <cellStyle name="Normal 11 4 5 2" xfId="43962"/>
    <cellStyle name="Normal 11 4 6" xfId="29326"/>
    <cellStyle name="Normal 11 5" xfId="773"/>
    <cellStyle name="Normal 11 5 2" xfId="3660"/>
    <cellStyle name="Normal 11 5 2 2" xfId="9701"/>
    <cellStyle name="Normal 11 5 2 2 2" xfId="26748"/>
    <cellStyle name="Normal 11 5 2 2 2 2" xfId="55609"/>
    <cellStyle name="Normal 11 5 2 2 3" xfId="38562"/>
    <cellStyle name="Normal 11 5 2 3" xfId="20770"/>
    <cellStyle name="Normal 11 5 2 3 2" xfId="49631"/>
    <cellStyle name="Normal 11 5 2 4" xfId="32521"/>
    <cellStyle name="Normal 11 5 3" xfId="6815"/>
    <cellStyle name="Normal 11 5 3 2" xfId="23862"/>
    <cellStyle name="Normal 11 5 3 2 2" xfId="52723"/>
    <cellStyle name="Normal 11 5 3 3" xfId="35676"/>
    <cellStyle name="Normal 11 5 4" xfId="12922"/>
    <cellStyle name="Normal 11 5 4 2" xfId="18090"/>
    <cellStyle name="Normal 11 5 4 2 2" xfId="46951"/>
    <cellStyle name="Normal 11 5 4 3" xfId="41783"/>
    <cellStyle name="Normal 11 5 5" xfId="15410"/>
    <cellStyle name="Normal 11 5 5 2" xfId="44271"/>
    <cellStyle name="Normal 11 5 6" xfId="29635"/>
    <cellStyle name="Normal 11 6" xfId="979"/>
    <cellStyle name="Normal 11 6 2" xfId="3866"/>
    <cellStyle name="Normal 11 6 2 2" xfId="9907"/>
    <cellStyle name="Normal 11 6 2 2 2" xfId="26954"/>
    <cellStyle name="Normal 11 6 2 2 2 2" xfId="55815"/>
    <cellStyle name="Normal 11 6 2 2 3" xfId="38768"/>
    <cellStyle name="Normal 11 6 2 3" xfId="20976"/>
    <cellStyle name="Normal 11 6 2 3 2" xfId="49837"/>
    <cellStyle name="Normal 11 6 2 4" xfId="32727"/>
    <cellStyle name="Normal 11 6 3" xfId="7021"/>
    <cellStyle name="Normal 11 6 3 2" xfId="24068"/>
    <cellStyle name="Normal 11 6 3 2 2" xfId="52929"/>
    <cellStyle name="Normal 11 6 3 3" xfId="35882"/>
    <cellStyle name="Normal 11 6 4" xfId="13082"/>
    <cellStyle name="Normal 11 6 4 2" xfId="18296"/>
    <cellStyle name="Normal 11 6 4 2 2" xfId="47157"/>
    <cellStyle name="Normal 11 6 4 3" xfId="41943"/>
    <cellStyle name="Normal 11 6 5" xfId="15616"/>
    <cellStyle name="Normal 11 6 5 2" xfId="44477"/>
    <cellStyle name="Normal 11 6 6" xfId="29841"/>
    <cellStyle name="Normal 11 7" xfId="1185"/>
    <cellStyle name="Normal 11 7 2" xfId="4072"/>
    <cellStyle name="Normal 11 7 2 2" xfId="10113"/>
    <cellStyle name="Normal 11 7 2 2 2" xfId="27160"/>
    <cellStyle name="Normal 11 7 2 2 2 2" xfId="56021"/>
    <cellStyle name="Normal 11 7 2 2 3" xfId="38974"/>
    <cellStyle name="Normal 11 7 2 3" xfId="21182"/>
    <cellStyle name="Normal 11 7 2 3 2" xfId="50043"/>
    <cellStyle name="Normal 11 7 2 4" xfId="32933"/>
    <cellStyle name="Normal 11 7 3" xfId="7227"/>
    <cellStyle name="Normal 11 7 3 2" xfId="24274"/>
    <cellStyle name="Normal 11 7 3 2 2" xfId="53135"/>
    <cellStyle name="Normal 11 7 3 3" xfId="36088"/>
    <cellStyle name="Normal 11 7 4" xfId="13574"/>
    <cellStyle name="Normal 11 7 4 2" xfId="18502"/>
    <cellStyle name="Normal 11 7 4 2 2" xfId="47363"/>
    <cellStyle name="Normal 11 7 4 3" xfId="42435"/>
    <cellStyle name="Normal 11 7 5" xfId="15822"/>
    <cellStyle name="Normal 11 7 5 2" xfId="44683"/>
    <cellStyle name="Normal 11 7 6" xfId="30047"/>
    <cellStyle name="Normal 11 8" xfId="1391"/>
    <cellStyle name="Normal 11 8 2" xfId="4278"/>
    <cellStyle name="Normal 11 8 2 2" xfId="10319"/>
    <cellStyle name="Normal 11 8 2 2 2" xfId="27366"/>
    <cellStyle name="Normal 11 8 2 2 2 2" xfId="56227"/>
    <cellStyle name="Normal 11 8 2 2 3" xfId="39180"/>
    <cellStyle name="Normal 11 8 2 3" xfId="21388"/>
    <cellStyle name="Normal 11 8 2 3 2" xfId="50249"/>
    <cellStyle name="Normal 11 8 2 4" xfId="33139"/>
    <cellStyle name="Normal 11 8 3" xfId="7433"/>
    <cellStyle name="Normal 11 8 3 2" xfId="24480"/>
    <cellStyle name="Normal 11 8 3 2 2" xfId="53341"/>
    <cellStyle name="Normal 11 8 3 3" xfId="36294"/>
    <cellStyle name="Normal 11 8 4" xfId="12501"/>
    <cellStyle name="Normal 11 8 4 2" xfId="18708"/>
    <cellStyle name="Normal 11 8 4 2 2" xfId="47569"/>
    <cellStyle name="Normal 11 8 4 3" xfId="41362"/>
    <cellStyle name="Normal 11 8 5" xfId="16028"/>
    <cellStyle name="Normal 11 8 5 2" xfId="44889"/>
    <cellStyle name="Normal 11 8 6" xfId="30253"/>
    <cellStyle name="Normal 11 9" xfId="1597"/>
    <cellStyle name="Normal 11 9 2" xfId="4484"/>
    <cellStyle name="Normal 11 9 2 2" xfId="10525"/>
    <cellStyle name="Normal 11 9 2 2 2" xfId="27572"/>
    <cellStyle name="Normal 11 9 2 2 2 2" xfId="56433"/>
    <cellStyle name="Normal 11 9 2 2 3" xfId="39386"/>
    <cellStyle name="Normal 11 9 2 3" xfId="21594"/>
    <cellStyle name="Normal 11 9 2 3 2" xfId="50455"/>
    <cellStyle name="Normal 11 9 2 4" xfId="33345"/>
    <cellStyle name="Normal 11 9 3" xfId="7639"/>
    <cellStyle name="Normal 11 9 3 2" xfId="24686"/>
    <cellStyle name="Normal 11 9 3 2 2" xfId="53547"/>
    <cellStyle name="Normal 11 9 3 3" xfId="36500"/>
    <cellStyle name="Normal 11 9 4" xfId="12330"/>
    <cellStyle name="Normal 11 9 4 2" xfId="18914"/>
    <cellStyle name="Normal 11 9 4 2 2" xfId="47775"/>
    <cellStyle name="Normal 11 9 4 3" xfId="41191"/>
    <cellStyle name="Normal 11 9 5" xfId="16234"/>
    <cellStyle name="Normal 11 9 5 2" xfId="45095"/>
    <cellStyle name="Normal 11 9 6" xfId="30459"/>
    <cellStyle name="Normal 12" xfId="159"/>
    <cellStyle name="Normal 12 10" xfId="1807"/>
    <cellStyle name="Normal 12 10 2" xfId="4694"/>
    <cellStyle name="Normal 12 10 2 2" xfId="10735"/>
    <cellStyle name="Normal 12 10 2 2 2" xfId="27782"/>
    <cellStyle name="Normal 12 10 2 2 2 2" xfId="56643"/>
    <cellStyle name="Normal 12 10 2 2 3" xfId="39596"/>
    <cellStyle name="Normal 12 10 2 3" xfId="21804"/>
    <cellStyle name="Normal 12 10 2 3 2" xfId="50665"/>
    <cellStyle name="Normal 12 10 2 4" xfId="33555"/>
    <cellStyle name="Normal 12 10 3" xfId="7849"/>
    <cellStyle name="Normal 12 10 3 2" xfId="24896"/>
    <cellStyle name="Normal 12 10 3 2 2" xfId="53757"/>
    <cellStyle name="Normal 12 10 3 3" xfId="36710"/>
    <cellStyle name="Normal 12 10 4" xfId="14231"/>
    <cellStyle name="Normal 12 10 4 2" xfId="19124"/>
    <cellStyle name="Normal 12 10 4 2 2" xfId="47985"/>
    <cellStyle name="Normal 12 10 4 3" xfId="43092"/>
    <cellStyle name="Normal 12 10 5" xfId="16444"/>
    <cellStyle name="Normal 12 10 5 2" xfId="45305"/>
    <cellStyle name="Normal 12 10 6" xfId="30669"/>
    <cellStyle name="Normal 12 11" xfId="2013"/>
    <cellStyle name="Normal 12 11 2" xfId="4900"/>
    <cellStyle name="Normal 12 11 2 2" xfId="10941"/>
    <cellStyle name="Normal 12 11 2 2 2" xfId="27988"/>
    <cellStyle name="Normal 12 11 2 2 2 2" xfId="56849"/>
    <cellStyle name="Normal 12 11 2 2 3" xfId="39802"/>
    <cellStyle name="Normal 12 11 2 3" xfId="22010"/>
    <cellStyle name="Normal 12 11 2 3 2" xfId="50871"/>
    <cellStyle name="Normal 12 11 2 4" xfId="33761"/>
    <cellStyle name="Normal 12 11 3" xfId="8055"/>
    <cellStyle name="Normal 12 11 3 2" xfId="25102"/>
    <cellStyle name="Normal 12 11 3 2 2" xfId="53963"/>
    <cellStyle name="Normal 12 11 3 3" xfId="36916"/>
    <cellStyle name="Normal 12 11 4" xfId="13853"/>
    <cellStyle name="Normal 12 11 4 2" xfId="19330"/>
    <cellStyle name="Normal 12 11 4 2 2" xfId="48191"/>
    <cellStyle name="Normal 12 11 4 3" xfId="42714"/>
    <cellStyle name="Normal 12 11 5" xfId="16650"/>
    <cellStyle name="Normal 12 11 5 2" xfId="45511"/>
    <cellStyle name="Normal 12 11 6" xfId="30875"/>
    <cellStyle name="Normal 12 12" xfId="2425"/>
    <cellStyle name="Normal 12 12 2" xfId="5312"/>
    <cellStyle name="Normal 12 12 2 2" xfId="11353"/>
    <cellStyle name="Normal 12 12 2 2 2" xfId="28400"/>
    <cellStyle name="Normal 12 12 2 2 2 2" xfId="57261"/>
    <cellStyle name="Normal 12 12 2 2 3" xfId="40214"/>
    <cellStyle name="Normal 12 12 2 3" xfId="22422"/>
    <cellStyle name="Normal 12 12 2 3 2" xfId="51283"/>
    <cellStyle name="Normal 12 12 2 4" xfId="34173"/>
    <cellStyle name="Normal 12 12 3" xfId="8467"/>
    <cellStyle name="Normal 12 12 3 2" xfId="25514"/>
    <cellStyle name="Normal 12 12 3 2 2" xfId="54375"/>
    <cellStyle name="Normal 12 12 3 3" xfId="37328"/>
    <cellStyle name="Normal 12 12 4" xfId="14475"/>
    <cellStyle name="Normal 12 12 4 2" xfId="19742"/>
    <cellStyle name="Normal 12 12 4 2 2" xfId="48603"/>
    <cellStyle name="Normal 12 12 4 3" xfId="43336"/>
    <cellStyle name="Normal 12 12 5" xfId="17062"/>
    <cellStyle name="Normal 12 12 5 2" xfId="45923"/>
    <cellStyle name="Normal 12 12 6" xfId="31287"/>
    <cellStyle name="Normal 12 13" xfId="2634"/>
    <cellStyle name="Normal 12 13 2" xfId="5520"/>
    <cellStyle name="Normal 12 13 2 2" xfId="11561"/>
    <cellStyle name="Normal 12 13 2 2 2" xfId="28608"/>
    <cellStyle name="Normal 12 13 2 2 2 2" xfId="57469"/>
    <cellStyle name="Normal 12 13 2 2 3" xfId="40422"/>
    <cellStyle name="Normal 12 13 2 3" xfId="22630"/>
    <cellStyle name="Normal 12 13 2 3 2" xfId="51491"/>
    <cellStyle name="Normal 12 13 2 4" xfId="34381"/>
    <cellStyle name="Normal 12 13 3" xfId="8675"/>
    <cellStyle name="Normal 12 13 3 2" xfId="25722"/>
    <cellStyle name="Normal 12 13 3 2 2" xfId="54583"/>
    <cellStyle name="Normal 12 13 3 3" xfId="37536"/>
    <cellStyle name="Normal 12 13 4" xfId="13122"/>
    <cellStyle name="Normal 12 13 4 2" xfId="19950"/>
    <cellStyle name="Normal 12 13 4 2 2" xfId="48811"/>
    <cellStyle name="Normal 12 13 4 3" xfId="41983"/>
    <cellStyle name="Normal 12 13 5" xfId="17270"/>
    <cellStyle name="Normal 12 13 5 2" xfId="46131"/>
    <cellStyle name="Normal 12 13 6" xfId="31495"/>
    <cellStyle name="Normal 12 14" xfId="3046"/>
    <cellStyle name="Normal 12 14 2" xfId="9087"/>
    <cellStyle name="Normal 12 14 2 2" xfId="26134"/>
    <cellStyle name="Normal 12 14 2 2 2" xfId="54995"/>
    <cellStyle name="Normal 12 14 2 3" xfId="37948"/>
    <cellStyle name="Normal 12 14 3" xfId="12181"/>
    <cellStyle name="Normal 12 14 3 2" xfId="20156"/>
    <cellStyle name="Normal 12 14 3 2 2" xfId="49017"/>
    <cellStyle name="Normal 12 14 3 3" xfId="41042"/>
    <cellStyle name="Normal 12 14 4" xfId="14796"/>
    <cellStyle name="Normal 12 14 4 2" xfId="43657"/>
    <cellStyle name="Normal 12 14 5" xfId="31907"/>
    <cellStyle name="Normal 12 15" xfId="2840"/>
    <cellStyle name="Normal 12 15 2" xfId="8881"/>
    <cellStyle name="Normal 12 15 2 2" xfId="25928"/>
    <cellStyle name="Normal 12 15 2 2 2" xfId="54789"/>
    <cellStyle name="Normal 12 15 2 3" xfId="37742"/>
    <cellStyle name="Normal 12 15 3" xfId="17476"/>
    <cellStyle name="Normal 12 15 3 2" xfId="46337"/>
    <cellStyle name="Normal 12 15 4" xfId="31701"/>
    <cellStyle name="Normal 12 16" xfId="5726"/>
    <cellStyle name="Normal 12 16 2" xfId="11767"/>
    <cellStyle name="Normal 12 16 2 2" xfId="28814"/>
    <cellStyle name="Normal 12 16 2 2 2" xfId="57675"/>
    <cellStyle name="Normal 12 16 2 3" xfId="40628"/>
    <cellStyle name="Normal 12 16 3" xfId="22836"/>
    <cellStyle name="Normal 12 16 3 2" xfId="51697"/>
    <cellStyle name="Normal 12 16 4" xfId="34587"/>
    <cellStyle name="Normal 12 17" xfId="5943"/>
    <cellStyle name="Normal 12 17 2" xfId="23042"/>
    <cellStyle name="Normal 12 17 2 2" xfId="51903"/>
    <cellStyle name="Normal 12 17 3" xfId="34804"/>
    <cellStyle name="Normal 12 18" xfId="6201"/>
    <cellStyle name="Normal 12 18 2" xfId="23248"/>
    <cellStyle name="Normal 12 18 2 2" xfId="52109"/>
    <cellStyle name="Normal 12 18 3" xfId="35062"/>
    <cellStyle name="Normal 12 19" xfId="14590"/>
    <cellStyle name="Normal 12 19 2" xfId="43451"/>
    <cellStyle name="Normal 12 2" xfId="365"/>
    <cellStyle name="Normal 12 2 10" xfId="2528"/>
    <cellStyle name="Normal 12 2 10 2" xfId="5415"/>
    <cellStyle name="Normal 12 2 10 2 2" xfId="11456"/>
    <cellStyle name="Normal 12 2 10 2 2 2" xfId="28503"/>
    <cellStyle name="Normal 12 2 10 2 2 2 2" xfId="57364"/>
    <cellStyle name="Normal 12 2 10 2 2 3" xfId="40317"/>
    <cellStyle name="Normal 12 2 10 2 3" xfId="22525"/>
    <cellStyle name="Normal 12 2 10 2 3 2" xfId="51386"/>
    <cellStyle name="Normal 12 2 10 2 4" xfId="34276"/>
    <cellStyle name="Normal 12 2 10 3" xfId="8570"/>
    <cellStyle name="Normal 12 2 10 3 2" xfId="25617"/>
    <cellStyle name="Normal 12 2 10 3 2 2" xfId="54478"/>
    <cellStyle name="Normal 12 2 10 3 3" xfId="37431"/>
    <cellStyle name="Normal 12 2 10 4" xfId="13799"/>
    <cellStyle name="Normal 12 2 10 4 2" xfId="19845"/>
    <cellStyle name="Normal 12 2 10 4 2 2" xfId="48706"/>
    <cellStyle name="Normal 12 2 10 4 3" xfId="42660"/>
    <cellStyle name="Normal 12 2 10 5" xfId="17165"/>
    <cellStyle name="Normal 12 2 10 5 2" xfId="46026"/>
    <cellStyle name="Normal 12 2 10 6" xfId="31390"/>
    <cellStyle name="Normal 12 2 11" xfId="2737"/>
    <cellStyle name="Normal 12 2 11 2" xfId="5623"/>
    <cellStyle name="Normal 12 2 11 2 2" xfId="11664"/>
    <cellStyle name="Normal 12 2 11 2 2 2" xfId="28711"/>
    <cellStyle name="Normal 12 2 11 2 2 2 2" xfId="57572"/>
    <cellStyle name="Normal 12 2 11 2 2 3" xfId="40525"/>
    <cellStyle name="Normal 12 2 11 2 3" xfId="22733"/>
    <cellStyle name="Normal 12 2 11 2 3 2" xfId="51594"/>
    <cellStyle name="Normal 12 2 11 2 4" xfId="34484"/>
    <cellStyle name="Normal 12 2 11 3" xfId="8778"/>
    <cellStyle name="Normal 12 2 11 3 2" xfId="25825"/>
    <cellStyle name="Normal 12 2 11 3 2 2" xfId="54686"/>
    <cellStyle name="Normal 12 2 11 3 3" xfId="37639"/>
    <cellStyle name="Normal 12 2 11 4" xfId="13627"/>
    <cellStyle name="Normal 12 2 11 4 2" xfId="20053"/>
    <cellStyle name="Normal 12 2 11 4 2 2" xfId="48914"/>
    <cellStyle name="Normal 12 2 11 4 3" xfId="42488"/>
    <cellStyle name="Normal 12 2 11 5" xfId="17373"/>
    <cellStyle name="Normal 12 2 11 5 2" xfId="46234"/>
    <cellStyle name="Normal 12 2 11 6" xfId="31598"/>
    <cellStyle name="Normal 12 2 12" xfId="3252"/>
    <cellStyle name="Normal 12 2 12 2" xfId="9293"/>
    <cellStyle name="Normal 12 2 12 2 2" xfId="26340"/>
    <cellStyle name="Normal 12 2 12 2 2 2" xfId="55201"/>
    <cellStyle name="Normal 12 2 12 2 3" xfId="38154"/>
    <cellStyle name="Normal 12 2 12 3" xfId="12365"/>
    <cellStyle name="Normal 12 2 12 3 2" xfId="20362"/>
    <cellStyle name="Normal 12 2 12 3 2 2" xfId="49223"/>
    <cellStyle name="Normal 12 2 12 3 3" xfId="41226"/>
    <cellStyle name="Normal 12 2 12 4" xfId="15002"/>
    <cellStyle name="Normal 12 2 12 4 2" xfId="43863"/>
    <cellStyle name="Normal 12 2 12 5" xfId="32113"/>
    <cellStyle name="Normal 12 2 13" xfId="2943"/>
    <cellStyle name="Normal 12 2 13 2" xfId="8984"/>
    <cellStyle name="Normal 12 2 13 2 2" xfId="26031"/>
    <cellStyle name="Normal 12 2 13 2 2 2" xfId="54892"/>
    <cellStyle name="Normal 12 2 13 2 3" xfId="37845"/>
    <cellStyle name="Normal 12 2 13 3" xfId="17579"/>
    <cellStyle name="Normal 12 2 13 3 2" xfId="46440"/>
    <cellStyle name="Normal 12 2 13 4" xfId="31804"/>
    <cellStyle name="Normal 12 2 14" xfId="5829"/>
    <cellStyle name="Normal 12 2 14 2" xfId="11870"/>
    <cellStyle name="Normal 12 2 14 2 2" xfId="28917"/>
    <cellStyle name="Normal 12 2 14 2 2 2" xfId="57778"/>
    <cellStyle name="Normal 12 2 14 2 3" xfId="40731"/>
    <cellStyle name="Normal 12 2 14 3" xfId="22939"/>
    <cellStyle name="Normal 12 2 14 3 2" xfId="51800"/>
    <cellStyle name="Normal 12 2 14 4" xfId="34690"/>
    <cellStyle name="Normal 12 2 15" xfId="6046"/>
    <cellStyle name="Normal 12 2 15 2" xfId="23145"/>
    <cellStyle name="Normal 12 2 15 2 2" xfId="52006"/>
    <cellStyle name="Normal 12 2 15 3" xfId="34907"/>
    <cellStyle name="Normal 12 2 16" xfId="6407"/>
    <cellStyle name="Normal 12 2 16 2" xfId="23454"/>
    <cellStyle name="Normal 12 2 16 2 2" xfId="52315"/>
    <cellStyle name="Normal 12 2 16 3" xfId="35268"/>
    <cellStyle name="Normal 12 2 17" xfId="14693"/>
    <cellStyle name="Normal 12 2 17 2" xfId="43554"/>
    <cellStyle name="Normal 12 2 18" xfId="29227"/>
    <cellStyle name="Normal 12 2 2" xfId="571"/>
    <cellStyle name="Normal 12 2 2 2" xfId="2322"/>
    <cellStyle name="Normal 12 2 2 2 2" xfId="5209"/>
    <cellStyle name="Normal 12 2 2 2 2 2" xfId="11250"/>
    <cellStyle name="Normal 12 2 2 2 2 2 2" xfId="28297"/>
    <cellStyle name="Normal 12 2 2 2 2 2 2 2" xfId="57158"/>
    <cellStyle name="Normal 12 2 2 2 2 2 3" xfId="40111"/>
    <cellStyle name="Normal 12 2 2 2 2 3" xfId="22319"/>
    <cellStyle name="Normal 12 2 2 2 2 3 2" xfId="51180"/>
    <cellStyle name="Normal 12 2 2 2 2 4" xfId="34070"/>
    <cellStyle name="Normal 12 2 2 2 3" xfId="8364"/>
    <cellStyle name="Normal 12 2 2 2 3 2" xfId="25411"/>
    <cellStyle name="Normal 12 2 2 2 3 2 2" xfId="54272"/>
    <cellStyle name="Normal 12 2 2 2 3 3" xfId="37225"/>
    <cellStyle name="Normal 12 2 2 2 4" xfId="14390"/>
    <cellStyle name="Normal 12 2 2 2 4 2" xfId="19639"/>
    <cellStyle name="Normal 12 2 2 2 4 2 2" xfId="48500"/>
    <cellStyle name="Normal 12 2 2 2 4 3" xfId="43251"/>
    <cellStyle name="Normal 12 2 2 2 5" xfId="16959"/>
    <cellStyle name="Normal 12 2 2 2 5 2" xfId="45820"/>
    <cellStyle name="Normal 12 2 2 2 6" xfId="31184"/>
    <cellStyle name="Normal 12 2 2 3" xfId="3458"/>
    <cellStyle name="Normal 12 2 2 3 2" xfId="9499"/>
    <cellStyle name="Normal 12 2 2 3 2 2" xfId="26546"/>
    <cellStyle name="Normal 12 2 2 3 2 2 2" xfId="55407"/>
    <cellStyle name="Normal 12 2 2 3 2 3" xfId="38360"/>
    <cellStyle name="Normal 12 2 2 3 3" xfId="20568"/>
    <cellStyle name="Normal 12 2 2 3 3 2" xfId="49429"/>
    <cellStyle name="Normal 12 2 2 3 4" xfId="32319"/>
    <cellStyle name="Normal 12 2 2 4" xfId="6613"/>
    <cellStyle name="Normal 12 2 2 4 2" xfId="23660"/>
    <cellStyle name="Normal 12 2 2 4 2 2" xfId="52521"/>
    <cellStyle name="Normal 12 2 2 4 3" xfId="35474"/>
    <cellStyle name="Normal 12 2 2 5" xfId="13856"/>
    <cellStyle name="Normal 12 2 2 5 2" xfId="17888"/>
    <cellStyle name="Normal 12 2 2 5 2 2" xfId="46749"/>
    <cellStyle name="Normal 12 2 2 5 3" xfId="42717"/>
    <cellStyle name="Normal 12 2 2 6" xfId="15208"/>
    <cellStyle name="Normal 12 2 2 6 2" xfId="44069"/>
    <cellStyle name="Normal 12 2 2 7" xfId="29433"/>
    <cellStyle name="Normal 12 2 3" xfId="880"/>
    <cellStyle name="Normal 12 2 3 2" xfId="3767"/>
    <cellStyle name="Normal 12 2 3 2 2" xfId="9808"/>
    <cellStyle name="Normal 12 2 3 2 2 2" xfId="26855"/>
    <cellStyle name="Normal 12 2 3 2 2 2 2" xfId="55716"/>
    <cellStyle name="Normal 12 2 3 2 2 3" xfId="38669"/>
    <cellStyle name="Normal 12 2 3 2 3" xfId="20877"/>
    <cellStyle name="Normal 12 2 3 2 3 2" xfId="49738"/>
    <cellStyle name="Normal 12 2 3 2 4" xfId="32628"/>
    <cellStyle name="Normal 12 2 3 3" xfId="6922"/>
    <cellStyle name="Normal 12 2 3 3 2" xfId="23969"/>
    <cellStyle name="Normal 12 2 3 3 2 2" xfId="52830"/>
    <cellStyle name="Normal 12 2 3 3 3" xfId="35783"/>
    <cellStyle name="Normal 12 2 3 4" xfId="12429"/>
    <cellStyle name="Normal 12 2 3 4 2" xfId="18197"/>
    <cellStyle name="Normal 12 2 3 4 2 2" xfId="47058"/>
    <cellStyle name="Normal 12 2 3 4 3" xfId="41290"/>
    <cellStyle name="Normal 12 2 3 5" xfId="15517"/>
    <cellStyle name="Normal 12 2 3 5 2" xfId="44378"/>
    <cellStyle name="Normal 12 2 3 6" xfId="29742"/>
    <cellStyle name="Normal 12 2 4" xfId="1086"/>
    <cellStyle name="Normal 12 2 4 2" xfId="3973"/>
    <cellStyle name="Normal 12 2 4 2 2" xfId="10014"/>
    <cellStyle name="Normal 12 2 4 2 2 2" xfId="27061"/>
    <cellStyle name="Normal 12 2 4 2 2 2 2" xfId="55922"/>
    <cellStyle name="Normal 12 2 4 2 2 3" xfId="38875"/>
    <cellStyle name="Normal 12 2 4 2 3" xfId="21083"/>
    <cellStyle name="Normal 12 2 4 2 3 2" xfId="49944"/>
    <cellStyle name="Normal 12 2 4 2 4" xfId="32834"/>
    <cellStyle name="Normal 12 2 4 3" xfId="7128"/>
    <cellStyle name="Normal 12 2 4 3 2" xfId="24175"/>
    <cellStyle name="Normal 12 2 4 3 2 2" xfId="53036"/>
    <cellStyle name="Normal 12 2 4 3 3" xfId="35989"/>
    <cellStyle name="Normal 12 2 4 4" xfId="13192"/>
    <cellStyle name="Normal 12 2 4 4 2" xfId="18403"/>
    <cellStyle name="Normal 12 2 4 4 2 2" xfId="47264"/>
    <cellStyle name="Normal 12 2 4 4 3" xfId="42053"/>
    <cellStyle name="Normal 12 2 4 5" xfId="15723"/>
    <cellStyle name="Normal 12 2 4 5 2" xfId="44584"/>
    <cellStyle name="Normal 12 2 4 6" xfId="29948"/>
    <cellStyle name="Normal 12 2 5" xfId="1292"/>
    <cellStyle name="Normal 12 2 5 2" xfId="4179"/>
    <cellStyle name="Normal 12 2 5 2 2" xfId="10220"/>
    <cellStyle name="Normal 12 2 5 2 2 2" xfId="27267"/>
    <cellStyle name="Normal 12 2 5 2 2 2 2" xfId="56128"/>
    <cellStyle name="Normal 12 2 5 2 2 3" xfId="39081"/>
    <cellStyle name="Normal 12 2 5 2 3" xfId="21289"/>
    <cellStyle name="Normal 12 2 5 2 3 2" xfId="50150"/>
    <cellStyle name="Normal 12 2 5 2 4" xfId="33040"/>
    <cellStyle name="Normal 12 2 5 3" xfId="7334"/>
    <cellStyle name="Normal 12 2 5 3 2" xfId="24381"/>
    <cellStyle name="Normal 12 2 5 3 2 2" xfId="53242"/>
    <cellStyle name="Normal 12 2 5 3 3" xfId="36195"/>
    <cellStyle name="Normal 12 2 5 4" xfId="14418"/>
    <cellStyle name="Normal 12 2 5 4 2" xfId="18609"/>
    <cellStyle name="Normal 12 2 5 4 2 2" xfId="47470"/>
    <cellStyle name="Normal 12 2 5 4 3" xfId="43279"/>
    <cellStyle name="Normal 12 2 5 5" xfId="15929"/>
    <cellStyle name="Normal 12 2 5 5 2" xfId="44790"/>
    <cellStyle name="Normal 12 2 5 6" xfId="30154"/>
    <cellStyle name="Normal 12 2 6" xfId="1498"/>
    <cellStyle name="Normal 12 2 6 2" xfId="4385"/>
    <cellStyle name="Normal 12 2 6 2 2" xfId="10426"/>
    <cellStyle name="Normal 12 2 6 2 2 2" xfId="27473"/>
    <cellStyle name="Normal 12 2 6 2 2 2 2" xfId="56334"/>
    <cellStyle name="Normal 12 2 6 2 2 3" xfId="39287"/>
    <cellStyle name="Normal 12 2 6 2 3" xfId="21495"/>
    <cellStyle name="Normal 12 2 6 2 3 2" xfId="50356"/>
    <cellStyle name="Normal 12 2 6 2 4" xfId="33246"/>
    <cellStyle name="Normal 12 2 6 3" xfId="7540"/>
    <cellStyle name="Normal 12 2 6 3 2" xfId="24587"/>
    <cellStyle name="Normal 12 2 6 3 2 2" xfId="53448"/>
    <cellStyle name="Normal 12 2 6 3 3" xfId="36401"/>
    <cellStyle name="Normal 12 2 6 4" xfId="13845"/>
    <cellStyle name="Normal 12 2 6 4 2" xfId="18815"/>
    <cellStyle name="Normal 12 2 6 4 2 2" xfId="47676"/>
    <cellStyle name="Normal 12 2 6 4 3" xfId="42706"/>
    <cellStyle name="Normal 12 2 6 5" xfId="16135"/>
    <cellStyle name="Normal 12 2 6 5 2" xfId="44996"/>
    <cellStyle name="Normal 12 2 6 6" xfId="30360"/>
    <cellStyle name="Normal 12 2 7" xfId="1704"/>
    <cellStyle name="Normal 12 2 7 2" xfId="4591"/>
    <cellStyle name="Normal 12 2 7 2 2" xfId="10632"/>
    <cellStyle name="Normal 12 2 7 2 2 2" xfId="27679"/>
    <cellStyle name="Normal 12 2 7 2 2 2 2" xfId="56540"/>
    <cellStyle name="Normal 12 2 7 2 2 3" xfId="39493"/>
    <cellStyle name="Normal 12 2 7 2 3" xfId="21701"/>
    <cellStyle name="Normal 12 2 7 2 3 2" xfId="50562"/>
    <cellStyle name="Normal 12 2 7 2 4" xfId="33452"/>
    <cellStyle name="Normal 12 2 7 3" xfId="7746"/>
    <cellStyle name="Normal 12 2 7 3 2" xfId="24793"/>
    <cellStyle name="Normal 12 2 7 3 2 2" xfId="53654"/>
    <cellStyle name="Normal 12 2 7 3 3" xfId="36607"/>
    <cellStyle name="Normal 12 2 7 4" xfId="12854"/>
    <cellStyle name="Normal 12 2 7 4 2" xfId="19021"/>
    <cellStyle name="Normal 12 2 7 4 2 2" xfId="47882"/>
    <cellStyle name="Normal 12 2 7 4 3" xfId="41715"/>
    <cellStyle name="Normal 12 2 7 5" xfId="16341"/>
    <cellStyle name="Normal 12 2 7 5 2" xfId="45202"/>
    <cellStyle name="Normal 12 2 7 6" xfId="30566"/>
    <cellStyle name="Normal 12 2 8" xfId="1910"/>
    <cellStyle name="Normal 12 2 8 2" xfId="4797"/>
    <cellStyle name="Normal 12 2 8 2 2" xfId="10838"/>
    <cellStyle name="Normal 12 2 8 2 2 2" xfId="27885"/>
    <cellStyle name="Normal 12 2 8 2 2 2 2" xfId="56746"/>
    <cellStyle name="Normal 12 2 8 2 2 3" xfId="39699"/>
    <cellStyle name="Normal 12 2 8 2 3" xfId="21907"/>
    <cellStyle name="Normal 12 2 8 2 3 2" xfId="50768"/>
    <cellStyle name="Normal 12 2 8 2 4" xfId="33658"/>
    <cellStyle name="Normal 12 2 8 3" xfId="7952"/>
    <cellStyle name="Normal 12 2 8 3 2" xfId="24999"/>
    <cellStyle name="Normal 12 2 8 3 2 2" xfId="53860"/>
    <cellStyle name="Normal 12 2 8 3 3" xfId="36813"/>
    <cellStyle name="Normal 12 2 8 4" xfId="11950"/>
    <cellStyle name="Normal 12 2 8 4 2" xfId="19227"/>
    <cellStyle name="Normal 12 2 8 4 2 2" xfId="48088"/>
    <cellStyle name="Normal 12 2 8 4 3" xfId="40811"/>
    <cellStyle name="Normal 12 2 8 5" xfId="16547"/>
    <cellStyle name="Normal 12 2 8 5 2" xfId="45408"/>
    <cellStyle name="Normal 12 2 8 6" xfId="30772"/>
    <cellStyle name="Normal 12 2 9" xfId="2116"/>
    <cellStyle name="Normal 12 2 9 2" xfId="5003"/>
    <cellStyle name="Normal 12 2 9 2 2" xfId="11044"/>
    <cellStyle name="Normal 12 2 9 2 2 2" xfId="28091"/>
    <cellStyle name="Normal 12 2 9 2 2 2 2" xfId="56952"/>
    <cellStyle name="Normal 12 2 9 2 2 3" xfId="39905"/>
    <cellStyle name="Normal 12 2 9 2 3" xfId="22113"/>
    <cellStyle name="Normal 12 2 9 2 3 2" xfId="50974"/>
    <cellStyle name="Normal 12 2 9 2 4" xfId="33864"/>
    <cellStyle name="Normal 12 2 9 3" xfId="8158"/>
    <cellStyle name="Normal 12 2 9 3 2" xfId="25205"/>
    <cellStyle name="Normal 12 2 9 3 2 2" xfId="54066"/>
    <cellStyle name="Normal 12 2 9 3 3" xfId="37019"/>
    <cellStyle name="Normal 12 2 9 4" xfId="12362"/>
    <cellStyle name="Normal 12 2 9 4 2" xfId="19433"/>
    <cellStyle name="Normal 12 2 9 4 2 2" xfId="48294"/>
    <cellStyle name="Normal 12 2 9 4 3" xfId="41223"/>
    <cellStyle name="Normal 12 2 9 5" xfId="16753"/>
    <cellStyle name="Normal 12 2 9 5 2" xfId="45614"/>
    <cellStyle name="Normal 12 2 9 6" xfId="30978"/>
    <cellStyle name="Normal 12 20" xfId="29021"/>
    <cellStyle name="Normal 12 3" xfId="262"/>
    <cellStyle name="Normal 12 3 2" xfId="674"/>
    <cellStyle name="Normal 12 3 2 2" xfId="3561"/>
    <cellStyle name="Normal 12 3 2 2 2" xfId="9602"/>
    <cellStyle name="Normal 12 3 2 2 2 2" xfId="26649"/>
    <cellStyle name="Normal 12 3 2 2 2 2 2" xfId="55510"/>
    <cellStyle name="Normal 12 3 2 2 2 3" xfId="38463"/>
    <cellStyle name="Normal 12 3 2 2 3" xfId="20671"/>
    <cellStyle name="Normal 12 3 2 2 3 2" xfId="49532"/>
    <cellStyle name="Normal 12 3 2 2 4" xfId="32422"/>
    <cellStyle name="Normal 12 3 2 3" xfId="6716"/>
    <cellStyle name="Normal 12 3 2 3 2" xfId="23763"/>
    <cellStyle name="Normal 12 3 2 3 2 2" xfId="52624"/>
    <cellStyle name="Normal 12 3 2 3 3" xfId="35577"/>
    <cellStyle name="Normal 12 3 2 4" xfId="14011"/>
    <cellStyle name="Normal 12 3 2 4 2" xfId="17991"/>
    <cellStyle name="Normal 12 3 2 4 2 2" xfId="46852"/>
    <cellStyle name="Normal 12 3 2 4 3" xfId="42872"/>
    <cellStyle name="Normal 12 3 2 5" xfId="15311"/>
    <cellStyle name="Normal 12 3 2 5 2" xfId="44172"/>
    <cellStyle name="Normal 12 3 2 6" xfId="29536"/>
    <cellStyle name="Normal 12 3 3" xfId="2219"/>
    <cellStyle name="Normal 12 3 3 2" xfId="5106"/>
    <cellStyle name="Normal 12 3 3 2 2" xfId="11147"/>
    <cellStyle name="Normal 12 3 3 2 2 2" xfId="28194"/>
    <cellStyle name="Normal 12 3 3 2 2 2 2" xfId="57055"/>
    <cellStyle name="Normal 12 3 3 2 2 3" xfId="40008"/>
    <cellStyle name="Normal 12 3 3 2 3" xfId="22216"/>
    <cellStyle name="Normal 12 3 3 2 3 2" xfId="51077"/>
    <cellStyle name="Normal 12 3 3 2 4" xfId="33967"/>
    <cellStyle name="Normal 12 3 3 3" xfId="8261"/>
    <cellStyle name="Normal 12 3 3 3 2" xfId="25308"/>
    <cellStyle name="Normal 12 3 3 3 2 2" xfId="54169"/>
    <cellStyle name="Normal 12 3 3 3 3" xfId="37122"/>
    <cellStyle name="Normal 12 3 3 4" xfId="12689"/>
    <cellStyle name="Normal 12 3 3 4 2" xfId="19536"/>
    <cellStyle name="Normal 12 3 3 4 2 2" xfId="48397"/>
    <cellStyle name="Normal 12 3 3 4 3" xfId="41550"/>
    <cellStyle name="Normal 12 3 3 5" xfId="16856"/>
    <cellStyle name="Normal 12 3 3 5 2" xfId="45717"/>
    <cellStyle name="Normal 12 3 3 6" xfId="31081"/>
    <cellStyle name="Normal 12 3 4" xfId="3149"/>
    <cellStyle name="Normal 12 3 4 2" xfId="9190"/>
    <cellStyle name="Normal 12 3 4 2 2" xfId="26237"/>
    <cellStyle name="Normal 12 3 4 2 2 2" xfId="55098"/>
    <cellStyle name="Normal 12 3 4 2 3" xfId="38051"/>
    <cellStyle name="Normal 12 3 4 3" xfId="20259"/>
    <cellStyle name="Normal 12 3 4 3 2" xfId="49120"/>
    <cellStyle name="Normal 12 3 4 4" xfId="32010"/>
    <cellStyle name="Normal 12 3 5" xfId="6304"/>
    <cellStyle name="Normal 12 3 5 2" xfId="23351"/>
    <cellStyle name="Normal 12 3 5 2 2" xfId="52212"/>
    <cellStyle name="Normal 12 3 5 3" xfId="35165"/>
    <cellStyle name="Normal 12 3 6" xfId="13744"/>
    <cellStyle name="Normal 12 3 6 2" xfId="17682"/>
    <cellStyle name="Normal 12 3 6 2 2" xfId="46543"/>
    <cellStyle name="Normal 12 3 6 3" xfId="42605"/>
    <cellStyle name="Normal 12 3 7" xfId="14899"/>
    <cellStyle name="Normal 12 3 7 2" xfId="43760"/>
    <cellStyle name="Normal 12 3 8" xfId="29124"/>
    <cellStyle name="Normal 12 4" xfId="468"/>
    <cellStyle name="Normal 12 4 2" xfId="3355"/>
    <cellStyle name="Normal 12 4 2 2" xfId="9396"/>
    <cellStyle name="Normal 12 4 2 2 2" xfId="26443"/>
    <cellStyle name="Normal 12 4 2 2 2 2" xfId="55304"/>
    <cellStyle name="Normal 12 4 2 2 3" xfId="38257"/>
    <cellStyle name="Normal 12 4 2 3" xfId="20465"/>
    <cellStyle name="Normal 12 4 2 3 2" xfId="49326"/>
    <cellStyle name="Normal 12 4 2 4" xfId="32216"/>
    <cellStyle name="Normal 12 4 3" xfId="6510"/>
    <cellStyle name="Normal 12 4 3 2" xfId="23557"/>
    <cellStyle name="Normal 12 4 3 2 2" xfId="52418"/>
    <cellStyle name="Normal 12 4 3 3" xfId="35371"/>
    <cellStyle name="Normal 12 4 4" xfId="14064"/>
    <cellStyle name="Normal 12 4 4 2" xfId="17785"/>
    <cellStyle name="Normal 12 4 4 2 2" xfId="46646"/>
    <cellStyle name="Normal 12 4 4 3" xfId="42925"/>
    <cellStyle name="Normal 12 4 5" xfId="15105"/>
    <cellStyle name="Normal 12 4 5 2" xfId="43966"/>
    <cellStyle name="Normal 12 4 6" xfId="29330"/>
    <cellStyle name="Normal 12 5" xfId="777"/>
    <cellStyle name="Normal 12 5 2" xfId="3664"/>
    <cellStyle name="Normal 12 5 2 2" xfId="9705"/>
    <cellStyle name="Normal 12 5 2 2 2" xfId="26752"/>
    <cellStyle name="Normal 12 5 2 2 2 2" xfId="55613"/>
    <cellStyle name="Normal 12 5 2 2 3" xfId="38566"/>
    <cellStyle name="Normal 12 5 2 3" xfId="20774"/>
    <cellStyle name="Normal 12 5 2 3 2" xfId="49635"/>
    <cellStyle name="Normal 12 5 2 4" xfId="32525"/>
    <cellStyle name="Normal 12 5 3" xfId="6819"/>
    <cellStyle name="Normal 12 5 3 2" xfId="23866"/>
    <cellStyle name="Normal 12 5 3 2 2" xfId="52727"/>
    <cellStyle name="Normal 12 5 3 3" xfId="35680"/>
    <cellStyle name="Normal 12 5 4" xfId="12357"/>
    <cellStyle name="Normal 12 5 4 2" xfId="18094"/>
    <cellStyle name="Normal 12 5 4 2 2" xfId="46955"/>
    <cellStyle name="Normal 12 5 4 3" xfId="41218"/>
    <cellStyle name="Normal 12 5 5" xfId="15414"/>
    <cellStyle name="Normal 12 5 5 2" xfId="44275"/>
    <cellStyle name="Normal 12 5 6" xfId="29639"/>
    <cellStyle name="Normal 12 6" xfId="983"/>
    <cellStyle name="Normal 12 6 2" xfId="3870"/>
    <cellStyle name="Normal 12 6 2 2" xfId="9911"/>
    <cellStyle name="Normal 12 6 2 2 2" xfId="26958"/>
    <cellStyle name="Normal 12 6 2 2 2 2" xfId="55819"/>
    <cellStyle name="Normal 12 6 2 2 3" xfId="38772"/>
    <cellStyle name="Normal 12 6 2 3" xfId="20980"/>
    <cellStyle name="Normal 12 6 2 3 2" xfId="49841"/>
    <cellStyle name="Normal 12 6 2 4" xfId="32731"/>
    <cellStyle name="Normal 12 6 3" xfId="7025"/>
    <cellStyle name="Normal 12 6 3 2" xfId="24072"/>
    <cellStyle name="Normal 12 6 3 2 2" xfId="52933"/>
    <cellStyle name="Normal 12 6 3 3" xfId="35886"/>
    <cellStyle name="Normal 12 6 4" xfId="14336"/>
    <cellStyle name="Normal 12 6 4 2" xfId="18300"/>
    <cellStyle name="Normal 12 6 4 2 2" xfId="47161"/>
    <cellStyle name="Normal 12 6 4 3" xfId="43197"/>
    <cellStyle name="Normal 12 6 5" xfId="15620"/>
    <cellStyle name="Normal 12 6 5 2" xfId="44481"/>
    <cellStyle name="Normal 12 6 6" xfId="29845"/>
    <cellStyle name="Normal 12 7" xfId="1189"/>
    <cellStyle name="Normal 12 7 2" xfId="4076"/>
    <cellStyle name="Normal 12 7 2 2" xfId="10117"/>
    <cellStyle name="Normal 12 7 2 2 2" xfId="27164"/>
    <cellStyle name="Normal 12 7 2 2 2 2" xfId="56025"/>
    <cellStyle name="Normal 12 7 2 2 3" xfId="38978"/>
    <cellStyle name="Normal 12 7 2 3" xfId="21186"/>
    <cellStyle name="Normal 12 7 2 3 2" xfId="50047"/>
    <cellStyle name="Normal 12 7 2 4" xfId="32937"/>
    <cellStyle name="Normal 12 7 3" xfId="7231"/>
    <cellStyle name="Normal 12 7 3 2" xfId="24278"/>
    <cellStyle name="Normal 12 7 3 2 2" xfId="53139"/>
    <cellStyle name="Normal 12 7 3 3" xfId="36092"/>
    <cellStyle name="Normal 12 7 4" xfId="12417"/>
    <cellStyle name="Normal 12 7 4 2" xfId="18506"/>
    <cellStyle name="Normal 12 7 4 2 2" xfId="47367"/>
    <cellStyle name="Normal 12 7 4 3" xfId="41278"/>
    <cellStyle name="Normal 12 7 5" xfId="15826"/>
    <cellStyle name="Normal 12 7 5 2" xfId="44687"/>
    <cellStyle name="Normal 12 7 6" xfId="30051"/>
    <cellStyle name="Normal 12 8" xfId="1395"/>
    <cellStyle name="Normal 12 8 2" xfId="4282"/>
    <cellStyle name="Normal 12 8 2 2" xfId="10323"/>
    <cellStyle name="Normal 12 8 2 2 2" xfId="27370"/>
    <cellStyle name="Normal 12 8 2 2 2 2" xfId="56231"/>
    <cellStyle name="Normal 12 8 2 2 3" xfId="39184"/>
    <cellStyle name="Normal 12 8 2 3" xfId="21392"/>
    <cellStyle name="Normal 12 8 2 3 2" xfId="50253"/>
    <cellStyle name="Normal 12 8 2 4" xfId="33143"/>
    <cellStyle name="Normal 12 8 3" xfId="7437"/>
    <cellStyle name="Normal 12 8 3 2" xfId="24484"/>
    <cellStyle name="Normal 12 8 3 2 2" xfId="53345"/>
    <cellStyle name="Normal 12 8 3 3" xfId="36298"/>
    <cellStyle name="Normal 12 8 4" xfId="12378"/>
    <cellStyle name="Normal 12 8 4 2" xfId="18712"/>
    <cellStyle name="Normal 12 8 4 2 2" xfId="47573"/>
    <cellStyle name="Normal 12 8 4 3" xfId="41239"/>
    <cellStyle name="Normal 12 8 5" xfId="16032"/>
    <cellStyle name="Normal 12 8 5 2" xfId="44893"/>
    <cellStyle name="Normal 12 8 6" xfId="30257"/>
    <cellStyle name="Normal 12 9" xfId="1601"/>
    <cellStyle name="Normal 12 9 2" xfId="4488"/>
    <cellStyle name="Normal 12 9 2 2" xfId="10529"/>
    <cellStyle name="Normal 12 9 2 2 2" xfId="27576"/>
    <cellStyle name="Normal 12 9 2 2 2 2" xfId="56437"/>
    <cellStyle name="Normal 12 9 2 2 3" xfId="39390"/>
    <cellStyle name="Normal 12 9 2 3" xfId="21598"/>
    <cellStyle name="Normal 12 9 2 3 2" xfId="50459"/>
    <cellStyle name="Normal 12 9 2 4" xfId="33349"/>
    <cellStyle name="Normal 12 9 3" xfId="7643"/>
    <cellStyle name="Normal 12 9 3 2" xfId="24690"/>
    <cellStyle name="Normal 12 9 3 2 2" xfId="53551"/>
    <cellStyle name="Normal 12 9 3 3" xfId="36504"/>
    <cellStyle name="Normal 12 9 4" xfId="13754"/>
    <cellStyle name="Normal 12 9 4 2" xfId="18918"/>
    <cellStyle name="Normal 12 9 4 2 2" xfId="47779"/>
    <cellStyle name="Normal 12 9 4 3" xfId="42615"/>
    <cellStyle name="Normal 12 9 5" xfId="16238"/>
    <cellStyle name="Normal 12 9 5 2" xfId="45099"/>
    <cellStyle name="Normal 12 9 6" xfId="30463"/>
    <cellStyle name="Normal 13" xfId="2532"/>
    <cellStyle name="Normal 13 2" xfId="5419"/>
    <cellStyle name="Normal 13 2 2" xfId="11460"/>
    <cellStyle name="Normal 13 2 2 2" xfId="28507"/>
    <cellStyle name="Normal 13 2 2 2 2" xfId="57368"/>
    <cellStyle name="Normal 13 2 2 3" xfId="40321"/>
    <cellStyle name="Normal 13 2 3" xfId="22529"/>
    <cellStyle name="Normal 13 2 3 2" xfId="51390"/>
    <cellStyle name="Normal 13 2 4" xfId="34280"/>
    <cellStyle name="Normal 13 3" xfId="8574"/>
    <cellStyle name="Normal 13 3 2" xfId="25621"/>
    <cellStyle name="Normal 13 3 2 2" xfId="54482"/>
    <cellStyle name="Normal 13 3 3" xfId="37435"/>
    <cellStyle name="Normal 13 4" xfId="13551"/>
    <cellStyle name="Normal 13 4 2" xfId="19849"/>
    <cellStyle name="Normal 13 4 2 2" xfId="48710"/>
    <cellStyle name="Normal 13 4 3" xfId="42412"/>
    <cellStyle name="Normal 13 5" xfId="17169"/>
    <cellStyle name="Normal 13 5 2" xfId="46030"/>
    <cellStyle name="Normal 13 6" xfId="31394"/>
    <cellStyle name="Normal 2" xfId="29"/>
    <cellStyle name="Normal 2 2" xfId="30"/>
    <cellStyle name="Normal 3" xfId="31"/>
    <cellStyle name="Normal 4" xfId="32"/>
    <cellStyle name="Normal 4 10" xfId="373"/>
    <cellStyle name="Normal 4 10 2" xfId="3260"/>
    <cellStyle name="Normal 4 10 2 2" xfId="9301"/>
    <cellStyle name="Normal 4 10 2 2 2" xfId="26348"/>
    <cellStyle name="Normal 4 10 2 2 2 2" xfId="55209"/>
    <cellStyle name="Normal 4 10 2 2 3" xfId="38162"/>
    <cellStyle name="Normal 4 10 2 3" xfId="20370"/>
    <cellStyle name="Normal 4 10 2 3 2" xfId="49231"/>
    <cellStyle name="Normal 4 10 2 4" xfId="32121"/>
    <cellStyle name="Normal 4 10 3" xfId="6415"/>
    <cellStyle name="Normal 4 10 3 2" xfId="23462"/>
    <cellStyle name="Normal 4 10 3 2 2" xfId="52323"/>
    <cellStyle name="Normal 4 10 3 3" xfId="35276"/>
    <cellStyle name="Normal 4 10 4" xfId="12954"/>
    <cellStyle name="Normal 4 10 4 2" xfId="17690"/>
    <cellStyle name="Normal 4 10 4 2 2" xfId="46551"/>
    <cellStyle name="Normal 4 10 4 3" xfId="41815"/>
    <cellStyle name="Normal 4 10 5" xfId="15010"/>
    <cellStyle name="Normal 4 10 5 2" xfId="43871"/>
    <cellStyle name="Normal 4 10 6" xfId="29235"/>
    <cellStyle name="Normal 4 11" xfId="682"/>
    <cellStyle name="Normal 4 11 2" xfId="3569"/>
    <cellStyle name="Normal 4 11 2 2" xfId="9610"/>
    <cellStyle name="Normal 4 11 2 2 2" xfId="26657"/>
    <cellStyle name="Normal 4 11 2 2 2 2" xfId="55518"/>
    <cellStyle name="Normal 4 11 2 2 3" xfId="38471"/>
    <cellStyle name="Normal 4 11 2 3" xfId="20679"/>
    <cellStyle name="Normal 4 11 2 3 2" xfId="49540"/>
    <cellStyle name="Normal 4 11 2 4" xfId="32430"/>
    <cellStyle name="Normal 4 11 3" xfId="6724"/>
    <cellStyle name="Normal 4 11 3 2" xfId="23771"/>
    <cellStyle name="Normal 4 11 3 2 2" xfId="52632"/>
    <cellStyle name="Normal 4 11 3 3" xfId="35585"/>
    <cellStyle name="Normal 4 11 4" xfId="12156"/>
    <cellStyle name="Normal 4 11 4 2" xfId="17999"/>
    <cellStyle name="Normal 4 11 4 2 2" xfId="46860"/>
    <cellStyle name="Normal 4 11 4 3" xfId="41017"/>
    <cellStyle name="Normal 4 11 5" xfId="15319"/>
    <cellStyle name="Normal 4 11 5 2" xfId="44180"/>
    <cellStyle name="Normal 4 11 6" xfId="29544"/>
    <cellStyle name="Normal 4 12" xfId="888"/>
    <cellStyle name="Normal 4 12 2" xfId="3775"/>
    <cellStyle name="Normal 4 12 2 2" xfId="9816"/>
    <cellStyle name="Normal 4 12 2 2 2" xfId="26863"/>
    <cellStyle name="Normal 4 12 2 2 2 2" xfId="55724"/>
    <cellStyle name="Normal 4 12 2 2 3" xfId="38677"/>
    <cellStyle name="Normal 4 12 2 3" xfId="20885"/>
    <cellStyle name="Normal 4 12 2 3 2" xfId="49746"/>
    <cellStyle name="Normal 4 12 2 4" xfId="32636"/>
    <cellStyle name="Normal 4 12 3" xfId="6930"/>
    <cellStyle name="Normal 4 12 3 2" xfId="23977"/>
    <cellStyle name="Normal 4 12 3 2 2" xfId="52838"/>
    <cellStyle name="Normal 4 12 3 3" xfId="35791"/>
    <cellStyle name="Normal 4 12 4" xfId="12261"/>
    <cellStyle name="Normal 4 12 4 2" xfId="18205"/>
    <cellStyle name="Normal 4 12 4 2 2" xfId="47066"/>
    <cellStyle name="Normal 4 12 4 3" xfId="41122"/>
    <cellStyle name="Normal 4 12 5" xfId="15525"/>
    <cellStyle name="Normal 4 12 5 2" xfId="44386"/>
    <cellStyle name="Normal 4 12 6" xfId="29750"/>
    <cellStyle name="Normal 4 13" xfId="1094"/>
    <cellStyle name="Normal 4 13 2" xfId="3981"/>
    <cellStyle name="Normal 4 13 2 2" xfId="10022"/>
    <cellStyle name="Normal 4 13 2 2 2" xfId="27069"/>
    <cellStyle name="Normal 4 13 2 2 2 2" xfId="55930"/>
    <cellStyle name="Normal 4 13 2 2 3" xfId="38883"/>
    <cellStyle name="Normal 4 13 2 3" xfId="21091"/>
    <cellStyle name="Normal 4 13 2 3 2" xfId="49952"/>
    <cellStyle name="Normal 4 13 2 4" xfId="32842"/>
    <cellStyle name="Normal 4 13 3" xfId="7136"/>
    <cellStyle name="Normal 4 13 3 2" xfId="24183"/>
    <cellStyle name="Normal 4 13 3 2 2" xfId="53044"/>
    <cellStyle name="Normal 4 13 3 3" xfId="35997"/>
    <cellStyle name="Normal 4 13 4" xfId="13956"/>
    <cellStyle name="Normal 4 13 4 2" xfId="18411"/>
    <cellStyle name="Normal 4 13 4 2 2" xfId="47272"/>
    <cellStyle name="Normal 4 13 4 3" xfId="42817"/>
    <cellStyle name="Normal 4 13 5" xfId="15731"/>
    <cellStyle name="Normal 4 13 5 2" xfId="44592"/>
    <cellStyle name="Normal 4 13 6" xfId="29956"/>
    <cellStyle name="Normal 4 14" xfId="1300"/>
    <cellStyle name="Normal 4 14 2" xfId="4187"/>
    <cellStyle name="Normal 4 14 2 2" xfId="10228"/>
    <cellStyle name="Normal 4 14 2 2 2" xfId="27275"/>
    <cellStyle name="Normal 4 14 2 2 2 2" xfId="56136"/>
    <cellStyle name="Normal 4 14 2 2 3" xfId="39089"/>
    <cellStyle name="Normal 4 14 2 3" xfId="21297"/>
    <cellStyle name="Normal 4 14 2 3 2" xfId="50158"/>
    <cellStyle name="Normal 4 14 2 4" xfId="33048"/>
    <cellStyle name="Normal 4 14 3" xfId="7342"/>
    <cellStyle name="Normal 4 14 3 2" xfId="24389"/>
    <cellStyle name="Normal 4 14 3 2 2" xfId="53250"/>
    <cellStyle name="Normal 4 14 3 3" xfId="36203"/>
    <cellStyle name="Normal 4 14 4" xfId="12719"/>
    <cellStyle name="Normal 4 14 4 2" xfId="18617"/>
    <cellStyle name="Normal 4 14 4 2 2" xfId="47478"/>
    <cellStyle name="Normal 4 14 4 3" xfId="41580"/>
    <cellStyle name="Normal 4 14 5" xfId="15937"/>
    <cellStyle name="Normal 4 14 5 2" xfId="44798"/>
    <cellStyle name="Normal 4 14 6" xfId="30162"/>
    <cellStyle name="Normal 4 15" xfId="1506"/>
    <cellStyle name="Normal 4 15 2" xfId="4393"/>
    <cellStyle name="Normal 4 15 2 2" xfId="10434"/>
    <cellStyle name="Normal 4 15 2 2 2" xfId="27481"/>
    <cellStyle name="Normal 4 15 2 2 2 2" xfId="56342"/>
    <cellStyle name="Normal 4 15 2 2 3" xfId="39295"/>
    <cellStyle name="Normal 4 15 2 3" xfId="21503"/>
    <cellStyle name="Normal 4 15 2 3 2" xfId="50364"/>
    <cellStyle name="Normal 4 15 2 4" xfId="33254"/>
    <cellStyle name="Normal 4 15 3" xfId="7548"/>
    <cellStyle name="Normal 4 15 3 2" xfId="24595"/>
    <cellStyle name="Normal 4 15 3 2 2" xfId="53456"/>
    <cellStyle name="Normal 4 15 3 3" xfId="36409"/>
    <cellStyle name="Normal 4 15 4" xfId="12448"/>
    <cellStyle name="Normal 4 15 4 2" xfId="18823"/>
    <cellStyle name="Normal 4 15 4 2 2" xfId="47684"/>
    <cellStyle name="Normal 4 15 4 3" xfId="41309"/>
    <cellStyle name="Normal 4 15 5" xfId="16143"/>
    <cellStyle name="Normal 4 15 5 2" xfId="45004"/>
    <cellStyle name="Normal 4 15 6" xfId="30368"/>
    <cellStyle name="Normal 4 16" xfId="1712"/>
    <cellStyle name="Normal 4 16 2" xfId="4599"/>
    <cellStyle name="Normal 4 16 2 2" xfId="10640"/>
    <cellStyle name="Normal 4 16 2 2 2" xfId="27687"/>
    <cellStyle name="Normal 4 16 2 2 2 2" xfId="56548"/>
    <cellStyle name="Normal 4 16 2 2 3" xfId="39501"/>
    <cellStyle name="Normal 4 16 2 3" xfId="21709"/>
    <cellStyle name="Normal 4 16 2 3 2" xfId="50570"/>
    <cellStyle name="Normal 4 16 2 4" xfId="33460"/>
    <cellStyle name="Normal 4 16 3" xfId="7754"/>
    <cellStyle name="Normal 4 16 3 2" xfId="24801"/>
    <cellStyle name="Normal 4 16 3 2 2" xfId="53662"/>
    <cellStyle name="Normal 4 16 3 3" xfId="36615"/>
    <cellStyle name="Normal 4 16 4" xfId="13145"/>
    <cellStyle name="Normal 4 16 4 2" xfId="19029"/>
    <cellStyle name="Normal 4 16 4 2 2" xfId="47890"/>
    <cellStyle name="Normal 4 16 4 3" xfId="42006"/>
    <cellStyle name="Normal 4 16 5" xfId="16349"/>
    <cellStyle name="Normal 4 16 5 2" xfId="45210"/>
    <cellStyle name="Normal 4 16 6" xfId="30574"/>
    <cellStyle name="Normal 4 17" xfId="1918"/>
    <cellStyle name="Normal 4 17 2" xfId="4805"/>
    <cellStyle name="Normal 4 17 2 2" xfId="10846"/>
    <cellStyle name="Normal 4 17 2 2 2" xfId="27893"/>
    <cellStyle name="Normal 4 17 2 2 2 2" xfId="56754"/>
    <cellStyle name="Normal 4 17 2 2 3" xfId="39707"/>
    <cellStyle name="Normal 4 17 2 3" xfId="21915"/>
    <cellStyle name="Normal 4 17 2 3 2" xfId="50776"/>
    <cellStyle name="Normal 4 17 2 4" xfId="33666"/>
    <cellStyle name="Normal 4 17 3" xfId="7960"/>
    <cellStyle name="Normal 4 17 3 2" xfId="25007"/>
    <cellStyle name="Normal 4 17 3 2 2" xfId="53868"/>
    <cellStyle name="Normal 4 17 3 3" xfId="36821"/>
    <cellStyle name="Normal 4 17 4" xfId="13238"/>
    <cellStyle name="Normal 4 17 4 2" xfId="19235"/>
    <cellStyle name="Normal 4 17 4 2 2" xfId="48096"/>
    <cellStyle name="Normal 4 17 4 3" xfId="42099"/>
    <cellStyle name="Normal 4 17 5" xfId="16555"/>
    <cellStyle name="Normal 4 17 5 2" xfId="45416"/>
    <cellStyle name="Normal 4 17 6" xfId="30780"/>
    <cellStyle name="Normal 4 18" xfId="2330"/>
    <cellStyle name="Normal 4 18 2" xfId="5217"/>
    <cellStyle name="Normal 4 18 2 2" xfId="11258"/>
    <cellStyle name="Normal 4 18 2 2 2" xfId="28305"/>
    <cellStyle name="Normal 4 18 2 2 2 2" xfId="57166"/>
    <cellStyle name="Normal 4 18 2 2 3" xfId="40119"/>
    <cellStyle name="Normal 4 18 2 3" xfId="22327"/>
    <cellStyle name="Normal 4 18 2 3 2" xfId="51188"/>
    <cellStyle name="Normal 4 18 2 4" xfId="34078"/>
    <cellStyle name="Normal 4 18 3" xfId="8372"/>
    <cellStyle name="Normal 4 18 3 2" xfId="25419"/>
    <cellStyle name="Normal 4 18 3 2 2" xfId="54280"/>
    <cellStyle name="Normal 4 18 3 3" xfId="37233"/>
    <cellStyle name="Normal 4 18 4" xfId="13926"/>
    <cellStyle name="Normal 4 18 4 2" xfId="19647"/>
    <cellStyle name="Normal 4 18 4 2 2" xfId="48508"/>
    <cellStyle name="Normal 4 18 4 3" xfId="42787"/>
    <cellStyle name="Normal 4 18 5" xfId="16967"/>
    <cellStyle name="Normal 4 18 5 2" xfId="45828"/>
    <cellStyle name="Normal 4 18 6" xfId="31192"/>
    <cellStyle name="Normal 4 19" xfId="2539"/>
    <cellStyle name="Normal 4 19 2" xfId="5425"/>
    <cellStyle name="Normal 4 19 2 2" xfId="11466"/>
    <cellStyle name="Normal 4 19 2 2 2" xfId="28513"/>
    <cellStyle name="Normal 4 19 2 2 2 2" xfId="57374"/>
    <cellStyle name="Normal 4 19 2 2 3" xfId="40327"/>
    <cellStyle name="Normal 4 19 2 3" xfId="22535"/>
    <cellStyle name="Normal 4 19 2 3 2" xfId="51396"/>
    <cellStyle name="Normal 4 19 2 4" xfId="34286"/>
    <cellStyle name="Normal 4 19 3" xfId="8580"/>
    <cellStyle name="Normal 4 19 3 2" xfId="25627"/>
    <cellStyle name="Normal 4 19 3 2 2" xfId="54488"/>
    <cellStyle name="Normal 4 19 3 3" xfId="37441"/>
    <cellStyle name="Normal 4 19 4" xfId="12916"/>
    <cellStyle name="Normal 4 19 4 2" xfId="19855"/>
    <cellStyle name="Normal 4 19 4 2 2" xfId="48716"/>
    <cellStyle name="Normal 4 19 4 3" xfId="41777"/>
    <cellStyle name="Normal 4 19 5" xfId="17175"/>
    <cellStyle name="Normal 4 19 5 2" xfId="46036"/>
    <cellStyle name="Normal 4 19 6" xfId="31400"/>
    <cellStyle name="Normal 4 2" xfId="33"/>
    <cellStyle name="Normal 4 2 10" xfId="1713"/>
    <cellStyle name="Normal 4 2 10 2" xfId="4600"/>
    <cellStyle name="Normal 4 2 10 2 2" xfId="10641"/>
    <cellStyle name="Normal 4 2 10 2 2 2" xfId="27688"/>
    <cellStyle name="Normal 4 2 10 2 2 2 2" xfId="56549"/>
    <cellStyle name="Normal 4 2 10 2 2 3" xfId="39502"/>
    <cellStyle name="Normal 4 2 10 2 3" xfId="21710"/>
    <cellStyle name="Normal 4 2 10 2 3 2" xfId="50571"/>
    <cellStyle name="Normal 4 2 10 2 4" xfId="33461"/>
    <cellStyle name="Normal 4 2 10 3" xfId="7755"/>
    <cellStyle name="Normal 4 2 10 3 2" xfId="24802"/>
    <cellStyle name="Normal 4 2 10 3 2 2" xfId="53663"/>
    <cellStyle name="Normal 4 2 10 3 3" xfId="36616"/>
    <cellStyle name="Normal 4 2 10 4" xfId="12897"/>
    <cellStyle name="Normal 4 2 10 4 2" xfId="19030"/>
    <cellStyle name="Normal 4 2 10 4 2 2" xfId="47891"/>
    <cellStyle name="Normal 4 2 10 4 3" xfId="41758"/>
    <cellStyle name="Normal 4 2 10 5" xfId="16350"/>
    <cellStyle name="Normal 4 2 10 5 2" xfId="45211"/>
    <cellStyle name="Normal 4 2 10 6" xfId="30575"/>
    <cellStyle name="Normal 4 2 11" xfId="1919"/>
    <cellStyle name="Normal 4 2 11 2" xfId="4806"/>
    <cellStyle name="Normal 4 2 11 2 2" xfId="10847"/>
    <cellStyle name="Normal 4 2 11 2 2 2" xfId="27894"/>
    <cellStyle name="Normal 4 2 11 2 2 2 2" xfId="56755"/>
    <cellStyle name="Normal 4 2 11 2 2 3" xfId="39708"/>
    <cellStyle name="Normal 4 2 11 2 3" xfId="21916"/>
    <cellStyle name="Normal 4 2 11 2 3 2" xfId="50777"/>
    <cellStyle name="Normal 4 2 11 2 4" xfId="33667"/>
    <cellStyle name="Normal 4 2 11 3" xfId="7961"/>
    <cellStyle name="Normal 4 2 11 3 2" xfId="25008"/>
    <cellStyle name="Normal 4 2 11 3 2 2" xfId="53869"/>
    <cellStyle name="Normal 4 2 11 3 3" xfId="36822"/>
    <cellStyle name="Normal 4 2 11 4" xfId="14185"/>
    <cellStyle name="Normal 4 2 11 4 2" xfId="19236"/>
    <cellStyle name="Normal 4 2 11 4 2 2" xfId="48097"/>
    <cellStyle name="Normal 4 2 11 4 3" xfId="43046"/>
    <cellStyle name="Normal 4 2 11 5" xfId="16556"/>
    <cellStyle name="Normal 4 2 11 5 2" xfId="45417"/>
    <cellStyle name="Normal 4 2 11 6" xfId="30781"/>
    <cellStyle name="Normal 4 2 12" xfId="2331"/>
    <cellStyle name="Normal 4 2 12 2" xfId="5218"/>
    <cellStyle name="Normal 4 2 12 2 2" xfId="11259"/>
    <cellStyle name="Normal 4 2 12 2 2 2" xfId="28306"/>
    <cellStyle name="Normal 4 2 12 2 2 2 2" xfId="57167"/>
    <cellStyle name="Normal 4 2 12 2 2 3" xfId="40120"/>
    <cellStyle name="Normal 4 2 12 2 3" xfId="22328"/>
    <cellStyle name="Normal 4 2 12 2 3 2" xfId="51189"/>
    <cellStyle name="Normal 4 2 12 2 4" xfId="34079"/>
    <cellStyle name="Normal 4 2 12 3" xfId="8373"/>
    <cellStyle name="Normal 4 2 12 3 2" xfId="25420"/>
    <cellStyle name="Normal 4 2 12 3 2 2" xfId="54281"/>
    <cellStyle name="Normal 4 2 12 3 3" xfId="37234"/>
    <cellStyle name="Normal 4 2 12 4" xfId="13125"/>
    <cellStyle name="Normal 4 2 12 4 2" xfId="19648"/>
    <cellStyle name="Normal 4 2 12 4 2 2" xfId="48509"/>
    <cellStyle name="Normal 4 2 12 4 3" xfId="41986"/>
    <cellStyle name="Normal 4 2 12 5" xfId="16968"/>
    <cellStyle name="Normal 4 2 12 5 2" xfId="45829"/>
    <cellStyle name="Normal 4 2 12 6" xfId="31193"/>
    <cellStyle name="Normal 4 2 13" xfId="2540"/>
    <cellStyle name="Normal 4 2 13 2" xfId="5426"/>
    <cellStyle name="Normal 4 2 13 2 2" xfId="11467"/>
    <cellStyle name="Normal 4 2 13 2 2 2" xfId="28514"/>
    <cellStyle name="Normal 4 2 13 2 2 2 2" xfId="57375"/>
    <cellStyle name="Normal 4 2 13 2 2 3" xfId="40328"/>
    <cellStyle name="Normal 4 2 13 2 3" xfId="22536"/>
    <cellStyle name="Normal 4 2 13 2 3 2" xfId="51397"/>
    <cellStyle name="Normal 4 2 13 2 4" xfId="34287"/>
    <cellStyle name="Normal 4 2 13 3" xfId="8581"/>
    <cellStyle name="Normal 4 2 13 3 2" xfId="25628"/>
    <cellStyle name="Normal 4 2 13 3 2 2" xfId="54489"/>
    <cellStyle name="Normal 4 2 13 3 3" xfId="37442"/>
    <cellStyle name="Normal 4 2 13 4" xfId="12436"/>
    <cellStyle name="Normal 4 2 13 4 2" xfId="19856"/>
    <cellStyle name="Normal 4 2 13 4 2 2" xfId="48717"/>
    <cellStyle name="Normal 4 2 13 4 3" xfId="41297"/>
    <cellStyle name="Normal 4 2 13 5" xfId="17176"/>
    <cellStyle name="Normal 4 2 13 5 2" xfId="46037"/>
    <cellStyle name="Normal 4 2 13 6" xfId="31401"/>
    <cellStyle name="Normal 4 2 14" xfId="2952"/>
    <cellStyle name="Normal 4 2 14 2" xfId="8993"/>
    <cellStyle name="Normal 4 2 14 2 2" xfId="26040"/>
    <cellStyle name="Normal 4 2 14 2 2 2" xfId="54901"/>
    <cellStyle name="Normal 4 2 14 2 3" xfId="37854"/>
    <cellStyle name="Normal 4 2 14 3" xfId="12044"/>
    <cellStyle name="Normal 4 2 14 3 2" xfId="20062"/>
    <cellStyle name="Normal 4 2 14 3 2 2" xfId="48923"/>
    <cellStyle name="Normal 4 2 14 3 3" xfId="40905"/>
    <cellStyle name="Normal 4 2 14 4" xfId="14702"/>
    <cellStyle name="Normal 4 2 14 4 2" xfId="43563"/>
    <cellStyle name="Normal 4 2 14 5" xfId="31813"/>
    <cellStyle name="Normal 4 2 15" xfId="2746"/>
    <cellStyle name="Normal 4 2 15 2" xfId="8787"/>
    <cellStyle name="Normal 4 2 15 2 2" xfId="25834"/>
    <cellStyle name="Normal 4 2 15 2 2 2" xfId="54695"/>
    <cellStyle name="Normal 4 2 15 2 3" xfId="37648"/>
    <cellStyle name="Normal 4 2 15 3" xfId="17382"/>
    <cellStyle name="Normal 4 2 15 3 2" xfId="46243"/>
    <cellStyle name="Normal 4 2 15 4" xfId="31607"/>
    <cellStyle name="Normal 4 2 16" xfId="5632"/>
    <cellStyle name="Normal 4 2 16 2" xfId="11673"/>
    <cellStyle name="Normal 4 2 16 2 2" xfId="28720"/>
    <cellStyle name="Normal 4 2 16 2 2 2" xfId="57581"/>
    <cellStyle name="Normal 4 2 16 2 3" xfId="40534"/>
    <cellStyle name="Normal 4 2 16 3" xfId="22742"/>
    <cellStyle name="Normal 4 2 16 3 2" xfId="51603"/>
    <cellStyle name="Normal 4 2 16 4" xfId="34493"/>
    <cellStyle name="Normal 4 2 17" xfId="5843"/>
    <cellStyle name="Normal 4 2 17 2" xfId="22948"/>
    <cellStyle name="Normal 4 2 17 2 2" xfId="51809"/>
    <cellStyle name="Normal 4 2 17 3" xfId="34704"/>
    <cellStyle name="Normal 4 2 18" xfId="6107"/>
    <cellStyle name="Normal 4 2 18 2" xfId="23154"/>
    <cellStyle name="Normal 4 2 18 2 2" xfId="52015"/>
    <cellStyle name="Normal 4 2 18 3" xfId="34968"/>
    <cellStyle name="Normal 4 2 19" xfId="14496"/>
    <cellStyle name="Normal 4 2 19 2" xfId="43357"/>
    <cellStyle name="Normal 4 2 2" xfId="271"/>
    <cellStyle name="Normal 4 2 2 10" xfId="2434"/>
    <cellStyle name="Normal 4 2 2 10 2" xfId="5321"/>
    <cellStyle name="Normal 4 2 2 10 2 2" xfId="11362"/>
    <cellStyle name="Normal 4 2 2 10 2 2 2" xfId="28409"/>
    <cellStyle name="Normal 4 2 2 10 2 2 2 2" xfId="57270"/>
    <cellStyle name="Normal 4 2 2 10 2 2 3" xfId="40223"/>
    <cellStyle name="Normal 4 2 2 10 2 3" xfId="22431"/>
    <cellStyle name="Normal 4 2 2 10 2 3 2" xfId="51292"/>
    <cellStyle name="Normal 4 2 2 10 2 4" xfId="34182"/>
    <cellStyle name="Normal 4 2 2 10 3" xfId="8476"/>
    <cellStyle name="Normal 4 2 2 10 3 2" xfId="25523"/>
    <cellStyle name="Normal 4 2 2 10 3 2 2" xfId="54384"/>
    <cellStyle name="Normal 4 2 2 10 3 3" xfId="37337"/>
    <cellStyle name="Normal 4 2 2 10 4" xfId="13868"/>
    <cellStyle name="Normal 4 2 2 10 4 2" xfId="19751"/>
    <cellStyle name="Normal 4 2 2 10 4 2 2" xfId="48612"/>
    <cellStyle name="Normal 4 2 2 10 4 3" xfId="42729"/>
    <cellStyle name="Normal 4 2 2 10 5" xfId="17071"/>
    <cellStyle name="Normal 4 2 2 10 5 2" xfId="45932"/>
    <cellStyle name="Normal 4 2 2 10 6" xfId="31296"/>
    <cellStyle name="Normal 4 2 2 11" xfId="2643"/>
    <cellStyle name="Normal 4 2 2 11 2" xfId="5529"/>
    <cellStyle name="Normal 4 2 2 11 2 2" xfId="11570"/>
    <cellStyle name="Normal 4 2 2 11 2 2 2" xfId="28617"/>
    <cellStyle name="Normal 4 2 2 11 2 2 2 2" xfId="57478"/>
    <cellStyle name="Normal 4 2 2 11 2 2 3" xfId="40431"/>
    <cellStyle name="Normal 4 2 2 11 2 3" xfId="22639"/>
    <cellStyle name="Normal 4 2 2 11 2 3 2" xfId="51500"/>
    <cellStyle name="Normal 4 2 2 11 2 4" xfId="34390"/>
    <cellStyle name="Normal 4 2 2 11 3" xfId="8684"/>
    <cellStyle name="Normal 4 2 2 11 3 2" xfId="25731"/>
    <cellStyle name="Normal 4 2 2 11 3 2 2" xfId="54592"/>
    <cellStyle name="Normal 4 2 2 11 3 3" xfId="37545"/>
    <cellStyle name="Normal 4 2 2 11 4" xfId="13201"/>
    <cellStyle name="Normal 4 2 2 11 4 2" xfId="19959"/>
    <cellStyle name="Normal 4 2 2 11 4 2 2" xfId="48820"/>
    <cellStyle name="Normal 4 2 2 11 4 3" xfId="42062"/>
    <cellStyle name="Normal 4 2 2 11 5" xfId="17279"/>
    <cellStyle name="Normal 4 2 2 11 5 2" xfId="46140"/>
    <cellStyle name="Normal 4 2 2 11 6" xfId="31504"/>
    <cellStyle name="Normal 4 2 2 12" xfId="3158"/>
    <cellStyle name="Normal 4 2 2 12 2" xfId="9199"/>
    <cellStyle name="Normal 4 2 2 12 2 2" xfId="26246"/>
    <cellStyle name="Normal 4 2 2 12 2 2 2" xfId="55107"/>
    <cellStyle name="Normal 4 2 2 12 2 3" xfId="38060"/>
    <cellStyle name="Normal 4 2 2 12 3" xfId="14346"/>
    <cellStyle name="Normal 4 2 2 12 3 2" xfId="20268"/>
    <cellStyle name="Normal 4 2 2 12 3 2 2" xfId="49129"/>
    <cellStyle name="Normal 4 2 2 12 3 3" xfId="43207"/>
    <cellStyle name="Normal 4 2 2 12 4" xfId="14908"/>
    <cellStyle name="Normal 4 2 2 12 4 2" xfId="43769"/>
    <cellStyle name="Normal 4 2 2 12 5" xfId="32019"/>
    <cellStyle name="Normal 4 2 2 13" xfId="2849"/>
    <cellStyle name="Normal 4 2 2 13 2" xfId="8890"/>
    <cellStyle name="Normal 4 2 2 13 2 2" xfId="25937"/>
    <cellStyle name="Normal 4 2 2 13 2 2 2" xfId="54798"/>
    <cellStyle name="Normal 4 2 2 13 2 3" xfId="37751"/>
    <cellStyle name="Normal 4 2 2 13 3" xfId="17485"/>
    <cellStyle name="Normal 4 2 2 13 3 2" xfId="46346"/>
    <cellStyle name="Normal 4 2 2 13 4" xfId="31710"/>
    <cellStyle name="Normal 4 2 2 14" xfId="5735"/>
    <cellStyle name="Normal 4 2 2 14 2" xfId="11776"/>
    <cellStyle name="Normal 4 2 2 14 2 2" xfId="28823"/>
    <cellStyle name="Normal 4 2 2 14 2 2 2" xfId="57684"/>
    <cellStyle name="Normal 4 2 2 14 2 3" xfId="40637"/>
    <cellStyle name="Normal 4 2 2 14 3" xfId="22845"/>
    <cellStyle name="Normal 4 2 2 14 3 2" xfId="51706"/>
    <cellStyle name="Normal 4 2 2 14 4" xfId="34596"/>
    <cellStyle name="Normal 4 2 2 15" xfId="5952"/>
    <cellStyle name="Normal 4 2 2 15 2" xfId="23051"/>
    <cellStyle name="Normal 4 2 2 15 2 2" xfId="51912"/>
    <cellStyle name="Normal 4 2 2 15 3" xfId="34813"/>
    <cellStyle name="Normal 4 2 2 16" xfId="6313"/>
    <cellStyle name="Normal 4 2 2 16 2" xfId="23360"/>
    <cellStyle name="Normal 4 2 2 16 2 2" xfId="52221"/>
    <cellStyle name="Normal 4 2 2 16 3" xfId="35174"/>
    <cellStyle name="Normal 4 2 2 17" xfId="14599"/>
    <cellStyle name="Normal 4 2 2 17 2" xfId="43460"/>
    <cellStyle name="Normal 4 2 2 18" xfId="29133"/>
    <cellStyle name="Normal 4 2 2 2" xfId="477"/>
    <cellStyle name="Normal 4 2 2 2 2" xfId="2228"/>
    <cellStyle name="Normal 4 2 2 2 2 2" xfId="5115"/>
    <cellStyle name="Normal 4 2 2 2 2 2 2" xfId="11156"/>
    <cellStyle name="Normal 4 2 2 2 2 2 2 2" xfId="28203"/>
    <cellStyle name="Normal 4 2 2 2 2 2 2 2 2" xfId="57064"/>
    <cellStyle name="Normal 4 2 2 2 2 2 2 3" xfId="40017"/>
    <cellStyle name="Normal 4 2 2 2 2 2 3" xfId="22225"/>
    <cellStyle name="Normal 4 2 2 2 2 2 3 2" xfId="51086"/>
    <cellStyle name="Normal 4 2 2 2 2 2 4" xfId="33976"/>
    <cellStyle name="Normal 4 2 2 2 2 3" xfId="8270"/>
    <cellStyle name="Normal 4 2 2 2 2 3 2" xfId="25317"/>
    <cellStyle name="Normal 4 2 2 2 2 3 2 2" xfId="54178"/>
    <cellStyle name="Normal 4 2 2 2 2 3 3" xfId="37131"/>
    <cellStyle name="Normal 4 2 2 2 2 4" xfId="13057"/>
    <cellStyle name="Normal 4 2 2 2 2 4 2" xfId="19545"/>
    <cellStyle name="Normal 4 2 2 2 2 4 2 2" xfId="48406"/>
    <cellStyle name="Normal 4 2 2 2 2 4 3" xfId="41918"/>
    <cellStyle name="Normal 4 2 2 2 2 5" xfId="16865"/>
    <cellStyle name="Normal 4 2 2 2 2 5 2" xfId="45726"/>
    <cellStyle name="Normal 4 2 2 2 2 6" xfId="31090"/>
    <cellStyle name="Normal 4 2 2 2 3" xfId="3364"/>
    <cellStyle name="Normal 4 2 2 2 3 2" xfId="9405"/>
    <cellStyle name="Normal 4 2 2 2 3 2 2" xfId="26452"/>
    <cellStyle name="Normal 4 2 2 2 3 2 2 2" xfId="55313"/>
    <cellStyle name="Normal 4 2 2 2 3 2 3" xfId="38266"/>
    <cellStyle name="Normal 4 2 2 2 3 3" xfId="20474"/>
    <cellStyle name="Normal 4 2 2 2 3 3 2" xfId="49335"/>
    <cellStyle name="Normal 4 2 2 2 3 4" xfId="32225"/>
    <cellStyle name="Normal 4 2 2 2 4" xfId="6519"/>
    <cellStyle name="Normal 4 2 2 2 4 2" xfId="23566"/>
    <cellStyle name="Normal 4 2 2 2 4 2 2" xfId="52427"/>
    <cellStyle name="Normal 4 2 2 2 4 3" xfId="35380"/>
    <cellStyle name="Normal 4 2 2 2 5" xfId="14000"/>
    <cellStyle name="Normal 4 2 2 2 5 2" xfId="17794"/>
    <cellStyle name="Normal 4 2 2 2 5 2 2" xfId="46655"/>
    <cellStyle name="Normal 4 2 2 2 5 3" xfId="42861"/>
    <cellStyle name="Normal 4 2 2 2 6" xfId="15114"/>
    <cellStyle name="Normal 4 2 2 2 6 2" xfId="43975"/>
    <cellStyle name="Normal 4 2 2 2 7" xfId="29339"/>
    <cellStyle name="Normal 4 2 2 3" xfId="786"/>
    <cellStyle name="Normal 4 2 2 3 2" xfId="3673"/>
    <cellStyle name="Normal 4 2 2 3 2 2" xfId="9714"/>
    <cellStyle name="Normal 4 2 2 3 2 2 2" xfId="26761"/>
    <cellStyle name="Normal 4 2 2 3 2 2 2 2" xfId="55622"/>
    <cellStyle name="Normal 4 2 2 3 2 2 3" xfId="38575"/>
    <cellStyle name="Normal 4 2 2 3 2 3" xfId="20783"/>
    <cellStyle name="Normal 4 2 2 3 2 3 2" xfId="49644"/>
    <cellStyle name="Normal 4 2 2 3 2 4" xfId="32534"/>
    <cellStyle name="Normal 4 2 2 3 3" xfId="6828"/>
    <cellStyle name="Normal 4 2 2 3 3 2" xfId="23875"/>
    <cellStyle name="Normal 4 2 2 3 3 2 2" xfId="52736"/>
    <cellStyle name="Normal 4 2 2 3 3 3" xfId="35689"/>
    <cellStyle name="Normal 4 2 2 3 4" xfId="13097"/>
    <cellStyle name="Normal 4 2 2 3 4 2" xfId="18103"/>
    <cellStyle name="Normal 4 2 2 3 4 2 2" xfId="46964"/>
    <cellStyle name="Normal 4 2 2 3 4 3" xfId="41958"/>
    <cellStyle name="Normal 4 2 2 3 5" xfId="15423"/>
    <cellStyle name="Normal 4 2 2 3 5 2" xfId="44284"/>
    <cellStyle name="Normal 4 2 2 3 6" xfId="29648"/>
    <cellStyle name="Normal 4 2 2 4" xfId="992"/>
    <cellStyle name="Normal 4 2 2 4 2" xfId="3879"/>
    <cellStyle name="Normal 4 2 2 4 2 2" xfId="9920"/>
    <cellStyle name="Normal 4 2 2 4 2 2 2" xfId="26967"/>
    <cellStyle name="Normal 4 2 2 4 2 2 2 2" xfId="55828"/>
    <cellStyle name="Normal 4 2 2 4 2 2 3" xfId="38781"/>
    <cellStyle name="Normal 4 2 2 4 2 3" xfId="20989"/>
    <cellStyle name="Normal 4 2 2 4 2 3 2" xfId="49850"/>
    <cellStyle name="Normal 4 2 2 4 2 4" xfId="32740"/>
    <cellStyle name="Normal 4 2 2 4 3" xfId="7034"/>
    <cellStyle name="Normal 4 2 2 4 3 2" xfId="24081"/>
    <cellStyle name="Normal 4 2 2 4 3 2 2" xfId="52942"/>
    <cellStyle name="Normal 4 2 2 4 3 3" xfId="35895"/>
    <cellStyle name="Normal 4 2 2 4 4" xfId="14340"/>
    <cellStyle name="Normal 4 2 2 4 4 2" xfId="18309"/>
    <cellStyle name="Normal 4 2 2 4 4 2 2" xfId="47170"/>
    <cellStyle name="Normal 4 2 2 4 4 3" xfId="43201"/>
    <cellStyle name="Normal 4 2 2 4 5" xfId="15629"/>
    <cellStyle name="Normal 4 2 2 4 5 2" xfId="44490"/>
    <cellStyle name="Normal 4 2 2 4 6" xfId="29854"/>
    <cellStyle name="Normal 4 2 2 5" xfId="1198"/>
    <cellStyle name="Normal 4 2 2 5 2" xfId="4085"/>
    <cellStyle name="Normal 4 2 2 5 2 2" xfId="10126"/>
    <cellStyle name="Normal 4 2 2 5 2 2 2" xfId="27173"/>
    <cellStyle name="Normal 4 2 2 5 2 2 2 2" xfId="56034"/>
    <cellStyle name="Normal 4 2 2 5 2 2 3" xfId="38987"/>
    <cellStyle name="Normal 4 2 2 5 2 3" xfId="21195"/>
    <cellStyle name="Normal 4 2 2 5 2 3 2" xfId="50056"/>
    <cellStyle name="Normal 4 2 2 5 2 4" xfId="32946"/>
    <cellStyle name="Normal 4 2 2 5 3" xfId="7240"/>
    <cellStyle name="Normal 4 2 2 5 3 2" xfId="24287"/>
    <cellStyle name="Normal 4 2 2 5 3 2 2" xfId="53148"/>
    <cellStyle name="Normal 4 2 2 5 3 3" xfId="36101"/>
    <cellStyle name="Normal 4 2 2 5 4" xfId="13322"/>
    <cellStyle name="Normal 4 2 2 5 4 2" xfId="18515"/>
    <cellStyle name="Normal 4 2 2 5 4 2 2" xfId="47376"/>
    <cellStyle name="Normal 4 2 2 5 4 3" xfId="42183"/>
    <cellStyle name="Normal 4 2 2 5 5" xfId="15835"/>
    <cellStyle name="Normal 4 2 2 5 5 2" xfId="44696"/>
    <cellStyle name="Normal 4 2 2 5 6" xfId="30060"/>
    <cellStyle name="Normal 4 2 2 6" xfId="1404"/>
    <cellStyle name="Normal 4 2 2 6 2" xfId="4291"/>
    <cellStyle name="Normal 4 2 2 6 2 2" xfId="10332"/>
    <cellStyle name="Normal 4 2 2 6 2 2 2" xfId="27379"/>
    <cellStyle name="Normal 4 2 2 6 2 2 2 2" xfId="56240"/>
    <cellStyle name="Normal 4 2 2 6 2 2 3" xfId="39193"/>
    <cellStyle name="Normal 4 2 2 6 2 3" xfId="21401"/>
    <cellStyle name="Normal 4 2 2 6 2 3 2" xfId="50262"/>
    <cellStyle name="Normal 4 2 2 6 2 4" xfId="33152"/>
    <cellStyle name="Normal 4 2 2 6 3" xfId="7446"/>
    <cellStyle name="Normal 4 2 2 6 3 2" xfId="24493"/>
    <cellStyle name="Normal 4 2 2 6 3 2 2" xfId="53354"/>
    <cellStyle name="Normal 4 2 2 6 3 3" xfId="36307"/>
    <cellStyle name="Normal 4 2 2 6 4" xfId="12007"/>
    <cellStyle name="Normal 4 2 2 6 4 2" xfId="18721"/>
    <cellStyle name="Normal 4 2 2 6 4 2 2" xfId="47582"/>
    <cellStyle name="Normal 4 2 2 6 4 3" xfId="40868"/>
    <cellStyle name="Normal 4 2 2 6 5" xfId="16041"/>
    <cellStyle name="Normal 4 2 2 6 5 2" xfId="44902"/>
    <cellStyle name="Normal 4 2 2 6 6" xfId="30266"/>
    <cellStyle name="Normal 4 2 2 7" xfId="1610"/>
    <cellStyle name="Normal 4 2 2 7 2" xfId="4497"/>
    <cellStyle name="Normal 4 2 2 7 2 2" xfId="10538"/>
    <cellStyle name="Normal 4 2 2 7 2 2 2" xfId="27585"/>
    <cellStyle name="Normal 4 2 2 7 2 2 2 2" xfId="56446"/>
    <cellStyle name="Normal 4 2 2 7 2 2 3" xfId="39399"/>
    <cellStyle name="Normal 4 2 2 7 2 3" xfId="21607"/>
    <cellStyle name="Normal 4 2 2 7 2 3 2" xfId="50468"/>
    <cellStyle name="Normal 4 2 2 7 2 4" xfId="33358"/>
    <cellStyle name="Normal 4 2 2 7 3" xfId="7652"/>
    <cellStyle name="Normal 4 2 2 7 3 2" xfId="24699"/>
    <cellStyle name="Normal 4 2 2 7 3 2 2" xfId="53560"/>
    <cellStyle name="Normal 4 2 2 7 3 3" xfId="36513"/>
    <cellStyle name="Normal 4 2 2 7 4" xfId="14445"/>
    <cellStyle name="Normal 4 2 2 7 4 2" xfId="18927"/>
    <cellStyle name="Normal 4 2 2 7 4 2 2" xfId="47788"/>
    <cellStyle name="Normal 4 2 2 7 4 3" xfId="43306"/>
    <cellStyle name="Normal 4 2 2 7 5" xfId="16247"/>
    <cellStyle name="Normal 4 2 2 7 5 2" xfId="45108"/>
    <cellStyle name="Normal 4 2 2 7 6" xfId="30472"/>
    <cellStyle name="Normal 4 2 2 8" xfId="1816"/>
    <cellStyle name="Normal 4 2 2 8 2" xfId="4703"/>
    <cellStyle name="Normal 4 2 2 8 2 2" xfId="10744"/>
    <cellStyle name="Normal 4 2 2 8 2 2 2" xfId="27791"/>
    <cellStyle name="Normal 4 2 2 8 2 2 2 2" xfId="56652"/>
    <cellStyle name="Normal 4 2 2 8 2 2 3" xfId="39605"/>
    <cellStyle name="Normal 4 2 2 8 2 3" xfId="21813"/>
    <cellStyle name="Normal 4 2 2 8 2 3 2" xfId="50674"/>
    <cellStyle name="Normal 4 2 2 8 2 4" xfId="33564"/>
    <cellStyle name="Normal 4 2 2 8 3" xfId="7858"/>
    <cellStyle name="Normal 4 2 2 8 3 2" xfId="24905"/>
    <cellStyle name="Normal 4 2 2 8 3 2 2" xfId="53766"/>
    <cellStyle name="Normal 4 2 2 8 3 3" xfId="36719"/>
    <cellStyle name="Normal 4 2 2 8 4" xfId="12478"/>
    <cellStyle name="Normal 4 2 2 8 4 2" xfId="19133"/>
    <cellStyle name="Normal 4 2 2 8 4 2 2" xfId="47994"/>
    <cellStyle name="Normal 4 2 2 8 4 3" xfId="41339"/>
    <cellStyle name="Normal 4 2 2 8 5" xfId="16453"/>
    <cellStyle name="Normal 4 2 2 8 5 2" xfId="45314"/>
    <cellStyle name="Normal 4 2 2 8 6" xfId="30678"/>
    <cellStyle name="Normal 4 2 2 9" xfId="2022"/>
    <cellStyle name="Normal 4 2 2 9 2" xfId="4909"/>
    <cellStyle name="Normal 4 2 2 9 2 2" xfId="10950"/>
    <cellStyle name="Normal 4 2 2 9 2 2 2" xfId="27997"/>
    <cellStyle name="Normal 4 2 2 9 2 2 2 2" xfId="56858"/>
    <cellStyle name="Normal 4 2 2 9 2 2 3" xfId="39811"/>
    <cellStyle name="Normal 4 2 2 9 2 3" xfId="22019"/>
    <cellStyle name="Normal 4 2 2 9 2 3 2" xfId="50880"/>
    <cellStyle name="Normal 4 2 2 9 2 4" xfId="33770"/>
    <cellStyle name="Normal 4 2 2 9 3" xfId="8064"/>
    <cellStyle name="Normal 4 2 2 9 3 2" xfId="25111"/>
    <cellStyle name="Normal 4 2 2 9 3 2 2" xfId="53972"/>
    <cellStyle name="Normal 4 2 2 9 3 3" xfId="36925"/>
    <cellStyle name="Normal 4 2 2 9 4" xfId="12252"/>
    <cellStyle name="Normal 4 2 2 9 4 2" xfId="19339"/>
    <cellStyle name="Normal 4 2 2 9 4 2 2" xfId="48200"/>
    <cellStyle name="Normal 4 2 2 9 4 3" xfId="41113"/>
    <cellStyle name="Normal 4 2 2 9 5" xfId="16659"/>
    <cellStyle name="Normal 4 2 2 9 5 2" xfId="45520"/>
    <cellStyle name="Normal 4 2 2 9 6" xfId="30884"/>
    <cellStyle name="Normal 4 2 20" xfId="28927"/>
    <cellStyle name="Normal 4 2 3" xfId="168"/>
    <cellStyle name="Normal 4 2 3 2" xfId="580"/>
    <cellStyle name="Normal 4 2 3 2 2" xfId="3467"/>
    <cellStyle name="Normal 4 2 3 2 2 2" xfId="9508"/>
    <cellStyle name="Normal 4 2 3 2 2 2 2" xfId="26555"/>
    <cellStyle name="Normal 4 2 3 2 2 2 2 2" xfId="55416"/>
    <cellStyle name="Normal 4 2 3 2 2 2 3" xfId="38369"/>
    <cellStyle name="Normal 4 2 3 2 2 3" xfId="20577"/>
    <cellStyle name="Normal 4 2 3 2 2 3 2" xfId="49438"/>
    <cellStyle name="Normal 4 2 3 2 2 4" xfId="32328"/>
    <cellStyle name="Normal 4 2 3 2 3" xfId="6622"/>
    <cellStyle name="Normal 4 2 3 2 3 2" xfId="23669"/>
    <cellStyle name="Normal 4 2 3 2 3 2 2" xfId="52530"/>
    <cellStyle name="Normal 4 2 3 2 3 3" xfId="35483"/>
    <cellStyle name="Normal 4 2 3 2 4" xfId="13093"/>
    <cellStyle name="Normal 4 2 3 2 4 2" xfId="17897"/>
    <cellStyle name="Normal 4 2 3 2 4 2 2" xfId="46758"/>
    <cellStyle name="Normal 4 2 3 2 4 3" xfId="41954"/>
    <cellStyle name="Normal 4 2 3 2 5" xfId="15217"/>
    <cellStyle name="Normal 4 2 3 2 5 2" xfId="44078"/>
    <cellStyle name="Normal 4 2 3 2 6" xfId="29442"/>
    <cellStyle name="Normal 4 2 3 3" xfId="2125"/>
    <cellStyle name="Normal 4 2 3 3 2" xfId="5012"/>
    <cellStyle name="Normal 4 2 3 3 2 2" xfId="11053"/>
    <cellStyle name="Normal 4 2 3 3 2 2 2" xfId="28100"/>
    <cellStyle name="Normal 4 2 3 3 2 2 2 2" xfId="56961"/>
    <cellStyle name="Normal 4 2 3 3 2 2 3" xfId="39914"/>
    <cellStyle name="Normal 4 2 3 3 2 3" xfId="22122"/>
    <cellStyle name="Normal 4 2 3 3 2 3 2" xfId="50983"/>
    <cellStyle name="Normal 4 2 3 3 2 4" xfId="33873"/>
    <cellStyle name="Normal 4 2 3 3 3" xfId="8167"/>
    <cellStyle name="Normal 4 2 3 3 3 2" xfId="25214"/>
    <cellStyle name="Normal 4 2 3 3 3 2 2" xfId="54075"/>
    <cellStyle name="Normal 4 2 3 3 3 3" xfId="37028"/>
    <cellStyle name="Normal 4 2 3 3 4" xfId="11875"/>
    <cellStyle name="Normal 4 2 3 3 4 2" xfId="19442"/>
    <cellStyle name="Normal 4 2 3 3 4 2 2" xfId="48303"/>
    <cellStyle name="Normal 4 2 3 3 4 3" xfId="40736"/>
    <cellStyle name="Normal 4 2 3 3 5" xfId="16762"/>
    <cellStyle name="Normal 4 2 3 3 5 2" xfId="45623"/>
    <cellStyle name="Normal 4 2 3 3 6" xfId="30987"/>
    <cellStyle name="Normal 4 2 3 4" xfId="3055"/>
    <cellStyle name="Normal 4 2 3 4 2" xfId="9096"/>
    <cellStyle name="Normal 4 2 3 4 2 2" xfId="26143"/>
    <cellStyle name="Normal 4 2 3 4 2 2 2" xfId="55004"/>
    <cellStyle name="Normal 4 2 3 4 2 3" xfId="37957"/>
    <cellStyle name="Normal 4 2 3 4 3" xfId="20165"/>
    <cellStyle name="Normal 4 2 3 4 3 2" xfId="49026"/>
    <cellStyle name="Normal 4 2 3 4 4" xfId="31916"/>
    <cellStyle name="Normal 4 2 3 5" xfId="6210"/>
    <cellStyle name="Normal 4 2 3 5 2" xfId="23257"/>
    <cellStyle name="Normal 4 2 3 5 2 2" xfId="52118"/>
    <cellStyle name="Normal 4 2 3 5 3" xfId="35071"/>
    <cellStyle name="Normal 4 2 3 6" xfId="12051"/>
    <cellStyle name="Normal 4 2 3 6 2" xfId="17588"/>
    <cellStyle name="Normal 4 2 3 6 2 2" xfId="46449"/>
    <cellStyle name="Normal 4 2 3 6 3" xfId="40912"/>
    <cellStyle name="Normal 4 2 3 7" xfId="14805"/>
    <cellStyle name="Normal 4 2 3 7 2" xfId="43666"/>
    <cellStyle name="Normal 4 2 3 8" xfId="29030"/>
    <cellStyle name="Normal 4 2 4" xfId="374"/>
    <cellStyle name="Normal 4 2 4 2" xfId="3261"/>
    <cellStyle name="Normal 4 2 4 2 2" xfId="9302"/>
    <cellStyle name="Normal 4 2 4 2 2 2" xfId="26349"/>
    <cellStyle name="Normal 4 2 4 2 2 2 2" xfId="55210"/>
    <cellStyle name="Normal 4 2 4 2 2 3" xfId="38163"/>
    <cellStyle name="Normal 4 2 4 2 3" xfId="20371"/>
    <cellStyle name="Normal 4 2 4 2 3 2" xfId="49232"/>
    <cellStyle name="Normal 4 2 4 2 4" xfId="32122"/>
    <cellStyle name="Normal 4 2 4 3" xfId="6416"/>
    <cellStyle name="Normal 4 2 4 3 2" xfId="23463"/>
    <cellStyle name="Normal 4 2 4 3 2 2" xfId="52324"/>
    <cellStyle name="Normal 4 2 4 3 3" xfId="35277"/>
    <cellStyle name="Normal 4 2 4 4" xfId="12008"/>
    <cellStyle name="Normal 4 2 4 4 2" xfId="17691"/>
    <cellStyle name="Normal 4 2 4 4 2 2" xfId="46552"/>
    <cellStyle name="Normal 4 2 4 4 3" xfId="40869"/>
    <cellStyle name="Normal 4 2 4 5" xfId="15011"/>
    <cellStyle name="Normal 4 2 4 5 2" xfId="43872"/>
    <cellStyle name="Normal 4 2 4 6" xfId="29236"/>
    <cellStyle name="Normal 4 2 5" xfId="683"/>
    <cellStyle name="Normal 4 2 5 2" xfId="3570"/>
    <cellStyle name="Normal 4 2 5 2 2" xfId="9611"/>
    <cellStyle name="Normal 4 2 5 2 2 2" xfId="26658"/>
    <cellStyle name="Normal 4 2 5 2 2 2 2" xfId="55519"/>
    <cellStyle name="Normal 4 2 5 2 2 3" xfId="38472"/>
    <cellStyle name="Normal 4 2 5 2 3" xfId="20680"/>
    <cellStyle name="Normal 4 2 5 2 3 2" xfId="49541"/>
    <cellStyle name="Normal 4 2 5 2 4" xfId="32431"/>
    <cellStyle name="Normal 4 2 5 3" xfId="6725"/>
    <cellStyle name="Normal 4 2 5 3 2" xfId="23772"/>
    <cellStyle name="Normal 4 2 5 3 2 2" xfId="52633"/>
    <cellStyle name="Normal 4 2 5 3 3" xfId="35586"/>
    <cellStyle name="Normal 4 2 5 4" xfId="13188"/>
    <cellStyle name="Normal 4 2 5 4 2" xfId="18000"/>
    <cellStyle name="Normal 4 2 5 4 2 2" xfId="46861"/>
    <cellStyle name="Normal 4 2 5 4 3" xfId="42049"/>
    <cellStyle name="Normal 4 2 5 5" xfId="15320"/>
    <cellStyle name="Normal 4 2 5 5 2" xfId="44181"/>
    <cellStyle name="Normal 4 2 5 6" xfId="29545"/>
    <cellStyle name="Normal 4 2 6" xfId="889"/>
    <cellStyle name="Normal 4 2 6 2" xfId="3776"/>
    <cellStyle name="Normal 4 2 6 2 2" xfId="9817"/>
    <cellStyle name="Normal 4 2 6 2 2 2" xfId="26864"/>
    <cellStyle name="Normal 4 2 6 2 2 2 2" xfId="55725"/>
    <cellStyle name="Normal 4 2 6 2 2 3" xfId="38678"/>
    <cellStyle name="Normal 4 2 6 2 3" xfId="20886"/>
    <cellStyle name="Normal 4 2 6 2 3 2" xfId="49747"/>
    <cellStyle name="Normal 4 2 6 2 4" xfId="32637"/>
    <cellStyle name="Normal 4 2 6 3" xfId="6931"/>
    <cellStyle name="Normal 4 2 6 3 2" xfId="23978"/>
    <cellStyle name="Normal 4 2 6 3 2 2" xfId="52839"/>
    <cellStyle name="Normal 4 2 6 3 3" xfId="35792"/>
    <cellStyle name="Normal 4 2 6 4" xfId="13482"/>
    <cellStyle name="Normal 4 2 6 4 2" xfId="18206"/>
    <cellStyle name="Normal 4 2 6 4 2 2" xfId="47067"/>
    <cellStyle name="Normal 4 2 6 4 3" xfId="42343"/>
    <cellStyle name="Normal 4 2 6 5" xfId="15526"/>
    <cellStyle name="Normal 4 2 6 5 2" xfId="44387"/>
    <cellStyle name="Normal 4 2 6 6" xfId="29751"/>
    <cellStyle name="Normal 4 2 7" xfId="1095"/>
    <cellStyle name="Normal 4 2 7 2" xfId="3982"/>
    <cellStyle name="Normal 4 2 7 2 2" xfId="10023"/>
    <cellStyle name="Normal 4 2 7 2 2 2" xfId="27070"/>
    <cellStyle name="Normal 4 2 7 2 2 2 2" xfId="55931"/>
    <cellStyle name="Normal 4 2 7 2 2 3" xfId="38884"/>
    <cellStyle name="Normal 4 2 7 2 3" xfId="21092"/>
    <cellStyle name="Normal 4 2 7 2 3 2" xfId="49953"/>
    <cellStyle name="Normal 4 2 7 2 4" xfId="32843"/>
    <cellStyle name="Normal 4 2 7 3" xfId="7137"/>
    <cellStyle name="Normal 4 2 7 3 2" xfId="24184"/>
    <cellStyle name="Normal 4 2 7 3 2 2" xfId="53045"/>
    <cellStyle name="Normal 4 2 7 3 3" xfId="35998"/>
    <cellStyle name="Normal 4 2 7 4" xfId="13437"/>
    <cellStyle name="Normal 4 2 7 4 2" xfId="18412"/>
    <cellStyle name="Normal 4 2 7 4 2 2" xfId="47273"/>
    <cellStyle name="Normal 4 2 7 4 3" xfId="42298"/>
    <cellStyle name="Normal 4 2 7 5" xfId="15732"/>
    <cellStyle name="Normal 4 2 7 5 2" xfId="44593"/>
    <cellStyle name="Normal 4 2 7 6" xfId="29957"/>
    <cellStyle name="Normal 4 2 8" xfId="1301"/>
    <cellStyle name="Normal 4 2 8 2" xfId="4188"/>
    <cellStyle name="Normal 4 2 8 2 2" xfId="10229"/>
    <cellStyle name="Normal 4 2 8 2 2 2" xfId="27276"/>
    <cellStyle name="Normal 4 2 8 2 2 2 2" xfId="56137"/>
    <cellStyle name="Normal 4 2 8 2 2 3" xfId="39090"/>
    <cellStyle name="Normal 4 2 8 2 3" xfId="21298"/>
    <cellStyle name="Normal 4 2 8 2 3 2" xfId="50159"/>
    <cellStyle name="Normal 4 2 8 2 4" xfId="33049"/>
    <cellStyle name="Normal 4 2 8 3" xfId="7343"/>
    <cellStyle name="Normal 4 2 8 3 2" xfId="24390"/>
    <cellStyle name="Normal 4 2 8 3 2 2" xfId="53251"/>
    <cellStyle name="Normal 4 2 8 3 3" xfId="36204"/>
    <cellStyle name="Normal 4 2 8 4" xfId="12356"/>
    <cellStyle name="Normal 4 2 8 4 2" xfId="18618"/>
    <cellStyle name="Normal 4 2 8 4 2 2" xfId="47479"/>
    <cellStyle name="Normal 4 2 8 4 3" xfId="41217"/>
    <cellStyle name="Normal 4 2 8 5" xfId="15938"/>
    <cellStyle name="Normal 4 2 8 5 2" xfId="44799"/>
    <cellStyle name="Normal 4 2 8 6" xfId="30163"/>
    <cellStyle name="Normal 4 2 9" xfId="1507"/>
    <cellStyle name="Normal 4 2 9 2" xfId="4394"/>
    <cellStyle name="Normal 4 2 9 2 2" xfId="10435"/>
    <cellStyle name="Normal 4 2 9 2 2 2" xfId="27482"/>
    <cellStyle name="Normal 4 2 9 2 2 2 2" xfId="56343"/>
    <cellStyle name="Normal 4 2 9 2 2 3" xfId="39296"/>
    <cellStyle name="Normal 4 2 9 2 3" xfId="21504"/>
    <cellStyle name="Normal 4 2 9 2 3 2" xfId="50365"/>
    <cellStyle name="Normal 4 2 9 2 4" xfId="33255"/>
    <cellStyle name="Normal 4 2 9 3" xfId="7549"/>
    <cellStyle name="Normal 4 2 9 3 2" xfId="24596"/>
    <cellStyle name="Normal 4 2 9 3 2 2" xfId="53457"/>
    <cellStyle name="Normal 4 2 9 3 3" xfId="36410"/>
    <cellStyle name="Normal 4 2 9 4" xfId="13923"/>
    <cellStyle name="Normal 4 2 9 4 2" xfId="18824"/>
    <cellStyle name="Normal 4 2 9 4 2 2" xfId="47685"/>
    <cellStyle name="Normal 4 2 9 4 3" xfId="42784"/>
    <cellStyle name="Normal 4 2 9 5" xfId="16144"/>
    <cellStyle name="Normal 4 2 9 5 2" xfId="45005"/>
    <cellStyle name="Normal 4 2 9 6" xfId="30369"/>
    <cellStyle name="Normal 4 20" xfId="2951"/>
    <cellStyle name="Normal 4 20 2" xfId="8992"/>
    <cellStyle name="Normal 4 20 2 2" xfId="26039"/>
    <cellStyle name="Normal 4 20 2 2 2" xfId="54900"/>
    <cellStyle name="Normal 4 20 2 3" xfId="37853"/>
    <cellStyle name="Normal 4 20 3" xfId="12483"/>
    <cellStyle name="Normal 4 20 3 2" xfId="20061"/>
    <cellStyle name="Normal 4 20 3 2 2" xfId="48922"/>
    <cellStyle name="Normal 4 20 3 3" xfId="41344"/>
    <cellStyle name="Normal 4 20 4" xfId="14701"/>
    <cellStyle name="Normal 4 20 4 2" xfId="43562"/>
    <cellStyle name="Normal 4 20 5" xfId="31812"/>
    <cellStyle name="Normal 4 21" xfId="2745"/>
    <cellStyle name="Normal 4 21 2" xfId="8786"/>
    <cellStyle name="Normal 4 21 2 2" xfId="25833"/>
    <cellStyle name="Normal 4 21 2 2 2" xfId="54694"/>
    <cellStyle name="Normal 4 21 2 3" xfId="37647"/>
    <cellStyle name="Normal 4 21 3" xfId="17381"/>
    <cellStyle name="Normal 4 21 3 2" xfId="46242"/>
    <cellStyle name="Normal 4 21 4" xfId="31606"/>
    <cellStyle name="Normal 4 22" xfId="5631"/>
    <cellStyle name="Normal 4 22 2" xfId="11672"/>
    <cellStyle name="Normal 4 22 2 2" xfId="28719"/>
    <cellStyle name="Normal 4 22 2 2 2" xfId="57580"/>
    <cellStyle name="Normal 4 22 2 3" xfId="40533"/>
    <cellStyle name="Normal 4 22 3" xfId="22741"/>
    <cellStyle name="Normal 4 22 3 2" xfId="51602"/>
    <cellStyle name="Normal 4 22 4" xfId="34492"/>
    <cellStyle name="Normal 4 23" xfId="5842"/>
    <cellStyle name="Normal 4 23 2" xfId="22947"/>
    <cellStyle name="Normal 4 23 2 2" xfId="51808"/>
    <cellStyle name="Normal 4 23 3" xfId="34703"/>
    <cellStyle name="Normal 4 24" xfId="6106"/>
    <cellStyle name="Normal 4 24 2" xfId="23153"/>
    <cellStyle name="Normal 4 24 2 2" xfId="52014"/>
    <cellStyle name="Normal 4 24 3" xfId="34967"/>
    <cellStyle name="Normal 4 25" xfId="14495"/>
    <cellStyle name="Normal 4 25 2" xfId="43356"/>
    <cellStyle name="Normal 4 26" xfId="28926"/>
    <cellStyle name="Normal 4 3" xfId="34"/>
    <cellStyle name="Normal 4 3 10" xfId="1714"/>
    <cellStyle name="Normal 4 3 10 2" xfId="4601"/>
    <cellStyle name="Normal 4 3 10 2 2" xfId="10642"/>
    <cellStyle name="Normal 4 3 10 2 2 2" xfId="27689"/>
    <cellStyle name="Normal 4 3 10 2 2 2 2" xfId="56550"/>
    <cellStyle name="Normal 4 3 10 2 2 3" xfId="39503"/>
    <cellStyle name="Normal 4 3 10 2 3" xfId="21711"/>
    <cellStyle name="Normal 4 3 10 2 3 2" xfId="50572"/>
    <cellStyle name="Normal 4 3 10 2 4" xfId="33462"/>
    <cellStyle name="Normal 4 3 10 3" xfId="7756"/>
    <cellStyle name="Normal 4 3 10 3 2" xfId="24803"/>
    <cellStyle name="Normal 4 3 10 3 2 2" xfId="53664"/>
    <cellStyle name="Normal 4 3 10 3 3" xfId="36617"/>
    <cellStyle name="Normal 4 3 10 4" xfId="13417"/>
    <cellStyle name="Normal 4 3 10 4 2" xfId="19031"/>
    <cellStyle name="Normal 4 3 10 4 2 2" xfId="47892"/>
    <cellStyle name="Normal 4 3 10 4 3" xfId="42278"/>
    <cellStyle name="Normal 4 3 10 5" xfId="16351"/>
    <cellStyle name="Normal 4 3 10 5 2" xfId="45212"/>
    <cellStyle name="Normal 4 3 10 6" xfId="30576"/>
    <cellStyle name="Normal 4 3 11" xfId="1920"/>
    <cellStyle name="Normal 4 3 11 2" xfId="4807"/>
    <cellStyle name="Normal 4 3 11 2 2" xfId="10848"/>
    <cellStyle name="Normal 4 3 11 2 2 2" xfId="27895"/>
    <cellStyle name="Normal 4 3 11 2 2 2 2" xfId="56756"/>
    <cellStyle name="Normal 4 3 11 2 2 3" xfId="39709"/>
    <cellStyle name="Normal 4 3 11 2 3" xfId="21917"/>
    <cellStyle name="Normal 4 3 11 2 3 2" xfId="50778"/>
    <cellStyle name="Normal 4 3 11 2 4" xfId="33668"/>
    <cellStyle name="Normal 4 3 11 3" xfId="7962"/>
    <cellStyle name="Normal 4 3 11 3 2" xfId="25009"/>
    <cellStyle name="Normal 4 3 11 3 2 2" xfId="53870"/>
    <cellStyle name="Normal 4 3 11 3 3" xfId="36823"/>
    <cellStyle name="Normal 4 3 11 4" xfId="13068"/>
    <cellStyle name="Normal 4 3 11 4 2" xfId="19237"/>
    <cellStyle name="Normal 4 3 11 4 2 2" xfId="48098"/>
    <cellStyle name="Normal 4 3 11 4 3" xfId="41929"/>
    <cellStyle name="Normal 4 3 11 5" xfId="16557"/>
    <cellStyle name="Normal 4 3 11 5 2" xfId="45418"/>
    <cellStyle name="Normal 4 3 11 6" xfId="30782"/>
    <cellStyle name="Normal 4 3 12" xfId="2332"/>
    <cellStyle name="Normal 4 3 12 2" xfId="5219"/>
    <cellStyle name="Normal 4 3 12 2 2" xfId="11260"/>
    <cellStyle name="Normal 4 3 12 2 2 2" xfId="28307"/>
    <cellStyle name="Normal 4 3 12 2 2 2 2" xfId="57168"/>
    <cellStyle name="Normal 4 3 12 2 2 3" xfId="40121"/>
    <cellStyle name="Normal 4 3 12 2 3" xfId="22329"/>
    <cellStyle name="Normal 4 3 12 2 3 2" xfId="51190"/>
    <cellStyle name="Normal 4 3 12 2 4" xfId="34080"/>
    <cellStyle name="Normal 4 3 12 3" xfId="8374"/>
    <cellStyle name="Normal 4 3 12 3 2" xfId="25421"/>
    <cellStyle name="Normal 4 3 12 3 2 2" xfId="54282"/>
    <cellStyle name="Normal 4 3 12 3 3" xfId="37235"/>
    <cellStyle name="Normal 4 3 12 4" xfId="12965"/>
    <cellStyle name="Normal 4 3 12 4 2" xfId="19649"/>
    <cellStyle name="Normal 4 3 12 4 2 2" xfId="48510"/>
    <cellStyle name="Normal 4 3 12 4 3" xfId="41826"/>
    <cellStyle name="Normal 4 3 12 5" xfId="16969"/>
    <cellStyle name="Normal 4 3 12 5 2" xfId="45830"/>
    <cellStyle name="Normal 4 3 12 6" xfId="31194"/>
    <cellStyle name="Normal 4 3 13" xfId="2541"/>
    <cellStyle name="Normal 4 3 13 2" xfId="5427"/>
    <cellStyle name="Normal 4 3 13 2 2" xfId="11468"/>
    <cellStyle name="Normal 4 3 13 2 2 2" xfId="28515"/>
    <cellStyle name="Normal 4 3 13 2 2 2 2" xfId="57376"/>
    <cellStyle name="Normal 4 3 13 2 2 3" xfId="40329"/>
    <cellStyle name="Normal 4 3 13 2 3" xfId="22537"/>
    <cellStyle name="Normal 4 3 13 2 3 2" xfId="51398"/>
    <cellStyle name="Normal 4 3 13 2 4" xfId="34288"/>
    <cellStyle name="Normal 4 3 13 3" xfId="8582"/>
    <cellStyle name="Normal 4 3 13 3 2" xfId="25629"/>
    <cellStyle name="Normal 4 3 13 3 2 2" xfId="54490"/>
    <cellStyle name="Normal 4 3 13 3 3" xfId="37443"/>
    <cellStyle name="Normal 4 3 13 4" xfId="11874"/>
    <cellStyle name="Normal 4 3 13 4 2" xfId="19857"/>
    <cellStyle name="Normal 4 3 13 4 2 2" xfId="48718"/>
    <cellStyle name="Normal 4 3 13 4 3" xfId="40735"/>
    <cellStyle name="Normal 4 3 13 5" xfId="17177"/>
    <cellStyle name="Normal 4 3 13 5 2" xfId="46038"/>
    <cellStyle name="Normal 4 3 13 6" xfId="31402"/>
    <cellStyle name="Normal 4 3 14" xfId="2953"/>
    <cellStyle name="Normal 4 3 14 2" xfId="8994"/>
    <cellStyle name="Normal 4 3 14 2 2" xfId="26041"/>
    <cellStyle name="Normal 4 3 14 2 2 2" xfId="54902"/>
    <cellStyle name="Normal 4 3 14 2 3" xfId="37855"/>
    <cellStyle name="Normal 4 3 14 3" xfId="5858"/>
    <cellStyle name="Normal 4 3 14 3 2" xfId="20063"/>
    <cellStyle name="Normal 4 3 14 3 2 2" xfId="48924"/>
    <cellStyle name="Normal 4 3 14 3 3" xfId="34719"/>
    <cellStyle name="Normal 4 3 14 4" xfId="14703"/>
    <cellStyle name="Normal 4 3 14 4 2" xfId="43564"/>
    <cellStyle name="Normal 4 3 14 5" xfId="31814"/>
    <cellStyle name="Normal 4 3 15" xfId="2747"/>
    <cellStyle name="Normal 4 3 15 2" xfId="8788"/>
    <cellStyle name="Normal 4 3 15 2 2" xfId="25835"/>
    <cellStyle name="Normal 4 3 15 2 2 2" xfId="54696"/>
    <cellStyle name="Normal 4 3 15 2 3" xfId="37649"/>
    <cellStyle name="Normal 4 3 15 3" xfId="17383"/>
    <cellStyle name="Normal 4 3 15 3 2" xfId="46244"/>
    <cellStyle name="Normal 4 3 15 4" xfId="31608"/>
    <cellStyle name="Normal 4 3 16" xfId="5633"/>
    <cellStyle name="Normal 4 3 16 2" xfId="11674"/>
    <cellStyle name="Normal 4 3 16 2 2" xfId="28721"/>
    <cellStyle name="Normal 4 3 16 2 2 2" xfId="57582"/>
    <cellStyle name="Normal 4 3 16 2 3" xfId="40535"/>
    <cellStyle name="Normal 4 3 16 3" xfId="22743"/>
    <cellStyle name="Normal 4 3 16 3 2" xfId="51604"/>
    <cellStyle name="Normal 4 3 16 4" xfId="34494"/>
    <cellStyle name="Normal 4 3 17" xfId="5844"/>
    <cellStyle name="Normal 4 3 17 2" xfId="22949"/>
    <cellStyle name="Normal 4 3 17 2 2" xfId="51810"/>
    <cellStyle name="Normal 4 3 17 3" xfId="34705"/>
    <cellStyle name="Normal 4 3 18" xfId="6108"/>
    <cellStyle name="Normal 4 3 18 2" xfId="23155"/>
    <cellStyle name="Normal 4 3 18 2 2" xfId="52016"/>
    <cellStyle name="Normal 4 3 18 3" xfId="34969"/>
    <cellStyle name="Normal 4 3 19" xfId="14497"/>
    <cellStyle name="Normal 4 3 19 2" xfId="43358"/>
    <cellStyle name="Normal 4 3 2" xfId="272"/>
    <cellStyle name="Normal 4 3 2 10" xfId="2435"/>
    <cellStyle name="Normal 4 3 2 10 2" xfId="5322"/>
    <cellStyle name="Normal 4 3 2 10 2 2" xfId="11363"/>
    <cellStyle name="Normal 4 3 2 10 2 2 2" xfId="28410"/>
    <cellStyle name="Normal 4 3 2 10 2 2 2 2" xfId="57271"/>
    <cellStyle name="Normal 4 3 2 10 2 2 3" xfId="40224"/>
    <cellStyle name="Normal 4 3 2 10 2 3" xfId="22432"/>
    <cellStyle name="Normal 4 3 2 10 2 3 2" xfId="51293"/>
    <cellStyle name="Normal 4 3 2 10 2 4" xfId="34183"/>
    <cellStyle name="Normal 4 3 2 10 3" xfId="8477"/>
    <cellStyle name="Normal 4 3 2 10 3 2" xfId="25524"/>
    <cellStyle name="Normal 4 3 2 10 3 2 2" xfId="54385"/>
    <cellStyle name="Normal 4 3 2 10 3 3" xfId="37338"/>
    <cellStyle name="Normal 4 3 2 10 4" xfId="12153"/>
    <cellStyle name="Normal 4 3 2 10 4 2" xfId="19752"/>
    <cellStyle name="Normal 4 3 2 10 4 2 2" xfId="48613"/>
    <cellStyle name="Normal 4 3 2 10 4 3" xfId="41014"/>
    <cellStyle name="Normal 4 3 2 10 5" xfId="17072"/>
    <cellStyle name="Normal 4 3 2 10 5 2" xfId="45933"/>
    <cellStyle name="Normal 4 3 2 10 6" xfId="31297"/>
    <cellStyle name="Normal 4 3 2 11" xfId="2644"/>
    <cellStyle name="Normal 4 3 2 11 2" xfId="5530"/>
    <cellStyle name="Normal 4 3 2 11 2 2" xfId="11571"/>
    <cellStyle name="Normal 4 3 2 11 2 2 2" xfId="28618"/>
    <cellStyle name="Normal 4 3 2 11 2 2 2 2" xfId="57479"/>
    <cellStyle name="Normal 4 3 2 11 2 2 3" xfId="40432"/>
    <cellStyle name="Normal 4 3 2 11 2 3" xfId="22640"/>
    <cellStyle name="Normal 4 3 2 11 2 3 2" xfId="51501"/>
    <cellStyle name="Normal 4 3 2 11 2 4" xfId="34391"/>
    <cellStyle name="Normal 4 3 2 11 3" xfId="8685"/>
    <cellStyle name="Normal 4 3 2 11 3 2" xfId="25732"/>
    <cellStyle name="Normal 4 3 2 11 3 2 2" xfId="54593"/>
    <cellStyle name="Normal 4 3 2 11 3 3" xfId="37546"/>
    <cellStyle name="Normal 4 3 2 11 4" xfId="12333"/>
    <cellStyle name="Normal 4 3 2 11 4 2" xfId="19960"/>
    <cellStyle name="Normal 4 3 2 11 4 2 2" xfId="48821"/>
    <cellStyle name="Normal 4 3 2 11 4 3" xfId="41194"/>
    <cellStyle name="Normal 4 3 2 11 5" xfId="17280"/>
    <cellStyle name="Normal 4 3 2 11 5 2" xfId="46141"/>
    <cellStyle name="Normal 4 3 2 11 6" xfId="31505"/>
    <cellStyle name="Normal 4 3 2 12" xfId="3159"/>
    <cellStyle name="Normal 4 3 2 12 2" xfId="9200"/>
    <cellStyle name="Normal 4 3 2 12 2 2" xfId="26247"/>
    <cellStyle name="Normal 4 3 2 12 2 2 2" xfId="55108"/>
    <cellStyle name="Normal 4 3 2 12 2 3" xfId="38061"/>
    <cellStyle name="Normal 4 3 2 12 3" xfId="12701"/>
    <cellStyle name="Normal 4 3 2 12 3 2" xfId="20269"/>
    <cellStyle name="Normal 4 3 2 12 3 2 2" xfId="49130"/>
    <cellStyle name="Normal 4 3 2 12 3 3" xfId="41562"/>
    <cellStyle name="Normal 4 3 2 12 4" xfId="14909"/>
    <cellStyle name="Normal 4 3 2 12 4 2" xfId="43770"/>
    <cellStyle name="Normal 4 3 2 12 5" xfId="32020"/>
    <cellStyle name="Normal 4 3 2 13" xfId="2850"/>
    <cellStyle name="Normal 4 3 2 13 2" xfId="8891"/>
    <cellStyle name="Normal 4 3 2 13 2 2" xfId="25938"/>
    <cellStyle name="Normal 4 3 2 13 2 2 2" xfId="54799"/>
    <cellStyle name="Normal 4 3 2 13 2 3" xfId="37752"/>
    <cellStyle name="Normal 4 3 2 13 3" xfId="17486"/>
    <cellStyle name="Normal 4 3 2 13 3 2" xfId="46347"/>
    <cellStyle name="Normal 4 3 2 13 4" xfId="31711"/>
    <cellStyle name="Normal 4 3 2 14" xfId="5736"/>
    <cellStyle name="Normal 4 3 2 14 2" xfId="11777"/>
    <cellStyle name="Normal 4 3 2 14 2 2" xfId="28824"/>
    <cellStyle name="Normal 4 3 2 14 2 2 2" xfId="57685"/>
    <cellStyle name="Normal 4 3 2 14 2 3" xfId="40638"/>
    <cellStyle name="Normal 4 3 2 14 3" xfId="22846"/>
    <cellStyle name="Normal 4 3 2 14 3 2" xfId="51707"/>
    <cellStyle name="Normal 4 3 2 14 4" xfId="34597"/>
    <cellStyle name="Normal 4 3 2 15" xfId="5953"/>
    <cellStyle name="Normal 4 3 2 15 2" xfId="23052"/>
    <cellStyle name="Normal 4 3 2 15 2 2" xfId="51913"/>
    <cellStyle name="Normal 4 3 2 15 3" xfId="34814"/>
    <cellStyle name="Normal 4 3 2 16" xfId="6314"/>
    <cellStyle name="Normal 4 3 2 16 2" xfId="23361"/>
    <cellStyle name="Normal 4 3 2 16 2 2" xfId="52222"/>
    <cellStyle name="Normal 4 3 2 16 3" xfId="35175"/>
    <cellStyle name="Normal 4 3 2 17" xfId="14600"/>
    <cellStyle name="Normal 4 3 2 17 2" xfId="43461"/>
    <cellStyle name="Normal 4 3 2 18" xfId="29134"/>
    <cellStyle name="Normal 4 3 2 2" xfId="478"/>
    <cellStyle name="Normal 4 3 2 2 2" xfId="2229"/>
    <cellStyle name="Normal 4 3 2 2 2 2" xfId="5116"/>
    <cellStyle name="Normal 4 3 2 2 2 2 2" xfId="11157"/>
    <cellStyle name="Normal 4 3 2 2 2 2 2 2" xfId="28204"/>
    <cellStyle name="Normal 4 3 2 2 2 2 2 2 2" xfId="57065"/>
    <cellStyle name="Normal 4 3 2 2 2 2 2 3" xfId="40018"/>
    <cellStyle name="Normal 4 3 2 2 2 2 3" xfId="22226"/>
    <cellStyle name="Normal 4 3 2 2 2 2 3 2" xfId="51087"/>
    <cellStyle name="Normal 4 3 2 2 2 2 4" xfId="33977"/>
    <cellStyle name="Normal 4 3 2 2 2 3" xfId="8271"/>
    <cellStyle name="Normal 4 3 2 2 2 3 2" xfId="25318"/>
    <cellStyle name="Normal 4 3 2 2 2 3 2 2" xfId="54179"/>
    <cellStyle name="Normal 4 3 2 2 2 3 3" xfId="37132"/>
    <cellStyle name="Normal 4 3 2 2 2 4" xfId="12809"/>
    <cellStyle name="Normal 4 3 2 2 2 4 2" xfId="19546"/>
    <cellStyle name="Normal 4 3 2 2 2 4 2 2" xfId="48407"/>
    <cellStyle name="Normal 4 3 2 2 2 4 3" xfId="41670"/>
    <cellStyle name="Normal 4 3 2 2 2 5" xfId="16866"/>
    <cellStyle name="Normal 4 3 2 2 2 5 2" xfId="45727"/>
    <cellStyle name="Normal 4 3 2 2 2 6" xfId="31091"/>
    <cellStyle name="Normal 4 3 2 2 3" xfId="3365"/>
    <cellStyle name="Normal 4 3 2 2 3 2" xfId="9406"/>
    <cellStyle name="Normal 4 3 2 2 3 2 2" xfId="26453"/>
    <cellStyle name="Normal 4 3 2 2 3 2 2 2" xfId="55314"/>
    <cellStyle name="Normal 4 3 2 2 3 2 3" xfId="38267"/>
    <cellStyle name="Normal 4 3 2 2 3 3" xfId="20475"/>
    <cellStyle name="Normal 4 3 2 2 3 3 2" xfId="49336"/>
    <cellStyle name="Normal 4 3 2 2 3 4" xfId="32226"/>
    <cellStyle name="Normal 4 3 2 2 4" xfId="6520"/>
    <cellStyle name="Normal 4 3 2 2 4 2" xfId="23567"/>
    <cellStyle name="Normal 4 3 2 2 4 2 2" xfId="52428"/>
    <cellStyle name="Normal 4 3 2 2 4 3" xfId="35381"/>
    <cellStyle name="Normal 4 3 2 2 5" xfId="12685"/>
    <cellStyle name="Normal 4 3 2 2 5 2" xfId="17795"/>
    <cellStyle name="Normal 4 3 2 2 5 2 2" xfId="46656"/>
    <cellStyle name="Normal 4 3 2 2 5 3" xfId="41546"/>
    <cellStyle name="Normal 4 3 2 2 6" xfId="15115"/>
    <cellStyle name="Normal 4 3 2 2 6 2" xfId="43976"/>
    <cellStyle name="Normal 4 3 2 2 7" xfId="29340"/>
    <cellStyle name="Normal 4 3 2 3" xfId="787"/>
    <cellStyle name="Normal 4 3 2 3 2" xfId="3674"/>
    <cellStyle name="Normal 4 3 2 3 2 2" xfId="9715"/>
    <cellStyle name="Normal 4 3 2 3 2 2 2" xfId="26762"/>
    <cellStyle name="Normal 4 3 2 3 2 2 2 2" xfId="55623"/>
    <cellStyle name="Normal 4 3 2 3 2 2 3" xfId="38576"/>
    <cellStyle name="Normal 4 3 2 3 2 3" xfId="20784"/>
    <cellStyle name="Normal 4 3 2 3 2 3 2" xfId="49645"/>
    <cellStyle name="Normal 4 3 2 3 2 4" xfId="32535"/>
    <cellStyle name="Normal 4 3 2 3 3" xfId="6829"/>
    <cellStyle name="Normal 4 3 2 3 3 2" xfId="23876"/>
    <cellStyle name="Normal 4 3 2 3 3 2 2" xfId="52737"/>
    <cellStyle name="Normal 4 3 2 3 3 3" xfId="35690"/>
    <cellStyle name="Normal 4 3 2 3 4" xfId="12803"/>
    <cellStyle name="Normal 4 3 2 3 4 2" xfId="18104"/>
    <cellStyle name="Normal 4 3 2 3 4 2 2" xfId="46965"/>
    <cellStyle name="Normal 4 3 2 3 4 3" xfId="41664"/>
    <cellStyle name="Normal 4 3 2 3 5" xfId="15424"/>
    <cellStyle name="Normal 4 3 2 3 5 2" xfId="44285"/>
    <cellStyle name="Normal 4 3 2 3 6" xfId="29649"/>
    <cellStyle name="Normal 4 3 2 4" xfId="993"/>
    <cellStyle name="Normal 4 3 2 4 2" xfId="3880"/>
    <cellStyle name="Normal 4 3 2 4 2 2" xfId="9921"/>
    <cellStyle name="Normal 4 3 2 4 2 2 2" xfId="26968"/>
    <cellStyle name="Normal 4 3 2 4 2 2 2 2" xfId="55829"/>
    <cellStyle name="Normal 4 3 2 4 2 2 3" xfId="38782"/>
    <cellStyle name="Normal 4 3 2 4 2 3" xfId="20990"/>
    <cellStyle name="Normal 4 3 2 4 2 3 2" xfId="49851"/>
    <cellStyle name="Normal 4 3 2 4 2 4" xfId="32741"/>
    <cellStyle name="Normal 4 3 2 4 3" xfId="7035"/>
    <cellStyle name="Normal 4 3 2 4 3 2" xfId="24082"/>
    <cellStyle name="Normal 4 3 2 4 3 2 2" xfId="52943"/>
    <cellStyle name="Normal 4 3 2 4 3 3" xfId="35896"/>
    <cellStyle name="Normal 4 3 2 4 4" xfId="13821"/>
    <cellStyle name="Normal 4 3 2 4 4 2" xfId="18310"/>
    <cellStyle name="Normal 4 3 2 4 4 2 2" xfId="47171"/>
    <cellStyle name="Normal 4 3 2 4 4 3" xfId="42682"/>
    <cellStyle name="Normal 4 3 2 4 5" xfId="15630"/>
    <cellStyle name="Normal 4 3 2 4 5 2" xfId="44491"/>
    <cellStyle name="Normal 4 3 2 4 6" xfId="29855"/>
    <cellStyle name="Normal 4 3 2 5" xfId="1199"/>
    <cellStyle name="Normal 4 3 2 5 2" xfId="4086"/>
    <cellStyle name="Normal 4 3 2 5 2 2" xfId="10127"/>
    <cellStyle name="Normal 4 3 2 5 2 2 2" xfId="27174"/>
    <cellStyle name="Normal 4 3 2 5 2 2 2 2" xfId="56035"/>
    <cellStyle name="Normal 4 3 2 5 2 2 3" xfId="38988"/>
    <cellStyle name="Normal 4 3 2 5 2 3" xfId="21196"/>
    <cellStyle name="Normal 4 3 2 5 2 3 2" xfId="50057"/>
    <cellStyle name="Normal 4 3 2 5 2 4" xfId="32947"/>
    <cellStyle name="Normal 4 3 2 5 3" xfId="7241"/>
    <cellStyle name="Normal 4 3 2 5 3 2" xfId="24288"/>
    <cellStyle name="Normal 4 3 2 5 3 2 2" xfId="53149"/>
    <cellStyle name="Normal 4 3 2 5 3 3" xfId="36102"/>
    <cellStyle name="Normal 4 3 2 5 4" xfId="12910"/>
    <cellStyle name="Normal 4 3 2 5 4 2" xfId="18516"/>
    <cellStyle name="Normal 4 3 2 5 4 2 2" xfId="47377"/>
    <cellStyle name="Normal 4 3 2 5 4 3" xfId="41771"/>
    <cellStyle name="Normal 4 3 2 5 5" xfId="15836"/>
    <cellStyle name="Normal 4 3 2 5 5 2" xfId="44697"/>
    <cellStyle name="Normal 4 3 2 5 6" xfId="30061"/>
    <cellStyle name="Normal 4 3 2 6" xfId="1405"/>
    <cellStyle name="Normal 4 3 2 6 2" xfId="4292"/>
    <cellStyle name="Normal 4 3 2 6 2 2" xfId="10333"/>
    <cellStyle name="Normal 4 3 2 6 2 2 2" xfId="27380"/>
    <cellStyle name="Normal 4 3 2 6 2 2 2 2" xfId="56241"/>
    <cellStyle name="Normal 4 3 2 6 2 2 3" xfId="39194"/>
    <cellStyle name="Normal 4 3 2 6 2 3" xfId="21402"/>
    <cellStyle name="Normal 4 3 2 6 2 3 2" xfId="50263"/>
    <cellStyle name="Normal 4 3 2 6 2 4" xfId="33153"/>
    <cellStyle name="Normal 4 3 2 6 3" xfId="7447"/>
    <cellStyle name="Normal 4 3 2 6 3 2" xfId="24494"/>
    <cellStyle name="Normal 4 3 2 6 3 2 2" xfId="53355"/>
    <cellStyle name="Normal 4 3 2 6 3 3" xfId="36308"/>
    <cellStyle name="Normal 4 3 2 6 4" xfId="13831"/>
    <cellStyle name="Normal 4 3 2 6 4 2" xfId="18722"/>
    <cellStyle name="Normal 4 3 2 6 4 2 2" xfId="47583"/>
    <cellStyle name="Normal 4 3 2 6 4 3" xfId="42692"/>
    <cellStyle name="Normal 4 3 2 6 5" xfId="16042"/>
    <cellStyle name="Normal 4 3 2 6 5 2" xfId="44903"/>
    <cellStyle name="Normal 4 3 2 6 6" xfId="30267"/>
    <cellStyle name="Normal 4 3 2 7" xfId="1611"/>
    <cellStyle name="Normal 4 3 2 7 2" xfId="4498"/>
    <cellStyle name="Normal 4 3 2 7 2 2" xfId="10539"/>
    <cellStyle name="Normal 4 3 2 7 2 2 2" xfId="27586"/>
    <cellStyle name="Normal 4 3 2 7 2 2 2 2" xfId="56447"/>
    <cellStyle name="Normal 4 3 2 7 2 2 3" xfId="39400"/>
    <cellStyle name="Normal 4 3 2 7 2 3" xfId="21608"/>
    <cellStyle name="Normal 4 3 2 7 2 3 2" xfId="50469"/>
    <cellStyle name="Normal 4 3 2 7 2 4" xfId="33359"/>
    <cellStyle name="Normal 4 3 2 7 3" xfId="7653"/>
    <cellStyle name="Normal 4 3 2 7 3 2" xfId="24700"/>
    <cellStyle name="Normal 4 3 2 7 3 2 2" xfId="53561"/>
    <cellStyle name="Normal 4 3 2 7 3 3" xfId="36514"/>
    <cellStyle name="Normal 4 3 2 7 4" xfId="12614"/>
    <cellStyle name="Normal 4 3 2 7 4 2" xfId="18928"/>
    <cellStyle name="Normal 4 3 2 7 4 2 2" xfId="47789"/>
    <cellStyle name="Normal 4 3 2 7 4 3" xfId="41475"/>
    <cellStyle name="Normal 4 3 2 7 5" xfId="16248"/>
    <cellStyle name="Normal 4 3 2 7 5 2" xfId="45109"/>
    <cellStyle name="Normal 4 3 2 7 6" xfId="30473"/>
    <cellStyle name="Normal 4 3 2 8" xfId="1817"/>
    <cellStyle name="Normal 4 3 2 8 2" xfId="4704"/>
    <cellStyle name="Normal 4 3 2 8 2 2" xfId="10745"/>
    <cellStyle name="Normal 4 3 2 8 2 2 2" xfId="27792"/>
    <cellStyle name="Normal 4 3 2 8 2 2 2 2" xfId="56653"/>
    <cellStyle name="Normal 4 3 2 8 2 2 3" xfId="39606"/>
    <cellStyle name="Normal 4 3 2 8 2 3" xfId="21814"/>
    <cellStyle name="Normal 4 3 2 8 2 3 2" xfId="50675"/>
    <cellStyle name="Normal 4 3 2 8 2 4" xfId="33565"/>
    <cellStyle name="Normal 4 3 2 8 3" xfId="7859"/>
    <cellStyle name="Normal 4 3 2 8 3 2" xfId="24906"/>
    <cellStyle name="Normal 4 3 2 8 3 2 2" xfId="53767"/>
    <cellStyle name="Normal 4 3 2 8 3 3" xfId="36720"/>
    <cellStyle name="Normal 4 3 2 8 4" xfId="14260"/>
    <cellStyle name="Normal 4 3 2 8 4 2" xfId="19134"/>
    <cellStyle name="Normal 4 3 2 8 4 2 2" xfId="47995"/>
    <cellStyle name="Normal 4 3 2 8 4 3" xfId="43121"/>
    <cellStyle name="Normal 4 3 2 8 5" xfId="16454"/>
    <cellStyle name="Normal 4 3 2 8 5 2" xfId="45315"/>
    <cellStyle name="Normal 4 3 2 8 6" xfId="30679"/>
    <cellStyle name="Normal 4 3 2 9" xfId="2023"/>
    <cellStyle name="Normal 4 3 2 9 2" xfId="4910"/>
    <cellStyle name="Normal 4 3 2 9 2 2" xfId="10951"/>
    <cellStyle name="Normal 4 3 2 9 2 2 2" xfId="27998"/>
    <cellStyle name="Normal 4 3 2 9 2 2 2 2" xfId="56859"/>
    <cellStyle name="Normal 4 3 2 9 2 2 3" xfId="39812"/>
    <cellStyle name="Normal 4 3 2 9 2 3" xfId="22020"/>
    <cellStyle name="Normal 4 3 2 9 2 3 2" xfId="50881"/>
    <cellStyle name="Normal 4 3 2 9 2 4" xfId="33771"/>
    <cellStyle name="Normal 4 3 2 9 3" xfId="8065"/>
    <cellStyle name="Normal 4 3 2 9 3 2" xfId="25112"/>
    <cellStyle name="Normal 4 3 2 9 3 2 2" xfId="53973"/>
    <cellStyle name="Normal 4 3 2 9 3 3" xfId="36926"/>
    <cellStyle name="Normal 4 3 2 9 4" xfId="12137"/>
    <cellStyle name="Normal 4 3 2 9 4 2" xfId="19340"/>
    <cellStyle name="Normal 4 3 2 9 4 2 2" xfId="48201"/>
    <cellStyle name="Normal 4 3 2 9 4 3" xfId="40998"/>
    <cellStyle name="Normal 4 3 2 9 5" xfId="16660"/>
    <cellStyle name="Normal 4 3 2 9 5 2" xfId="45521"/>
    <cellStyle name="Normal 4 3 2 9 6" xfId="30885"/>
    <cellStyle name="Normal 4 3 20" xfId="28928"/>
    <cellStyle name="Normal 4 3 3" xfId="169"/>
    <cellStyle name="Normal 4 3 3 2" xfId="581"/>
    <cellStyle name="Normal 4 3 3 2 2" xfId="3468"/>
    <cellStyle name="Normal 4 3 3 2 2 2" xfId="9509"/>
    <cellStyle name="Normal 4 3 3 2 2 2 2" xfId="26556"/>
    <cellStyle name="Normal 4 3 3 2 2 2 2 2" xfId="55417"/>
    <cellStyle name="Normal 4 3 3 2 2 2 3" xfId="38370"/>
    <cellStyle name="Normal 4 3 3 2 2 3" xfId="20578"/>
    <cellStyle name="Normal 4 3 3 2 2 3 2" xfId="49439"/>
    <cellStyle name="Normal 4 3 3 2 2 4" xfId="32329"/>
    <cellStyle name="Normal 4 3 3 2 3" xfId="6623"/>
    <cellStyle name="Normal 4 3 3 2 3 2" xfId="23670"/>
    <cellStyle name="Normal 4 3 3 2 3 2 2" xfId="52531"/>
    <cellStyle name="Normal 4 3 3 2 3 3" xfId="35484"/>
    <cellStyle name="Normal 4 3 3 2 4" xfId="12463"/>
    <cellStyle name="Normal 4 3 3 2 4 2" xfId="17898"/>
    <cellStyle name="Normal 4 3 3 2 4 2 2" xfId="46759"/>
    <cellStyle name="Normal 4 3 3 2 4 3" xfId="41324"/>
    <cellStyle name="Normal 4 3 3 2 5" xfId="15218"/>
    <cellStyle name="Normal 4 3 3 2 5 2" xfId="44079"/>
    <cellStyle name="Normal 4 3 3 2 6" xfId="29443"/>
    <cellStyle name="Normal 4 3 3 3" xfId="2126"/>
    <cellStyle name="Normal 4 3 3 3 2" xfId="5013"/>
    <cellStyle name="Normal 4 3 3 3 2 2" xfId="11054"/>
    <cellStyle name="Normal 4 3 3 3 2 2 2" xfId="28101"/>
    <cellStyle name="Normal 4 3 3 3 2 2 2 2" xfId="56962"/>
    <cellStyle name="Normal 4 3 3 3 2 2 3" xfId="39915"/>
    <cellStyle name="Normal 4 3 3 3 2 3" xfId="22123"/>
    <cellStyle name="Normal 4 3 3 3 2 3 2" xfId="50984"/>
    <cellStyle name="Normal 4 3 3 3 2 4" xfId="33874"/>
    <cellStyle name="Normal 4 3 3 3 3" xfId="8168"/>
    <cellStyle name="Normal 4 3 3 3 3 2" xfId="25215"/>
    <cellStyle name="Normal 4 3 3 3 3 2 2" xfId="54076"/>
    <cellStyle name="Normal 4 3 3 3 3 3" xfId="37029"/>
    <cellStyle name="Normal 4 3 3 3 4" xfId="11888"/>
    <cellStyle name="Normal 4 3 3 3 4 2" xfId="19443"/>
    <cellStyle name="Normal 4 3 3 3 4 2 2" xfId="48304"/>
    <cellStyle name="Normal 4 3 3 3 4 3" xfId="40749"/>
    <cellStyle name="Normal 4 3 3 3 5" xfId="16763"/>
    <cellStyle name="Normal 4 3 3 3 5 2" xfId="45624"/>
    <cellStyle name="Normal 4 3 3 3 6" xfId="30988"/>
    <cellStyle name="Normal 4 3 3 4" xfId="3056"/>
    <cellStyle name="Normal 4 3 3 4 2" xfId="9097"/>
    <cellStyle name="Normal 4 3 3 4 2 2" xfId="26144"/>
    <cellStyle name="Normal 4 3 3 4 2 2 2" xfId="55005"/>
    <cellStyle name="Normal 4 3 3 4 2 3" xfId="37958"/>
    <cellStyle name="Normal 4 3 3 4 3" xfId="20166"/>
    <cellStyle name="Normal 4 3 3 4 3 2" xfId="49027"/>
    <cellStyle name="Normal 4 3 3 4 4" xfId="31917"/>
    <cellStyle name="Normal 4 3 3 5" xfId="6211"/>
    <cellStyle name="Normal 4 3 3 5 2" xfId="23258"/>
    <cellStyle name="Normal 4 3 3 5 2 2" xfId="52119"/>
    <cellStyle name="Normal 4 3 3 5 3" xfId="35072"/>
    <cellStyle name="Normal 4 3 3 6" xfId="14073"/>
    <cellStyle name="Normal 4 3 3 6 2" xfId="17589"/>
    <cellStyle name="Normal 4 3 3 6 2 2" xfId="46450"/>
    <cellStyle name="Normal 4 3 3 6 3" xfId="42934"/>
    <cellStyle name="Normal 4 3 3 7" xfId="14806"/>
    <cellStyle name="Normal 4 3 3 7 2" xfId="43667"/>
    <cellStyle name="Normal 4 3 3 8" xfId="29031"/>
    <cellStyle name="Normal 4 3 4" xfId="375"/>
    <cellStyle name="Normal 4 3 4 2" xfId="3262"/>
    <cellStyle name="Normal 4 3 4 2 2" xfId="9303"/>
    <cellStyle name="Normal 4 3 4 2 2 2" xfId="26350"/>
    <cellStyle name="Normal 4 3 4 2 2 2 2" xfId="55211"/>
    <cellStyle name="Normal 4 3 4 2 2 3" xfId="38164"/>
    <cellStyle name="Normal 4 3 4 2 3" xfId="20372"/>
    <cellStyle name="Normal 4 3 4 2 3 2" xfId="49233"/>
    <cellStyle name="Normal 4 3 4 2 4" xfId="32123"/>
    <cellStyle name="Normal 4 3 4 3" xfId="6417"/>
    <cellStyle name="Normal 4 3 4 3 2" xfId="23464"/>
    <cellStyle name="Normal 4 3 4 3 2 2" xfId="52325"/>
    <cellStyle name="Normal 4 3 4 3 3" xfId="35278"/>
    <cellStyle name="Normal 4 3 4 4" xfId="14249"/>
    <cellStyle name="Normal 4 3 4 4 2" xfId="17692"/>
    <cellStyle name="Normal 4 3 4 4 2 2" xfId="46553"/>
    <cellStyle name="Normal 4 3 4 4 3" xfId="43110"/>
    <cellStyle name="Normal 4 3 4 5" xfId="15012"/>
    <cellStyle name="Normal 4 3 4 5 2" xfId="43873"/>
    <cellStyle name="Normal 4 3 4 6" xfId="29237"/>
    <cellStyle name="Normal 4 3 5" xfId="684"/>
    <cellStyle name="Normal 4 3 5 2" xfId="3571"/>
    <cellStyle name="Normal 4 3 5 2 2" xfId="9612"/>
    <cellStyle name="Normal 4 3 5 2 2 2" xfId="26659"/>
    <cellStyle name="Normal 4 3 5 2 2 2 2" xfId="55520"/>
    <cellStyle name="Normal 4 3 5 2 2 3" xfId="38473"/>
    <cellStyle name="Normal 4 3 5 2 3" xfId="20681"/>
    <cellStyle name="Normal 4 3 5 2 3 2" xfId="49542"/>
    <cellStyle name="Normal 4 3 5 2 4" xfId="32432"/>
    <cellStyle name="Normal 4 3 5 3" xfId="6726"/>
    <cellStyle name="Normal 4 3 5 3 2" xfId="23773"/>
    <cellStyle name="Normal 4 3 5 3 2 2" xfId="52634"/>
    <cellStyle name="Normal 4 3 5 3 3" xfId="35587"/>
    <cellStyle name="Normal 4 3 5 4" xfId="12533"/>
    <cellStyle name="Normal 4 3 5 4 2" xfId="18001"/>
    <cellStyle name="Normal 4 3 5 4 2 2" xfId="46862"/>
    <cellStyle name="Normal 4 3 5 4 3" xfId="41394"/>
    <cellStyle name="Normal 4 3 5 5" xfId="15321"/>
    <cellStyle name="Normal 4 3 5 5 2" xfId="44182"/>
    <cellStyle name="Normal 4 3 5 6" xfId="29546"/>
    <cellStyle name="Normal 4 3 6" xfId="890"/>
    <cellStyle name="Normal 4 3 6 2" xfId="3777"/>
    <cellStyle name="Normal 4 3 6 2 2" xfId="9818"/>
    <cellStyle name="Normal 4 3 6 2 2 2" xfId="26865"/>
    <cellStyle name="Normal 4 3 6 2 2 2 2" xfId="55726"/>
    <cellStyle name="Normal 4 3 6 2 2 3" xfId="38679"/>
    <cellStyle name="Normal 4 3 6 2 3" xfId="20887"/>
    <cellStyle name="Normal 4 3 6 2 3 2" xfId="49748"/>
    <cellStyle name="Normal 4 3 6 2 4" xfId="32638"/>
    <cellStyle name="Normal 4 3 6 3" xfId="6932"/>
    <cellStyle name="Normal 4 3 6 3 2" xfId="23979"/>
    <cellStyle name="Normal 4 3 6 3 2 2" xfId="52840"/>
    <cellStyle name="Normal 4 3 6 3 3" xfId="35793"/>
    <cellStyle name="Normal 4 3 6 4" xfId="13053"/>
    <cellStyle name="Normal 4 3 6 4 2" xfId="18207"/>
    <cellStyle name="Normal 4 3 6 4 2 2" xfId="47068"/>
    <cellStyle name="Normal 4 3 6 4 3" xfId="41914"/>
    <cellStyle name="Normal 4 3 6 5" xfId="15527"/>
    <cellStyle name="Normal 4 3 6 5 2" xfId="44388"/>
    <cellStyle name="Normal 4 3 6 6" xfId="29752"/>
    <cellStyle name="Normal 4 3 7" xfId="1096"/>
    <cellStyle name="Normal 4 3 7 2" xfId="3983"/>
    <cellStyle name="Normal 4 3 7 2 2" xfId="10024"/>
    <cellStyle name="Normal 4 3 7 2 2 2" xfId="27071"/>
    <cellStyle name="Normal 4 3 7 2 2 2 2" xfId="55932"/>
    <cellStyle name="Normal 4 3 7 2 2 3" xfId="38885"/>
    <cellStyle name="Normal 4 3 7 2 3" xfId="21093"/>
    <cellStyle name="Normal 4 3 7 2 3 2" xfId="49954"/>
    <cellStyle name="Normal 4 3 7 2 4" xfId="32844"/>
    <cellStyle name="Normal 4 3 7 3" xfId="7138"/>
    <cellStyle name="Normal 4 3 7 3 2" xfId="24185"/>
    <cellStyle name="Normal 4 3 7 3 2 2" xfId="53046"/>
    <cellStyle name="Normal 4 3 7 3 3" xfId="35999"/>
    <cellStyle name="Normal 4 3 7 4" xfId="14022"/>
    <cellStyle name="Normal 4 3 7 4 2" xfId="18413"/>
    <cellStyle name="Normal 4 3 7 4 2 2" xfId="47274"/>
    <cellStyle name="Normal 4 3 7 4 3" xfId="42883"/>
    <cellStyle name="Normal 4 3 7 5" xfId="15733"/>
    <cellStyle name="Normal 4 3 7 5 2" xfId="44594"/>
    <cellStyle name="Normal 4 3 7 6" xfId="29958"/>
    <cellStyle name="Normal 4 3 8" xfId="1302"/>
    <cellStyle name="Normal 4 3 8 2" xfId="4189"/>
    <cellStyle name="Normal 4 3 8 2 2" xfId="10230"/>
    <cellStyle name="Normal 4 3 8 2 2 2" xfId="27277"/>
    <cellStyle name="Normal 4 3 8 2 2 2 2" xfId="56138"/>
    <cellStyle name="Normal 4 3 8 2 2 3" xfId="39091"/>
    <cellStyle name="Normal 4 3 8 2 3" xfId="21299"/>
    <cellStyle name="Normal 4 3 8 2 3 2" xfId="50160"/>
    <cellStyle name="Normal 4 3 8 2 4" xfId="33050"/>
    <cellStyle name="Normal 4 3 8 3" xfId="7344"/>
    <cellStyle name="Normal 4 3 8 3 2" xfId="24391"/>
    <cellStyle name="Normal 4 3 8 3 2 2" xfId="53252"/>
    <cellStyle name="Normal 4 3 8 3 3" xfId="36205"/>
    <cellStyle name="Normal 4 3 8 4" xfId="12879"/>
    <cellStyle name="Normal 4 3 8 4 2" xfId="18619"/>
    <cellStyle name="Normal 4 3 8 4 2 2" xfId="47480"/>
    <cellStyle name="Normal 4 3 8 4 3" xfId="41740"/>
    <cellStyle name="Normal 4 3 8 5" xfId="15939"/>
    <cellStyle name="Normal 4 3 8 5 2" xfId="44800"/>
    <cellStyle name="Normal 4 3 8 6" xfId="30164"/>
    <cellStyle name="Normal 4 3 9" xfId="1508"/>
    <cellStyle name="Normal 4 3 9 2" xfId="4395"/>
    <cellStyle name="Normal 4 3 9 2 2" xfId="10436"/>
    <cellStyle name="Normal 4 3 9 2 2 2" xfId="27483"/>
    <cellStyle name="Normal 4 3 9 2 2 2 2" xfId="56344"/>
    <cellStyle name="Normal 4 3 9 2 2 3" xfId="39297"/>
    <cellStyle name="Normal 4 3 9 2 3" xfId="21505"/>
    <cellStyle name="Normal 4 3 9 2 3 2" xfId="50366"/>
    <cellStyle name="Normal 4 3 9 2 4" xfId="33256"/>
    <cellStyle name="Normal 4 3 9 3" xfId="7550"/>
    <cellStyle name="Normal 4 3 9 3 2" xfId="24597"/>
    <cellStyle name="Normal 4 3 9 3 2 2" xfId="53458"/>
    <cellStyle name="Normal 4 3 9 3 3" xfId="36411"/>
    <cellStyle name="Normal 4 3 9 4" xfId="13879"/>
    <cellStyle name="Normal 4 3 9 4 2" xfId="18825"/>
    <cellStyle name="Normal 4 3 9 4 2 2" xfId="47686"/>
    <cellStyle name="Normal 4 3 9 4 3" xfId="42740"/>
    <cellStyle name="Normal 4 3 9 5" xfId="16145"/>
    <cellStyle name="Normal 4 3 9 5 2" xfId="45006"/>
    <cellStyle name="Normal 4 3 9 6" xfId="30370"/>
    <cellStyle name="Normal 4 4" xfId="35"/>
    <cellStyle name="Normal 4 4 10" xfId="1715"/>
    <cellStyle name="Normal 4 4 10 2" xfId="4602"/>
    <cellStyle name="Normal 4 4 10 2 2" xfId="10643"/>
    <cellStyle name="Normal 4 4 10 2 2 2" xfId="27690"/>
    <cellStyle name="Normal 4 4 10 2 2 2 2" xfId="56551"/>
    <cellStyle name="Normal 4 4 10 2 2 3" xfId="39504"/>
    <cellStyle name="Normal 4 4 10 2 3" xfId="21712"/>
    <cellStyle name="Normal 4 4 10 2 3 2" xfId="50573"/>
    <cellStyle name="Normal 4 4 10 2 4" xfId="33463"/>
    <cellStyle name="Normal 4 4 10 3" xfId="7757"/>
    <cellStyle name="Normal 4 4 10 3 2" xfId="24804"/>
    <cellStyle name="Normal 4 4 10 3 2 2" xfId="53665"/>
    <cellStyle name="Normal 4 4 10 3 3" xfId="36618"/>
    <cellStyle name="Normal 4 4 10 4" xfId="6059"/>
    <cellStyle name="Normal 4 4 10 4 2" xfId="19032"/>
    <cellStyle name="Normal 4 4 10 4 2 2" xfId="47893"/>
    <cellStyle name="Normal 4 4 10 4 3" xfId="34920"/>
    <cellStyle name="Normal 4 4 10 5" xfId="16352"/>
    <cellStyle name="Normal 4 4 10 5 2" xfId="45213"/>
    <cellStyle name="Normal 4 4 10 6" xfId="30577"/>
    <cellStyle name="Normal 4 4 11" xfId="1921"/>
    <cellStyle name="Normal 4 4 11 2" xfId="4808"/>
    <cellStyle name="Normal 4 4 11 2 2" xfId="10849"/>
    <cellStyle name="Normal 4 4 11 2 2 2" xfId="27896"/>
    <cellStyle name="Normal 4 4 11 2 2 2 2" xfId="56757"/>
    <cellStyle name="Normal 4 4 11 2 2 3" xfId="39710"/>
    <cellStyle name="Normal 4 4 11 2 3" xfId="21918"/>
    <cellStyle name="Normal 4 4 11 2 3 2" xfId="50779"/>
    <cellStyle name="Normal 4 4 11 2 4" xfId="33669"/>
    <cellStyle name="Normal 4 4 11 3" xfId="7963"/>
    <cellStyle name="Normal 4 4 11 3 2" xfId="25010"/>
    <cellStyle name="Normal 4 4 11 3 2 2" xfId="53871"/>
    <cellStyle name="Normal 4 4 11 3 3" xfId="36824"/>
    <cellStyle name="Normal 4 4 11 4" xfId="12793"/>
    <cellStyle name="Normal 4 4 11 4 2" xfId="19238"/>
    <cellStyle name="Normal 4 4 11 4 2 2" xfId="48099"/>
    <cellStyle name="Normal 4 4 11 4 3" xfId="41654"/>
    <cellStyle name="Normal 4 4 11 5" xfId="16558"/>
    <cellStyle name="Normal 4 4 11 5 2" xfId="45419"/>
    <cellStyle name="Normal 4 4 11 6" xfId="30783"/>
    <cellStyle name="Normal 4 4 12" xfId="2333"/>
    <cellStyle name="Normal 4 4 12 2" xfId="5220"/>
    <cellStyle name="Normal 4 4 12 2 2" xfId="11261"/>
    <cellStyle name="Normal 4 4 12 2 2 2" xfId="28308"/>
    <cellStyle name="Normal 4 4 12 2 2 2 2" xfId="57169"/>
    <cellStyle name="Normal 4 4 12 2 2 3" xfId="40122"/>
    <cellStyle name="Normal 4 4 12 2 3" xfId="22330"/>
    <cellStyle name="Normal 4 4 12 2 3 2" xfId="51191"/>
    <cellStyle name="Normal 4 4 12 2 4" xfId="34081"/>
    <cellStyle name="Normal 4 4 12 3" xfId="8375"/>
    <cellStyle name="Normal 4 4 12 3 2" xfId="25422"/>
    <cellStyle name="Normal 4 4 12 3 2 2" xfId="54283"/>
    <cellStyle name="Normal 4 4 12 3 3" xfId="37236"/>
    <cellStyle name="Normal 4 4 12 4" xfId="12296"/>
    <cellStyle name="Normal 4 4 12 4 2" xfId="19650"/>
    <cellStyle name="Normal 4 4 12 4 2 2" xfId="48511"/>
    <cellStyle name="Normal 4 4 12 4 3" xfId="41157"/>
    <cellStyle name="Normal 4 4 12 5" xfId="16970"/>
    <cellStyle name="Normal 4 4 12 5 2" xfId="45831"/>
    <cellStyle name="Normal 4 4 12 6" xfId="31195"/>
    <cellStyle name="Normal 4 4 13" xfId="2542"/>
    <cellStyle name="Normal 4 4 13 2" xfId="5428"/>
    <cellStyle name="Normal 4 4 13 2 2" xfId="11469"/>
    <cellStyle name="Normal 4 4 13 2 2 2" xfId="28516"/>
    <cellStyle name="Normal 4 4 13 2 2 2 2" xfId="57377"/>
    <cellStyle name="Normal 4 4 13 2 2 3" xfId="40330"/>
    <cellStyle name="Normal 4 4 13 2 3" xfId="22538"/>
    <cellStyle name="Normal 4 4 13 2 3 2" xfId="51399"/>
    <cellStyle name="Normal 4 4 13 2 4" xfId="34289"/>
    <cellStyle name="Normal 4 4 13 3" xfId="8583"/>
    <cellStyle name="Normal 4 4 13 3 2" xfId="25630"/>
    <cellStyle name="Normal 4 4 13 3 2 2" xfId="54491"/>
    <cellStyle name="Normal 4 4 13 3 3" xfId="37444"/>
    <cellStyle name="Normal 4 4 13 4" xfId="13072"/>
    <cellStyle name="Normal 4 4 13 4 2" xfId="19858"/>
    <cellStyle name="Normal 4 4 13 4 2 2" xfId="48719"/>
    <cellStyle name="Normal 4 4 13 4 3" xfId="41933"/>
    <cellStyle name="Normal 4 4 13 5" xfId="17178"/>
    <cellStyle name="Normal 4 4 13 5 2" xfId="46039"/>
    <cellStyle name="Normal 4 4 13 6" xfId="31403"/>
    <cellStyle name="Normal 4 4 14" xfId="2954"/>
    <cellStyle name="Normal 4 4 14 2" xfId="8995"/>
    <cellStyle name="Normal 4 4 14 2 2" xfId="26042"/>
    <cellStyle name="Normal 4 4 14 2 2 2" xfId="54903"/>
    <cellStyle name="Normal 4 4 14 2 3" xfId="37856"/>
    <cellStyle name="Normal 4 4 14 3" xfId="13645"/>
    <cellStyle name="Normal 4 4 14 3 2" xfId="20064"/>
    <cellStyle name="Normal 4 4 14 3 2 2" xfId="48925"/>
    <cellStyle name="Normal 4 4 14 3 3" xfId="42506"/>
    <cellStyle name="Normal 4 4 14 4" xfId="14704"/>
    <cellStyle name="Normal 4 4 14 4 2" xfId="43565"/>
    <cellStyle name="Normal 4 4 14 5" xfId="31815"/>
    <cellStyle name="Normal 4 4 15" xfId="2748"/>
    <cellStyle name="Normal 4 4 15 2" xfId="8789"/>
    <cellStyle name="Normal 4 4 15 2 2" xfId="25836"/>
    <cellStyle name="Normal 4 4 15 2 2 2" xfId="54697"/>
    <cellStyle name="Normal 4 4 15 2 3" xfId="37650"/>
    <cellStyle name="Normal 4 4 15 3" xfId="17384"/>
    <cellStyle name="Normal 4 4 15 3 2" xfId="46245"/>
    <cellStyle name="Normal 4 4 15 4" xfId="31609"/>
    <cellStyle name="Normal 4 4 16" xfId="5634"/>
    <cellStyle name="Normal 4 4 16 2" xfId="11675"/>
    <cellStyle name="Normal 4 4 16 2 2" xfId="28722"/>
    <cellStyle name="Normal 4 4 16 2 2 2" xfId="57583"/>
    <cellStyle name="Normal 4 4 16 2 3" xfId="40536"/>
    <cellStyle name="Normal 4 4 16 3" xfId="22744"/>
    <cellStyle name="Normal 4 4 16 3 2" xfId="51605"/>
    <cellStyle name="Normal 4 4 16 4" xfId="34495"/>
    <cellStyle name="Normal 4 4 17" xfId="5845"/>
    <cellStyle name="Normal 4 4 17 2" xfId="22950"/>
    <cellStyle name="Normal 4 4 17 2 2" xfId="51811"/>
    <cellStyle name="Normal 4 4 17 3" xfId="34706"/>
    <cellStyle name="Normal 4 4 18" xfId="6109"/>
    <cellStyle name="Normal 4 4 18 2" xfId="23156"/>
    <cellStyle name="Normal 4 4 18 2 2" xfId="52017"/>
    <cellStyle name="Normal 4 4 18 3" xfId="34970"/>
    <cellStyle name="Normal 4 4 19" xfId="14498"/>
    <cellStyle name="Normal 4 4 19 2" xfId="43359"/>
    <cellStyle name="Normal 4 4 2" xfId="273"/>
    <cellStyle name="Normal 4 4 2 10" xfId="2436"/>
    <cellStyle name="Normal 4 4 2 10 2" xfId="5323"/>
    <cellStyle name="Normal 4 4 2 10 2 2" xfId="11364"/>
    <cellStyle name="Normal 4 4 2 10 2 2 2" xfId="28411"/>
    <cellStyle name="Normal 4 4 2 10 2 2 2 2" xfId="57272"/>
    <cellStyle name="Normal 4 4 2 10 2 2 3" xfId="40225"/>
    <cellStyle name="Normal 4 4 2 10 2 3" xfId="22433"/>
    <cellStyle name="Normal 4 4 2 10 2 3 2" xfId="51294"/>
    <cellStyle name="Normal 4 4 2 10 2 4" xfId="34184"/>
    <cellStyle name="Normal 4 4 2 10 3" xfId="8478"/>
    <cellStyle name="Normal 4 4 2 10 3 2" xfId="25525"/>
    <cellStyle name="Normal 4 4 2 10 3 2 2" xfId="54386"/>
    <cellStyle name="Normal 4 4 2 10 3 3" xfId="37339"/>
    <cellStyle name="Normal 4 4 2 10 4" xfId="12724"/>
    <cellStyle name="Normal 4 4 2 10 4 2" xfId="19753"/>
    <cellStyle name="Normal 4 4 2 10 4 2 2" xfId="48614"/>
    <cellStyle name="Normal 4 4 2 10 4 3" xfId="41585"/>
    <cellStyle name="Normal 4 4 2 10 5" xfId="17073"/>
    <cellStyle name="Normal 4 4 2 10 5 2" xfId="45934"/>
    <cellStyle name="Normal 4 4 2 10 6" xfId="31298"/>
    <cellStyle name="Normal 4 4 2 11" xfId="2645"/>
    <cellStyle name="Normal 4 4 2 11 2" xfId="5531"/>
    <cellStyle name="Normal 4 4 2 11 2 2" xfId="11572"/>
    <cellStyle name="Normal 4 4 2 11 2 2 2" xfId="28619"/>
    <cellStyle name="Normal 4 4 2 11 2 2 2 2" xfId="57480"/>
    <cellStyle name="Normal 4 4 2 11 2 2 3" xfId="40433"/>
    <cellStyle name="Normal 4 4 2 11 2 3" xfId="22641"/>
    <cellStyle name="Normal 4 4 2 11 2 3 2" xfId="51502"/>
    <cellStyle name="Normal 4 4 2 11 2 4" xfId="34392"/>
    <cellStyle name="Normal 4 4 2 11 3" xfId="8686"/>
    <cellStyle name="Normal 4 4 2 11 3 2" xfId="25733"/>
    <cellStyle name="Normal 4 4 2 11 3 2 2" xfId="54594"/>
    <cellStyle name="Normal 4 4 2 11 3 3" xfId="37547"/>
    <cellStyle name="Normal 4 4 2 11 4" xfId="5834"/>
    <cellStyle name="Normal 4 4 2 11 4 2" xfId="19961"/>
    <cellStyle name="Normal 4 4 2 11 4 2 2" xfId="48822"/>
    <cellStyle name="Normal 4 4 2 11 4 3" xfId="34695"/>
    <cellStyle name="Normal 4 4 2 11 5" xfId="17281"/>
    <cellStyle name="Normal 4 4 2 11 5 2" xfId="46142"/>
    <cellStyle name="Normal 4 4 2 11 6" xfId="31506"/>
    <cellStyle name="Normal 4 4 2 12" xfId="3160"/>
    <cellStyle name="Normal 4 4 2 12 2" xfId="9201"/>
    <cellStyle name="Normal 4 4 2 12 2 2" xfId="26248"/>
    <cellStyle name="Normal 4 4 2 12 2 2 2" xfId="55109"/>
    <cellStyle name="Normal 4 4 2 12 2 3" xfId="38062"/>
    <cellStyle name="Normal 4 4 2 12 3" xfId="13521"/>
    <cellStyle name="Normal 4 4 2 12 3 2" xfId="20270"/>
    <cellStyle name="Normal 4 4 2 12 3 2 2" xfId="49131"/>
    <cellStyle name="Normal 4 4 2 12 3 3" xfId="42382"/>
    <cellStyle name="Normal 4 4 2 12 4" xfId="14910"/>
    <cellStyle name="Normal 4 4 2 12 4 2" xfId="43771"/>
    <cellStyle name="Normal 4 4 2 12 5" xfId="32021"/>
    <cellStyle name="Normal 4 4 2 13" xfId="2851"/>
    <cellStyle name="Normal 4 4 2 13 2" xfId="8892"/>
    <cellStyle name="Normal 4 4 2 13 2 2" xfId="25939"/>
    <cellStyle name="Normal 4 4 2 13 2 2 2" xfId="54800"/>
    <cellStyle name="Normal 4 4 2 13 2 3" xfId="37753"/>
    <cellStyle name="Normal 4 4 2 13 3" xfId="17487"/>
    <cellStyle name="Normal 4 4 2 13 3 2" xfId="46348"/>
    <cellStyle name="Normal 4 4 2 13 4" xfId="31712"/>
    <cellStyle name="Normal 4 4 2 14" xfId="5737"/>
    <cellStyle name="Normal 4 4 2 14 2" xfId="11778"/>
    <cellStyle name="Normal 4 4 2 14 2 2" xfId="28825"/>
    <cellStyle name="Normal 4 4 2 14 2 2 2" xfId="57686"/>
    <cellStyle name="Normal 4 4 2 14 2 3" xfId="40639"/>
    <cellStyle name="Normal 4 4 2 14 3" xfId="22847"/>
    <cellStyle name="Normal 4 4 2 14 3 2" xfId="51708"/>
    <cellStyle name="Normal 4 4 2 14 4" xfId="34598"/>
    <cellStyle name="Normal 4 4 2 15" xfId="5954"/>
    <cellStyle name="Normal 4 4 2 15 2" xfId="23053"/>
    <cellStyle name="Normal 4 4 2 15 2 2" xfId="51914"/>
    <cellStyle name="Normal 4 4 2 15 3" xfId="34815"/>
    <cellStyle name="Normal 4 4 2 16" xfId="6315"/>
    <cellStyle name="Normal 4 4 2 16 2" xfId="23362"/>
    <cellStyle name="Normal 4 4 2 16 2 2" xfId="52223"/>
    <cellStyle name="Normal 4 4 2 16 3" xfId="35176"/>
    <cellStyle name="Normal 4 4 2 17" xfId="14601"/>
    <cellStyle name="Normal 4 4 2 17 2" xfId="43462"/>
    <cellStyle name="Normal 4 4 2 18" xfId="29135"/>
    <cellStyle name="Normal 4 4 2 2" xfId="479"/>
    <cellStyle name="Normal 4 4 2 2 2" xfId="2230"/>
    <cellStyle name="Normal 4 4 2 2 2 2" xfId="5117"/>
    <cellStyle name="Normal 4 4 2 2 2 2 2" xfId="11158"/>
    <cellStyle name="Normal 4 4 2 2 2 2 2 2" xfId="28205"/>
    <cellStyle name="Normal 4 4 2 2 2 2 2 2 2" xfId="57066"/>
    <cellStyle name="Normal 4 4 2 2 2 2 2 3" xfId="40019"/>
    <cellStyle name="Normal 4 4 2 2 2 2 3" xfId="22227"/>
    <cellStyle name="Normal 4 4 2 2 2 2 3 2" xfId="51088"/>
    <cellStyle name="Normal 4 4 2 2 2 2 4" xfId="33978"/>
    <cellStyle name="Normal 4 4 2 2 2 3" xfId="8272"/>
    <cellStyle name="Normal 4 4 2 2 2 3 2" xfId="25319"/>
    <cellStyle name="Normal 4 4 2 2 2 3 2 2" xfId="54180"/>
    <cellStyle name="Normal 4 4 2 2 2 3 3" xfId="37133"/>
    <cellStyle name="Normal 4 4 2 2 2 4" xfId="11941"/>
    <cellStyle name="Normal 4 4 2 2 2 4 2" xfId="19547"/>
    <cellStyle name="Normal 4 4 2 2 2 4 2 2" xfId="48408"/>
    <cellStyle name="Normal 4 4 2 2 2 4 3" xfId="40802"/>
    <cellStyle name="Normal 4 4 2 2 2 5" xfId="16867"/>
    <cellStyle name="Normal 4 4 2 2 2 5 2" xfId="45728"/>
    <cellStyle name="Normal 4 4 2 2 2 6" xfId="31092"/>
    <cellStyle name="Normal 4 4 2 2 3" xfId="3366"/>
    <cellStyle name="Normal 4 4 2 2 3 2" xfId="9407"/>
    <cellStyle name="Normal 4 4 2 2 3 2 2" xfId="26454"/>
    <cellStyle name="Normal 4 4 2 2 3 2 2 2" xfId="55315"/>
    <cellStyle name="Normal 4 4 2 2 3 2 3" xfId="38268"/>
    <cellStyle name="Normal 4 4 2 2 3 3" xfId="20476"/>
    <cellStyle name="Normal 4 4 2 2 3 3 2" xfId="49337"/>
    <cellStyle name="Normal 4 4 2 2 3 4" xfId="32227"/>
    <cellStyle name="Normal 4 4 2 2 4" xfId="6521"/>
    <cellStyle name="Normal 4 4 2 2 4 2" xfId="23568"/>
    <cellStyle name="Normal 4 4 2 2 4 2 2" xfId="52429"/>
    <cellStyle name="Normal 4 4 2 2 4 3" xfId="35382"/>
    <cellStyle name="Normal 4 4 2 2 5" xfId="12989"/>
    <cellStyle name="Normal 4 4 2 2 5 2" xfId="17796"/>
    <cellStyle name="Normal 4 4 2 2 5 2 2" xfId="46657"/>
    <cellStyle name="Normal 4 4 2 2 5 3" xfId="41850"/>
    <cellStyle name="Normal 4 4 2 2 6" xfId="15116"/>
    <cellStyle name="Normal 4 4 2 2 6 2" xfId="43977"/>
    <cellStyle name="Normal 4 4 2 2 7" xfId="29341"/>
    <cellStyle name="Normal 4 4 2 3" xfId="788"/>
    <cellStyle name="Normal 4 4 2 3 2" xfId="3675"/>
    <cellStyle name="Normal 4 4 2 3 2 2" xfId="9716"/>
    <cellStyle name="Normal 4 4 2 3 2 2 2" xfId="26763"/>
    <cellStyle name="Normal 4 4 2 3 2 2 2 2" xfId="55624"/>
    <cellStyle name="Normal 4 4 2 3 2 2 3" xfId="38577"/>
    <cellStyle name="Normal 4 4 2 3 2 3" xfId="20785"/>
    <cellStyle name="Normal 4 4 2 3 2 3 2" xfId="49646"/>
    <cellStyle name="Normal 4 4 2 3 2 4" xfId="32536"/>
    <cellStyle name="Normal 4 4 2 3 3" xfId="6830"/>
    <cellStyle name="Normal 4 4 2 3 3 2" xfId="23877"/>
    <cellStyle name="Normal 4 4 2 3 3 2 2" xfId="52738"/>
    <cellStyle name="Normal 4 4 2 3 3 3" xfId="35691"/>
    <cellStyle name="Normal 4 4 2 3 4" xfId="14062"/>
    <cellStyle name="Normal 4 4 2 3 4 2" xfId="18105"/>
    <cellStyle name="Normal 4 4 2 3 4 2 2" xfId="46966"/>
    <cellStyle name="Normal 4 4 2 3 4 3" xfId="42923"/>
    <cellStyle name="Normal 4 4 2 3 5" xfId="15425"/>
    <cellStyle name="Normal 4 4 2 3 5 2" xfId="44286"/>
    <cellStyle name="Normal 4 4 2 3 6" xfId="29650"/>
    <cellStyle name="Normal 4 4 2 4" xfId="994"/>
    <cellStyle name="Normal 4 4 2 4 2" xfId="3881"/>
    <cellStyle name="Normal 4 4 2 4 2 2" xfId="9922"/>
    <cellStyle name="Normal 4 4 2 4 2 2 2" xfId="26969"/>
    <cellStyle name="Normal 4 4 2 4 2 2 2 2" xfId="55830"/>
    <cellStyle name="Normal 4 4 2 4 2 2 3" xfId="38783"/>
    <cellStyle name="Normal 4 4 2 4 2 3" xfId="20991"/>
    <cellStyle name="Normal 4 4 2 4 2 3 2" xfId="49852"/>
    <cellStyle name="Normal 4 4 2 4 2 4" xfId="32742"/>
    <cellStyle name="Normal 4 4 2 4 3" xfId="7036"/>
    <cellStyle name="Normal 4 4 2 4 3 2" xfId="24083"/>
    <cellStyle name="Normal 4 4 2 4 3 2 2" xfId="52944"/>
    <cellStyle name="Normal 4 4 2 4 3 3" xfId="35897"/>
    <cellStyle name="Normal 4 4 2 4 4" xfId="12768"/>
    <cellStyle name="Normal 4 4 2 4 4 2" xfId="18311"/>
    <cellStyle name="Normal 4 4 2 4 4 2 2" xfId="47172"/>
    <cellStyle name="Normal 4 4 2 4 4 3" xfId="41629"/>
    <cellStyle name="Normal 4 4 2 4 5" xfId="15631"/>
    <cellStyle name="Normal 4 4 2 4 5 2" xfId="44492"/>
    <cellStyle name="Normal 4 4 2 4 6" xfId="29856"/>
    <cellStyle name="Normal 4 4 2 5" xfId="1200"/>
    <cellStyle name="Normal 4 4 2 5 2" xfId="4087"/>
    <cellStyle name="Normal 4 4 2 5 2 2" xfId="10128"/>
    <cellStyle name="Normal 4 4 2 5 2 2 2" xfId="27175"/>
    <cellStyle name="Normal 4 4 2 5 2 2 2 2" xfId="56036"/>
    <cellStyle name="Normal 4 4 2 5 2 2 3" xfId="38989"/>
    <cellStyle name="Normal 4 4 2 5 2 3" xfId="21197"/>
    <cellStyle name="Normal 4 4 2 5 2 3 2" xfId="50058"/>
    <cellStyle name="Normal 4 4 2 5 2 4" xfId="32948"/>
    <cellStyle name="Normal 4 4 2 5 3" xfId="7242"/>
    <cellStyle name="Normal 4 4 2 5 3 2" xfId="24289"/>
    <cellStyle name="Normal 4 4 2 5 3 2 2" xfId="53150"/>
    <cellStyle name="Normal 4 4 2 5 3 3" xfId="36103"/>
    <cellStyle name="Normal 4 4 2 5 4" xfId="14379"/>
    <cellStyle name="Normal 4 4 2 5 4 2" xfId="18517"/>
    <cellStyle name="Normal 4 4 2 5 4 2 2" xfId="47378"/>
    <cellStyle name="Normal 4 4 2 5 4 3" xfId="43240"/>
    <cellStyle name="Normal 4 4 2 5 5" xfId="15837"/>
    <cellStyle name="Normal 4 4 2 5 5 2" xfId="44698"/>
    <cellStyle name="Normal 4 4 2 5 6" xfId="30062"/>
    <cellStyle name="Normal 4 4 2 6" xfId="1406"/>
    <cellStyle name="Normal 4 4 2 6 2" xfId="4293"/>
    <cellStyle name="Normal 4 4 2 6 2 2" xfId="10334"/>
    <cellStyle name="Normal 4 4 2 6 2 2 2" xfId="27381"/>
    <cellStyle name="Normal 4 4 2 6 2 2 2 2" xfId="56242"/>
    <cellStyle name="Normal 4 4 2 6 2 2 3" xfId="39195"/>
    <cellStyle name="Normal 4 4 2 6 2 3" xfId="21403"/>
    <cellStyle name="Normal 4 4 2 6 2 3 2" xfId="50264"/>
    <cellStyle name="Normal 4 4 2 6 2 4" xfId="33154"/>
    <cellStyle name="Normal 4 4 2 6 3" xfId="7448"/>
    <cellStyle name="Normal 4 4 2 6 3 2" xfId="24495"/>
    <cellStyle name="Normal 4 4 2 6 3 2 2" xfId="53356"/>
    <cellStyle name="Normal 4 4 2 6 3 3" xfId="36309"/>
    <cellStyle name="Normal 4 4 2 6 4" xfId="14092"/>
    <cellStyle name="Normal 4 4 2 6 4 2" xfId="18723"/>
    <cellStyle name="Normal 4 4 2 6 4 2 2" xfId="47584"/>
    <cellStyle name="Normal 4 4 2 6 4 3" xfId="42953"/>
    <cellStyle name="Normal 4 4 2 6 5" xfId="16043"/>
    <cellStyle name="Normal 4 4 2 6 5 2" xfId="44904"/>
    <cellStyle name="Normal 4 4 2 6 6" xfId="30268"/>
    <cellStyle name="Normal 4 4 2 7" xfId="1612"/>
    <cellStyle name="Normal 4 4 2 7 2" xfId="4499"/>
    <cellStyle name="Normal 4 4 2 7 2 2" xfId="10540"/>
    <cellStyle name="Normal 4 4 2 7 2 2 2" xfId="27587"/>
    <cellStyle name="Normal 4 4 2 7 2 2 2 2" xfId="56448"/>
    <cellStyle name="Normal 4 4 2 7 2 2 3" xfId="39401"/>
    <cellStyle name="Normal 4 4 2 7 2 3" xfId="21609"/>
    <cellStyle name="Normal 4 4 2 7 2 3 2" xfId="50470"/>
    <cellStyle name="Normal 4 4 2 7 2 4" xfId="33360"/>
    <cellStyle name="Normal 4 4 2 7 3" xfId="7654"/>
    <cellStyle name="Normal 4 4 2 7 3 2" xfId="24701"/>
    <cellStyle name="Normal 4 4 2 7 3 2 2" xfId="53562"/>
    <cellStyle name="Normal 4 4 2 7 3 3" xfId="36515"/>
    <cellStyle name="Normal 4 4 2 7 4" xfId="12317"/>
    <cellStyle name="Normal 4 4 2 7 4 2" xfId="18929"/>
    <cellStyle name="Normal 4 4 2 7 4 2 2" xfId="47790"/>
    <cellStyle name="Normal 4 4 2 7 4 3" xfId="41178"/>
    <cellStyle name="Normal 4 4 2 7 5" xfId="16249"/>
    <cellStyle name="Normal 4 4 2 7 5 2" xfId="45110"/>
    <cellStyle name="Normal 4 4 2 7 6" xfId="30474"/>
    <cellStyle name="Normal 4 4 2 8" xfId="1818"/>
    <cellStyle name="Normal 4 4 2 8 2" xfId="4705"/>
    <cellStyle name="Normal 4 4 2 8 2 2" xfId="10746"/>
    <cellStyle name="Normal 4 4 2 8 2 2 2" xfId="27793"/>
    <cellStyle name="Normal 4 4 2 8 2 2 2 2" xfId="56654"/>
    <cellStyle name="Normal 4 4 2 8 2 2 3" xfId="39607"/>
    <cellStyle name="Normal 4 4 2 8 2 3" xfId="21815"/>
    <cellStyle name="Normal 4 4 2 8 2 3 2" xfId="50676"/>
    <cellStyle name="Normal 4 4 2 8 2 4" xfId="33566"/>
    <cellStyle name="Normal 4 4 2 8 3" xfId="7860"/>
    <cellStyle name="Normal 4 4 2 8 3 2" xfId="24907"/>
    <cellStyle name="Normal 4 4 2 8 3 2 2" xfId="53768"/>
    <cellStyle name="Normal 4 4 2 8 3 3" xfId="36721"/>
    <cellStyle name="Normal 4 4 2 8 4" xfId="6072"/>
    <cellStyle name="Normal 4 4 2 8 4 2" xfId="19135"/>
    <cellStyle name="Normal 4 4 2 8 4 2 2" xfId="47996"/>
    <cellStyle name="Normal 4 4 2 8 4 3" xfId="34933"/>
    <cellStyle name="Normal 4 4 2 8 5" xfId="16455"/>
    <cellStyle name="Normal 4 4 2 8 5 2" xfId="45316"/>
    <cellStyle name="Normal 4 4 2 8 6" xfId="30680"/>
    <cellStyle name="Normal 4 4 2 9" xfId="2024"/>
    <cellStyle name="Normal 4 4 2 9 2" xfId="4911"/>
    <cellStyle name="Normal 4 4 2 9 2 2" xfId="10952"/>
    <cellStyle name="Normal 4 4 2 9 2 2 2" xfId="27999"/>
    <cellStyle name="Normal 4 4 2 9 2 2 2 2" xfId="56860"/>
    <cellStyle name="Normal 4 4 2 9 2 2 3" xfId="39813"/>
    <cellStyle name="Normal 4 4 2 9 2 3" xfId="22021"/>
    <cellStyle name="Normal 4 4 2 9 2 3 2" xfId="50882"/>
    <cellStyle name="Normal 4 4 2 9 2 4" xfId="33772"/>
    <cellStyle name="Normal 4 4 2 9 3" xfId="8066"/>
    <cellStyle name="Normal 4 4 2 9 3 2" xfId="25113"/>
    <cellStyle name="Normal 4 4 2 9 3 2 2" xfId="53974"/>
    <cellStyle name="Normal 4 4 2 9 3 3" xfId="36927"/>
    <cellStyle name="Normal 4 4 2 9 4" xfId="12555"/>
    <cellStyle name="Normal 4 4 2 9 4 2" xfId="19341"/>
    <cellStyle name="Normal 4 4 2 9 4 2 2" xfId="48202"/>
    <cellStyle name="Normal 4 4 2 9 4 3" xfId="41416"/>
    <cellStyle name="Normal 4 4 2 9 5" xfId="16661"/>
    <cellStyle name="Normal 4 4 2 9 5 2" xfId="45522"/>
    <cellStyle name="Normal 4 4 2 9 6" xfId="30886"/>
    <cellStyle name="Normal 4 4 20" xfId="28929"/>
    <cellStyle name="Normal 4 4 3" xfId="170"/>
    <cellStyle name="Normal 4 4 3 2" xfId="582"/>
    <cellStyle name="Normal 4 4 3 2 2" xfId="3469"/>
    <cellStyle name="Normal 4 4 3 2 2 2" xfId="9510"/>
    <cellStyle name="Normal 4 4 3 2 2 2 2" xfId="26557"/>
    <cellStyle name="Normal 4 4 3 2 2 2 2 2" xfId="55418"/>
    <cellStyle name="Normal 4 4 3 2 2 2 3" xfId="38371"/>
    <cellStyle name="Normal 4 4 3 2 2 3" xfId="20579"/>
    <cellStyle name="Normal 4 4 3 2 2 3 2" xfId="49440"/>
    <cellStyle name="Normal 4 4 3 2 2 4" xfId="32330"/>
    <cellStyle name="Normal 4 4 3 2 3" xfId="6624"/>
    <cellStyle name="Normal 4 4 3 2 3 2" xfId="23671"/>
    <cellStyle name="Normal 4 4 3 2 3 2 2" xfId="52532"/>
    <cellStyle name="Normal 4 4 3 2 3 3" xfId="35485"/>
    <cellStyle name="Normal 4 4 3 2 4" xfId="13170"/>
    <cellStyle name="Normal 4 4 3 2 4 2" xfId="17899"/>
    <cellStyle name="Normal 4 4 3 2 4 2 2" xfId="46760"/>
    <cellStyle name="Normal 4 4 3 2 4 3" xfId="42031"/>
    <cellStyle name="Normal 4 4 3 2 5" xfId="15219"/>
    <cellStyle name="Normal 4 4 3 2 5 2" xfId="44080"/>
    <cellStyle name="Normal 4 4 3 2 6" xfId="29444"/>
    <cellStyle name="Normal 4 4 3 3" xfId="2127"/>
    <cellStyle name="Normal 4 4 3 3 2" xfId="5014"/>
    <cellStyle name="Normal 4 4 3 3 2 2" xfId="11055"/>
    <cellStyle name="Normal 4 4 3 3 2 2 2" xfId="28102"/>
    <cellStyle name="Normal 4 4 3 3 2 2 2 2" xfId="56963"/>
    <cellStyle name="Normal 4 4 3 3 2 2 3" xfId="39916"/>
    <cellStyle name="Normal 4 4 3 3 2 3" xfId="22124"/>
    <cellStyle name="Normal 4 4 3 3 2 3 2" xfId="50985"/>
    <cellStyle name="Normal 4 4 3 3 2 4" xfId="33875"/>
    <cellStyle name="Normal 4 4 3 3 3" xfId="8169"/>
    <cellStyle name="Normal 4 4 3 3 3 2" xfId="25216"/>
    <cellStyle name="Normal 4 4 3 3 3 2 2" xfId="54077"/>
    <cellStyle name="Normal 4 4 3 3 3 3" xfId="37030"/>
    <cellStyle name="Normal 4 4 3 3 4" xfId="13990"/>
    <cellStyle name="Normal 4 4 3 3 4 2" xfId="19444"/>
    <cellStyle name="Normal 4 4 3 3 4 2 2" xfId="48305"/>
    <cellStyle name="Normal 4 4 3 3 4 3" xfId="42851"/>
    <cellStyle name="Normal 4 4 3 3 5" xfId="16764"/>
    <cellStyle name="Normal 4 4 3 3 5 2" xfId="45625"/>
    <cellStyle name="Normal 4 4 3 3 6" xfId="30989"/>
    <cellStyle name="Normal 4 4 3 4" xfId="3057"/>
    <cellStyle name="Normal 4 4 3 4 2" xfId="9098"/>
    <cellStyle name="Normal 4 4 3 4 2 2" xfId="26145"/>
    <cellStyle name="Normal 4 4 3 4 2 2 2" xfId="55006"/>
    <cellStyle name="Normal 4 4 3 4 2 3" xfId="37959"/>
    <cellStyle name="Normal 4 4 3 4 3" xfId="20167"/>
    <cellStyle name="Normal 4 4 3 4 3 2" xfId="49028"/>
    <cellStyle name="Normal 4 4 3 4 4" xfId="31918"/>
    <cellStyle name="Normal 4 4 3 5" xfId="6212"/>
    <cellStyle name="Normal 4 4 3 5 2" xfId="23259"/>
    <cellStyle name="Normal 4 4 3 5 2 2" xfId="52120"/>
    <cellStyle name="Normal 4 4 3 5 3" xfId="35073"/>
    <cellStyle name="Normal 4 4 3 6" xfId="11883"/>
    <cellStyle name="Normal 4 4 3 6 2" xfId="17590"/>
    <cellStyle name="Normal 4 4 3 6 2 2" xfId="46451"/>
    <cellStyle name="Normal 4 4 3 6 3" xfId="40744"/>
    <cellStyle name="Normal 4 4 3 7" xfId="14807"/>
    <cellStyle name="Normal 4 4 3 7 2" xfId="43668"/>
    <cellStyle name="Normal 4 4 3 8" xfId="29032"/>
    <cellStyle name="Normal 4 4 4" xfId="376"/>
    <cellStyle name="Normal 4 4 4 2" xfId="3263"/>
    <cellStyle name="Normal 4 4 4 2 2" xfId="9304"/>
    <cellStyle name="Normal 4 4 4 2 2 2" xfId="26351"/>
    <cellStyle name="Normal 4 4 4 2 2 2 2" xfId="55212"/>
    <cellStyle name="Normal 4 4 4 2 2 3" xfId="38165"/>
    <cellStyle name="Normal 4 4 4 2 3" xfId="20373"/>
    <cellStyle name="Normal 4 4 4 2 3 2" xfId="49234"/>
    <cellStyle name="Normal 4 4 4 2 4" xfId="32124"/>
    <cellStyle name="Normal 4 4 4 3" xfId="6418"/>
    <cellStyle name="Normal 4 4 4 3 2" xfId="23465"/>
    <cellStyle name="Normal 4 4 4 3 2 2" xfId="52326"/>
    <cellStyle name="Normal 4 4 4 3 3" xfId="35279"/>
    <cellStyle name="Normal 4 4 4 4" xfId="13840"/>
    <cellStyle name="Normal 4 4 4 4 2" xfId="17693"/>
    <cellStyle name="Normal 4 4 4 4 2 2" xfId="46554"/>
    <cellStyle name="Normal 4 4 4 4 3" xfId="42701"/>
    <cellStyle name="Normal 4 4 4 5" xfId="15013"/>
    <cellStyle name="Normal 4 4 4 5 2" xfId="43874"/>
    <cellStyle name="Normal 4 4 4 6" xfId="29238"/>
    <cellStyle name="Normal 4 4 5" xfId="685"/>
    <cellStyle name="Normal 4 4 5 2" xfId="3572"/>
    <cellStyle name="Normal 4 4 5 2 2" xfId="9613"/>
    <cellStyle name="Normal 4 4 5 2 2 2" xfId="26660"/>
    <cellStyle name="Normal 4 4 5 2 2 2 2" xfId="55521"/>
    <cellStyle name="Normal 4 4 5 2 2 3" xfId="38474"/>
    <cellStyle name="Normal 4 4 5 2 3" xfId="20682"/>
    <cellStyle name="Normal 4 4 5 2 3 2" xfId="49543"/>
    <cellStyle name="Normal 4 4 5 2 4" xfId="32433"/>
    <cellStyle name="Normal 4 4 5 3" xfId="6727"/>
    <cellStyle name="Normal 4 4 5 3 2" xfId="23774"/>
    <cellStyle name="Normal 4 4 5 3 2 2" xfId="52635"/>
    <cellStyle name="Normal 4 4 5 3 3" xfId="35588"/>
    <cellStyle name="Normal 4 4 5 4" xfId="14459"/>
    <cellStyle name="Normal 4 4 5 4 2" xfId="18002"/>
    <cellStyle name="Normal 4 4 5 4 2 2" xfId="46863"/>
    <cellStyle name="Normal 4 4 5 4 3" xfId="43320"/>
    <cellStyle name="Normal 4 4 5 5" xfId="15322"/>
    <cellStyle name="Normal 4 4 5 5 2" xfId="44183"/>
    <cellStyle name="Normal 4 4 5 6" xfId="29547"/>
    <cellStyle name="Normal 4 4 6" xfId="891"/>
    <cellStyle name="Normal 4 4 6 2" xfId="3778"/>
    <cellStyle name="Normal 4 4 6 2 2" xfId="9819"/>
    <cellStyle name="Normal 4 4 6 2 2 2" xfId="26866"/>
    <cellStyle name="Normal 4 4 6 2 2 2 2" xfId="55727"/>
    <cellStyle name="Normal 4 4 6 2 2 3" xfId="38680"/>
    <cellStyle name="Normal 4 4 6 2 3" xfId="20888"/>
    <cellStyle name="Normal 4 4 6 2 3 2" xfId="49749"/>
    <cellStyle name="Normal 4 4 6 2 4" xfId="32639"/>
    <cellStyle name="Normal 4 4 6 3" xfId="6933"/>
    <cellStyle name="Normal 4 4 6 3 2" xfId="23980"/>
    <cellStyle name="Normal 4 4 6 3 2 2" xfId="52841"/>
    <cellStyle name="Normal 4 4 6 3 3" xfId="35794"/>
    <cellStyle name="Normal 4 4 6 4" xfId="12119"/>
    <cellStyle name="Normal 4 4 6 4 2" xfId="18208"/>
    <cellStyle name="Normal 4 4 6 4 2 2" xfId="47069"/>
    <cellStyle name="Normal 4 4 6 4 3" xfId="40980"/>
    <cellStyle name="Normal 4 4 6 5" xfId="15528"/>
    <cellStyle name="Normal 4 4 6 5 2" xfId="44389"/>
    <cellStyle name="Normal 4 4 6 6" xfId="29753"/>
    <cellStyle name="Normal 4 4 7" xfId="1097"/>
    <cellStyle name="Normal 4 4 7 2" xfId="3984"/>
    <cellStyle name="Normal 4 4 7 2 2" xfId="10025"/>
    <cellStyle name="Normal 4 4 7 2 2 2" xfId="27072"/>
    <cellStyle name="Normal 4 4 7 2 2 2 2" xfId="55933"/>
    <cellStyle name="Normal 4 4 7 2 2 3" xfId="38886"/>
    <cellStyle name="Normal 4 4 7 2 3" xfId="21094"/>
    <cellStyle name="Normal 4 4 7 2 3 2" xfId="49955"/>
    <cellStyle name="Normal 4 4 7 2 4" xfId="32845"/>
    <cellStyle name="Normal 4 4 7 3" xfId="7139"/>
    <cellStyle name="Normal 4 4 7 3 2" xfId="24186"/>
    <cellStyle name="Normal 4 4 7 3 2 2" xfId="53047"/>
    <cellStyle name="Normal 4 4 7 3 3" xfId="36000"/>
    <cellStyle name="Normal 4 4 7 4" xfId="13402"/>
    <cellStyle name="Normal 4 4 7 4 2" xfId="18414"/>
    <cellStyle name="Normal 4 4 7 4 2 2" xfId="47275"/>
    <cellStyle name="Normal 4 4 7 4 3" xfId="42263"/>
    <cellStyle name="Normal 4 4 7 5" xfId="15734"/>
    <cellStyle name="Normal 4 4 7 5 2" xfId="44595"/>
    <cellStyle name="Normal 4 4 7 6" xfId="29959"/>
    <cellStyle name="Normal 4 4 8" xfId="1303"/>
    <cellStyle name="Normal 4 4 8 2" xfId="4190"/>
    <cellStyle name="Normal 4 4 8 2 2" xfId="10231"/>
    <cellStyle name="Normal 4 4 8 2 2 2" xfId="27278"/>
    <cellStyle name="Normal 4 4 8 2 2 2 2" xfId="56139"/>
    <cellStyle name="Normal 4 4 8 2 2 3" xfId="39092"/>
    <cellStyle name="Normal 4 4 8 2 3" xfId="21300"/>
    <cellStyle name="Normal 4 4 8 2 3 2" xfId="50161"/>
    <cellStyle name="Normal 4 4 8 2 4" xfId="33051"/>
    <cellStyle name="Normal 4 4 8 3" xfId="7345"/>
    <cellStyle name="Normal 4 4 8 3 2" xfId="24392"/>
    <cellStyle name="Normal 4 4 8 3 2 2" xfId="53253"/>
    <cellStyle name="Normal 4 4 8 3 3" xfId="36206"/>
    <cellStyle name="Normal 4 4 8 4" xfId="13932"/>
    <cellStyle name="Normal 4 4 8 4 2" xfId="18620"/>
    <cellStyle name="Normal 4 4 8 4 2 2" xfId="47481"/>
    <cellStyle name="Normal 4 4 8 4 3" xfId="42793"/>
    <cellStyle name="Normal 4 4 8 5" xfId="15940"/>
    <cellStyle name="Normal 4 4 8 5 2" xfId="44801"/>
    <cellStyle name="Normal 4 4 8 6" xfId="30165"/>
    <cellStyle name="Normal 4 4 9" xfId="1509"/>
    <cellStyle name="Normal 4 4 9 2" xfId="4396"/>
    <cellStyle name="Normal 4 4 9 2 2" xfId="10437"/>
    <cellStyle name="Normal 4 4 9 2 2 2" xfId="27484"/>
    <cellStyle name="Normal 4 4 9 2 2 2 2" xfId="56345"/>
    <cellStyle name="Normal 4 4 9 2 2 3" xfId="39298"/>
    <cellStyle name="Normal 4 4 9 2 3" xfId="21506"/>
    <cellStyle name="Normal 4 4 9 2 3 2" xfId="50367"/>
    <cellStyle name="Normal 4 4 9 2 4" xfId="33257"/>
    <cellStyle name="Normal 4 4 9 3" xfId="7551"/>
    <cellStyle name="Normal 4 4 9 3 2" xfId="24598"/>
    <cellStyle name="Normal 4 4 9 3 2 2" xfId="53459"/>
    <cellStyle name="Normal 4 4 9 3 3" xfId="36412"/>
    <cellStyle name="Normal 4 4 9 4" xfId="13493"/>
    <cellStyle name="Normal 4 4 9 4 2" xfId="18826"/>
    <cellStyle name="Normal 4 4 9 4 2 2" xfId="47687"/>
    <cellStyle name="Normal 4 4 9 4 3" xfId="42354"/>
    <cellStyle name="Normal 4 4 9 5" xfId="16146"/>
    <cellStyle name="Normal 4 4 9 5 2" xfId="45007"/>
    <cellStyle name="Normal 4 4 9 6" xfId="30371"/>
    <cellStyle name="Normal 4 5" xfId="36"/>
    <cellStyle name="Normal 4 5 10" xfId="1716"/>
    <cellStyle name="Normal 4 5 10 2" xfId="4603"/>
    <cellStyle name="Normal 4 5 10 2 2" xfId="10644"/>
    <cellStyle name="Normal 4 5 10 2 2 2" xfId="27691"/>
    <cellStyle name="Normal 4 5 10 2 2 2 2" xfId="56552"/>
    <cellStyle name="Normal 4 5 10 2 2 3" xfId="39505"/>
    <cellStyle name="Normal 4 5 10 2 3" xfId="21713"/>
    <cellStyle name="Normal 4 5 10 2 3 2" xfId="50574"/>
    <cellStyle name="Normal 4 5 10 2 4" xfId="33464"/>
    <cellStyle name="Normal 4 5 10 3" xfId="7758"/>
    <cellStyle name="Normal 4 5 10 3 2" xfId="24805"/>
    <cellStyle name="Normal 4 5 10 3 2 2" xfId="53666"/>
    <cellStyle name="Normal 4 5 10 3 3" xfId="36619"/>
    <cellStyle name="Normal 4 5 10 4" xfId="14301"/>
    <cellStyle name="Normal 4 5 10 4 2" xfId="19033"/>
    <cellStyle name="Normal 4 5 10 4 2 2" xfId="47894"/>
    <cellStyle name="Normal 4 5 10 4 3" xfId="43162"/>
    <cellStyle name="Normal 4 5 10 5" xfId="16353"/>
    <cellStyle name="Normal 4 5 10 5 2" xfId="45214"/>
    <cellStyle name="Normal 4 5 10 6" xfId="30578"/>
    <cellStyle name="Normal 4 5 11" xfId="1922"/>
    <cellStyle name="Normal 4 5 11 2" xfId="4809"/>
    <cellStyle name="Normal 4 5 11 2 2" xfId="10850"/>
    <cellStyle name="Normal 4 5 11 2 2 2" xfId="27897"/>
    <cellStyle name="Normal 4 5 11 2 2 2 2" xfId="56758"/>
    <cellStyle name="Normal 4 5 11 2 2 3" xfId="39711"/>
    <cellStyle name="Normal 4 5 11 2 3" xfId="21919"/>
    <cellStyle name="Normal 4 5 11 2 3 2" xfId="50780"/>
    <cellStyle name="Normal 4 5 11 2 4" xfId="33670"/>
    <cellStyle name="Normal 4 5 11 3" xfId="7964"/>
    <cellStyle name="Normal 4 5 11 3 2" xfId="25011"/>
    <cellStyle name="Normal 4 5 11 3 2 2" xfId="53872"/>
    <cellStyle name="Normal 4 5 11 3 3" xfId="36825"/>
    <cellStyle name="Normal 4 5 11 4" xfId="11914"/>
    <cellStyle name="Normal 4 5 11 4 2" xfId="19239"/>
    <cellStyle name="Normal 4 5 11 4 2 2" xfId="48100"/>
    <cellStyle name="Normal 4 5 11 4 3" xfId="40775"/>
    <cellStyle name="Normal 4 5 11 5" xfId="16559"/>
    <cellStyle name="Normal 4 5 11 5 2" xfId="45420"/>
    <cellStyle name="Normal 4 5 11 6" xfId="30784"/>
    <cellStyle name="Normal 4 5 12" xfId="2334"/>
    <cellStyle name="Normal 4 5 12 2" xfId="5221"/>
    <cellStyle name="Normal 4 5 12 2 2" xfId="11262"/>
    <cellStyle name="Normal 4 5 12 2 2 2" xfId="28309"/>
    <cellStyle name="Normal 4 5 12 2 2 2 2" xfId="57170"/>
    <cellStyle name="Normal 4 5 12 2 2 3" xfId="40123"/>
    <cellStyle name="Normal 4 5 12 2 3" xfId="22331"/>
    <cellStyle name="Normal 4 5 12 2 3 2" xfId="51192"/>
    <cellStyle name="Normal 4 5 12 2 4" xfId="34082"/>
    <cellStyle name="Normal 4 5 12 3" xfId="8376"/>
    <cellStyle name="Normal 4 5 12 3 2" xfId="25423"/>
    <cellStyle name="Normal 4 5 12 3 2 2" xfId="54284"/>
    <cellStyle name="Normal 4 5 12 3 3" xfId="37237"/>
    <cellStyle name="Normal 4 5 12 4" xfId="11932"/>
    <cellStyle name="Normal 4 5 12 4 2" xfId="19651"/>
    <cellStyle name="Normal 4 5 12 4 2 2" xfId="48512"/>
    <cellStyle name="Normal 4 5 12 4 3" xfId="40793"/>
    <cellStyle name="Normal 4 5 12 5" xfId="16971"/>
    <cellStyle name="Normal 4 5 12 5 2" xfId="45832"/>
    <cellStyle name="Normal 4 5 12 6" xfId="31196"/>
    <cellStyle name="Normal 4 5 13" xfId="2543"/>
    <cellStyle name="Normal 4 5 13 2" xfId="5429"/>
    <cellStyle name="Normal 4 5 13 2 2" xfId="11470"/>
    <cellStyle name="Normal 4 5 13 2 2 2" xfId="28517"/>
    <cellStyle name="Normal 4 5 13 2 2 2 2" xfId="57378"/>
    <cellStyle name="Normal 4 5 13 2 2 3" xfId="40331"/>
    <cellStyle name="Normal 4 5 13 2 3" xfId="22539"/>
    <cellStyle name="Normal 4 5 13 2 3 2" xfId="51400"/>
    <cellStyle name="Normal 4 5 13 2 4" xfId="34290"/>
    <cellStyle name="Normal 4 5 13 3" xfId="8584"/>
    <cellStyle name="Normal 4 5 13 3 2" xfId="25631"/>
    <cellStyle name="Normal 4 5 13 3 2 2" xfId="54492"/>
    <cellStyle name="Normal 4 5 13 3 3" xfId="37445"/>
    <cellStyle name="Normal 4 5 13 4" xfId="12655"/>
    <cellStyle name="Normal 4 5 13 4 2" xfId="19859"/>
    <cellStyle name="Normal 4 5 13 4 2 2" xfId="48720"/>
    <cellStyle name="Normal 4 5 13 4 3" xfId="41516"/>
    <cellStyle name="Normal 4 5 13 5" xfId="17179"/>
    <cellStyle name="Normal 4 5 13 5 2" xfId="46040"/>
    <cellStyle name="Normal 4 5 13 6" xfId="31404"/>
    <cellStyle name="Normal 4 5 14" xfId="2955"/>
    <cellStyle name="Normal 4 5 14 2" xfId="8996"/>
    <cellStyle name="Normal 4 5 14 2 2" xfId="26043"/>
    <cellStyle name="Normal 4 5 14 2 2 2" xfId="54904"/>
    <cellStyle name="Normal 4 5 14 2 3" xfId="37857"/>
    <cellStyle name="Normal 4 5 14 3" xfId="14158"/>
    <cellStyle name="Normal 4 5 14 3 2" xfId="20065"/>
    <cellStyle name="Normal 4 5 14 3 2 2" xfId="48926"/>
    <cellStyle name="Normal 4 5 14 3 3" xfId="43019"/>
    <cellStyle name="Normal 4 5 14 4" xfId="14705"/>
    <cellStyle name="Normal 4 5 14 4 2" xfId="43566"/>
    <cellStyle name="Normal 4 5 14 5" xfId="31816"/>
    <cellStyle name="Normal 4 5 15" xfId="2749"/>
    <cellStyle name="Normal 4 5 15 2" xfId="8790"/>
    <cellStyle name="Normal 4 5 15 2 2" xfId="25837"/>
    <cellStyle name="Normal 4 5 15 2 2 2" xfId="54698"/>
    <cellStyle name="Normal 4 5 15 2 3" xfId="37651"/>
    <cellStyle name="Normal 4 5 15 3" xfId="17385"/>
    <cellStyle name="Normal 4 5 15 3 2" xfId="46246"/>
    <cellStyle name="Normal 4 5 15 4" xfId="31610"/>
    <cellStyle name="Normal 4 5 16" xfId="5635"/>
    <cellStyle name="Normal 4 5 16 2" xfId="11676"/>
    <cellStyle name="Normal 4 5 16 2 2" xfId="28723"/>
    <cellStyle name="Normal 4 5 16 2 2 2" xfId="57584"/>
    <cellStyle name="Normal 4 5 16 2 3" xfId="40537"/>
    <cellStyle name="Normal 4 5 16 3" xfId="22745"/>
    <cellStyle name="Normal 4 5 16 3 2" xfId="51606"/>
    <cellStyle name="Normal 4 5 16 4" xfId="34496"/>
    <cellStyle name="Normal 4 5 17" xfId="5846"/>
    <cellStyle name="Normal 4 5 17 2" xfId="22951"/>
    <cellStyle name="Normal 4 5 17 2 2" xfId="51812"/>
    <cellStyle name="Normal 4 5 17 3" xfId="34707"/>
    <cellStyle name="Normal 4 5 18" xfId="6110"/>
    <cellStyle name="Normal 4 5 18 2" xfId="23157"/>
    <cellStyle name="Normal 4 5 18 2 2" xfId="52018"/>
    <cellStyle name="Normal 4 5 18 3" xfId="34971"/>
    <cellStyle name="Normal 4 5 19" xfId="14499"/>
    <cellStyle name="Normal 4 5 19 2" xfId="43360"/>
    <cellStyle name="Normal 4 5 2" xfId="274"/>
    <cellStyle name="Normal 4 5 2 10" xfId="2437"/>
    <cellStyle name="Normal 4 5 2 10 2" xfId="5324"/>
    <cellStyle name="Normal 4 5 2 10 2 2" xfId="11365"/>
    <cellStyle name="Normal 4 5 2 10 2 2 2" xfId="28412"/>
    <cellStyle name="Normal 4 5 2 10 2 2 2 2" xfId="57273"/>
    <cellStyle name="Normal 4 5 2 10 2 2 3" xfId="40226"/>
    <cellStyle name="Normal 4 5 2 10 2 3" xfId="22434"/>
    <cellStyle name="Normal 4 5 2 10 2 3 2" xfId="51295"/>
    <cellStyle name="Normal 4 5 2 10 2 4" xfId="34185"/>
    <cellStyle name="Normal 4 5 2 10 3" xfId="8479"/>
    <cellStyle name="Normal 4 5 2 10 3 2" xfId="25526"/>
    <cellStyle name="Normal 4 5 2 10 3 2 2" xfId="54387"/>
    <cellStyle name="Normal 4 5 2 10 3 3" xfId="37340"/>
    <cellStyle name="Normal 4 5 2 10 4" xfId="12541"/>
    <cellStyle name="Normal 4 5 2 10 4 2" xfId="19754"/>
    <cellStyle name="Normal 4 5 2 10 4 2 2" xfId="48615"/>
    <cellStyle name="Normal 4 5 2 10 4 3" xfId="41402"/>
    <cellStyle name="Normal 4 5 2 10 5" xfId="17074"/>
    <cellStyle name="Normal 4 5 2 10 5 2" xfId="45935"/>
    <cellStyle name="Normal 4 5 2 10 6" xfId="31299"/>
    <cellStyle name="Normal 4 5 2 11" xfId="2646"/>
    <cellStyle name="Normal 4 5 2 11 2" xfId="5532"/>
    <cellStyle name="Normal 4 5 2 11 2 2" xfId="11573"/>
    <cellStyle name="Normal 4 5 2 11 2 2 2" xfId="28620"/>
    <cellStyle name="Normal 4 5 2 11 2 2 2 2" xfId="57481"/>
    <cellStyle name="Normal 4 5 2 11 2 2 3" xfId="40434"/>
    <cellStyle name="Normal 4 5 2 11 2 3" xfId="22642"/>
    <cellStyle name="Normal 4 5 2 11 2 3 2" xfId="51503"/>
    <cellStyle name="Normal 4 5 2 11 2 4" xfId="34393"/>
    <cellStyle name="Normal 4 5 2 11 3" xfId="8687"/>
    <cellStyle name="Normal 4 5 2 11 3 2" xfId="25734"/>
    <cellStyle name="Normal 4 5 2 11 3 2 2" xfId="54595"/>
    <cellStyle name="Normal 4 5 2 11 3 3" xfId="37548"/>
    <cellStyle name="Normal 4 5 2 11 4" xfId="13144"/>
    <cellStyle name="Normal 4 5 2 11 4 2" xfId="19962"/>
    <cellStyle name="Normal 4 5 2 11 4 2 2" xfId="48823"/>
    <cellStyle name="Normal 4 5 2 11 4 3" xfId="42005"/>
    <cellStyle name="Normal 4 5 2 11 5" xfId="17282"/>
    <cellStyle name="Normal 4 5 2 11 5 2" xfId="46143"/>
    <cellStyle name="Normal 4 5 2 11 6" xfId="31507"/>
    <cellStyle name="Normal 4 5 2 12" xfId="3161"/>
    <cellStyle name="Normal 4 5 2 12 2" xfId="9202"/>
    <cellStyle name="Normal 4 5 2 12 2 2" xfId="26249"/>
    <cellStyle name="Normal 4 5 2 12 2 2 2" xfId="55110"/>
    <cellStyle name="Normal 4 5 2 12 2 3" xfId="38063"/>
    <cellStyle name="Normal 4 5 2 12 3" xfId="12164"/>
    <cellStyle name="Normal 4 5 2 12 3 2" xfId="20271"/>
    <cellStyle name="Normal 4 5 2 12 3 2 2" xfId="49132"/>
    <cellStyle name="Normal 4 5 2 12 3 3" xfId="41025"/>
    <cellStyle name="Normal 4 5 2 12 4" xfId="14911"/>
    <cellStyle name="Normal 4 5 2 12 4 2" xfId="43772"/>
    <cellStyle name="Normal 4 5 2 12 5" xfId="32022"/>
    <cellStyle name="Normal 4 5 2 13" xfId="2852"/>
    <cellStyle name="Normal 4 5 2 13 2" xfId="8893"/>
    <cellStyle name="Normal 4 5 2 13 2 2" xfId="25940"/>
    <cellStyle name="Normal 4 5 2 13 2 2 2" xfId="54801"/>
    <cellStyle name="Normal 4 5 2 13 2 3" xfId="37754"/>
    <cellStyle name="Normal 4 5 2 13 3" xfId="17488"/>
    <cellStyle name="Normal 4 5 2 13 3 2" xfId="46349"/>
    <cellStyle name="Normal 4 5 2 13 4" xfId="31713"/>
    <cellStyle name="Normal 4 5 2 14" xfId="5738"/>
    <cellStyle name="Normal 4 5 2 14 2" xfId="11779"/>
    <cellStyle name="Normal 4 5 2 14 2 2" xfId="28826"/>
    <cellStyle name="Normal 4 5 2 14 2 2 2" xfId="57687"/>
    <cellStyle name="Normal 4 5 2 14 2 3" xfId="40640"/>
    <cellStyle name="Normal 4 5 2 14 3" xfId="22848"/>
    <cellStyle name="Normal 4 5 2 14 3 2" xfId="51709"/>
    <cellStyle name="Normal 4 5 2 14 4" xfId="34599"/>
    <cellStyle name="Normal 4 5 2 15" xfId="5955"/>
    <cellStyle name="Normal 4 5 2 15 2" xfId="23054"/>
    <cellStyle name="Normal 4 5 2 15 2 2" xfId="51915"/>
    <cellStyle name="Normal 4 5 2 15 3" xfId="34816"/>
    <cellStyle name="Normal 4 5 2 16" xfId="6316"/>
    <cellStyle name="Normal 4 5 2 16 2" xfId="23363"/>
    <cellStyle name="Normal 4 5 2 16 2 2" xfId="52224"/>
    <cellStyle name="Normal 4 5 2 16 3" xfId="35177"/>
    <cellStyle name="Normal 4 5 2 17" xfId="14602"/>
    <cellStyle name="Normal 4 5 2 17 2" xfId="43463"/>
    <cellStyle name="Normal 4 5 2 18" xfId="29136"/>
    <cellStyle name="Normal 4 5 2 2" xfId="480"/>
    <cellStyle name="Normal 4 5 2 2 2" xfId="2231"/>
    <cellStyle name="Normal 4 5 2 2 2 2" xfId="5118"/>
    <cellStyle name="Normal 4 5 2 2 2 2 2" xfId="11159"/>
    <cellStyle name="Normal 4 5 2 2 2 2 2 2" xfId="28206"/>
    <cellStyle name="Normal 4 5 2 2 2 2 2 2 2" xfId="57067"/>
    <cellStyle name="Normal 4 5 2 2 2 2 2 3" xfId="40020"/>
    <cellStyle name="Normal 4 5 2 2 2 2 3" xfId="22228"/>
    <cellStyle name="Normal 4 5 2 2 2 2 3 2" xfId="51089"/>
    <cellStyle name="Normal 4 5 2 2 2 2 4" xfId="33979"/>
    <cellStyle name="Normal 4 5 2 2 2 3" xfId="8273"/>
    <cellStyle name="Normal 4 5 2 2 2 3 2" xfId="25320"/>
    <cellStyle name="Normal 4 5 2 2 2 3 2 2" xfId="54181"/>
    <cellStyle name="Normal 4 5 2 2 2 3 3" xfId="37134"/>
    <cellStyle name="Normal 4 5 2 2 2 4" xfId="14137"/>
    <cellStyle name="Normal 4 5 2 2 2 4 2" xfId="19548"/>
    <cellStyle name="Normal 4 5 2 2 2 4 2 2" xfId="48409"/>
    <cellStyle name="Normal 4 5 2 2 2 4 3" xfId="42998"/>
    <cellStyle name="Normal 4 5 2 2 2 5" xfId="16868"/>
    <cellStyle name="Normal 4 5 2 2 2 5 2" xfId="45729"/>
    <cellStyle name="Normal 4 5 2 2 2 6" xfId="31093"/>
    <cellStyle name="Normal 4 5 2 2 3" xfId="3367"/>
    <cellStyle name="Normal 4 5 2 2 3 2" xfId="9408"/>
    <cellStyle name="Normal 4 5 2 2 3 2 2" xfId="26455"/>
    <cellStyle name="Normal 4 5 2 2 3 2 2 2" xfId="55316"/>
    <cellStyle name="Normal 4 5 2 2 3 2 3" xfId="38269"/>
    <cellStyle name="Normal 4 5 2 2 3 3" xfId="20477"/>
    <cellStyle name="Normal 4 5 2 2 3 3 2" xfId="49338"/>
    <cellStyle name="Normal 4 5 2 2 3 4" xfId="32228"/>
    <cellStyle name="Normal 4 5 2 2 4" xfId="6522"/>
    <cellStyle name="Normal 4 5 2 2 4 2" xfId="23569"/>
    <cellStyle name="Normal 4 5 2 2 4 2 2" xfId="52430"/>
    <cellStyle name="Normal 4 5 2 2 4 3" xfId="35383"/>
    <cellStyle name="Normal 4 5 2 2 5" xfId="13408"/>
    <cellStyle name="Normal 4 5 2 2 5 2" xfId="17797"/>
    <cellStyle name="Normal 4 5 2 2 5 2 2" xfId="46658"/>
    <cellStyle name="Normal 4 5 2 2 5 3" xfId="42269"/>
    <cellStyle name="Normal 4 5 2 2 6" xfId="15117"/>
    <cellStyle name="Normal 4 5 2 2 6 2" xfId="43978"/>
    <cellStyle name="Normal 4 5 2 2 7" xfId="29342"/>
    <cellStyle name="Normal 4 5 2 3" xfId="789"/>
    <cellStyle name="Normal 4 5 2 3 2" xfId="3676"/>
    <cellStyle name="Normal 4 5 2 3 2 2" xfId="9717"/>
    <cellStyle name="Normal 4 5 2 3 2 2 2" xfId="26764"/>
    <cellStyle name="Normal 4 5 2 3 2 2 2 2" xfId="55625"/>
    <cellStyle name="Normal 4 5 2 3 2 2 3" xfId="38578"/>
    <cellStyle name="Normal 4 5 2 3 2 3" xfId="20786"/>
    <cellStyle name="Normal 4 5 2 3 2 3 2" xfId="49647"/>
    <cellStyle name="Normal 4 5 2 3 2 4" xfId="32537"/>
    <cellStyle name="Normal 4 5 2 3 3" xfId="6831"/>
    <cellStyle name="Normal 4 5 2 3 3 2" xfId="23878"/>
    <cellStyle name="Normal 4 5 2 3 3 2 2" xfId="52739"/>
    <cellStyle name="Normal 4 5 2 3 3 3" xfId="35692"/>
    <cellStyle name="Normal 4 5 2 3 4" xfId="14199"/>
    <cellStyle name="Normal 4 5 2 3 4 2" xfId="18106"/>
    <cellStyle name="Normal 4 5 2 3 4 2 2" xfId="46967"/>
    <cellStyle name="Normal 4 5 2 3 4 3" xfId="43060"/>
    <cellStyle name="Normal 4 5 2 3 5" xfId="15426"/>
    <cellStyle name="Normal 4 5 2 3 5 2" xfId="44287"/>
    <cellStyle name="Normal 4 5 2 3 6" xfId="29651"/>
    <cellStyle name="Normal 4 5 2 4" xfId="995"/>
    <cellStyle name="Normal 4 5 2 4 2" xfId="3882"/>
    <cellStyle name="Normal 4 5 2 4 2 2" xfId="9923"/>
    <cellStyle name="Normal 4 5 2 4 2 2 2" xfId="26970"/>
    <cellStyle name="Normal 4 5 2 4 2 2 2 2" xfId="55831"/>
    <cellStyle name="Normal 4 5 2 4 2 2 3" xfId="38784"/>
    <cellStyle name="Normal 4 5 2 4 2 3" xfId="20992"/>
    <cellStyle name="Normal 4 5 2 4 2 3 2" xfId="49853"/>
    <cellStyle name="Normal 4 5 2 4 2 4" xfId="32743"/>
    <cellStyle name="Normal 4 5 2 4 3" xfId="7037"/>
    <cellStyle name="Normal 4 5 2 4 3 2" xfId="24084"/>
    <cellStyle name="Normal 4 5 2 4 3 2 2" xfId="52945"/>
    <cellStyle name="Normal 4 5 2 4 3 3" xfId="35898"/>
    <cellStyle name="Normal 4 5 2 4 4" xfId="11893"/>
    <cellStyle name="Normal 4 5 2 4 4 2" xfId="18312"/>
    <cellStyle name="Normal 4 5 2 4 4 2 2" xfId="47173"/>
    <cellStyle name="Normal 4 5 2 4 4 3" xfId="40754"/>
    <cellStyle name="Normal 4 5 2 4 5" xfId="15632"/>
    <cellStyle name="Normal 4 5 2 4 5 2" xfId="44493"/>
    <cellStyle name="Normal 4 5 2 4 6" xfId="29857"/>
    <cellStyle name="Normal 4 5 2 5" xfId="1201"/>
    <cellStyle name="Normal 4 5 2 5 2" xfId="4088"/>
    <cellStyle name="Normal 4 5 2 5 2 2" xfId="10129"/>
    <cellStyle name="Normal 4 5 2 5 2 2 2" xfId="27176"/>
    <cellStyle name="Normal 4 5 2 5 2 2 2 2" xfId="56037"/>
    <cellStyle name="Normal 4 5 2 5 2 2 3" xfId="38990"/>
    <cellStyle name="Normal 4 5 2 5 2 3" xfId="21198"/>
    <cellStyle name="Normal 4 5 2 5 2 3 2" xfId="50059"/>
    <cellStyle name="Normal 4 5 2 5 2 4" xfId="32949"/>
    <cellStyle name="Normal 4 5 2 5 3" xfId="7243"/>
    <cellStyle name="Normal 4 5 2 5 3 2" xfId="24290"/>
    <cellStyle name="Normal 4 5 2 5 3 2 2" xfId="53151"/>
    <cellStyle name="Normal 4 5 2 5 3 3" xfId="36104"/>
    <cellStyle name="Normal 4 5 2 5 4" xfId="13646"/>
    <cellStyle name="Normal 4 5 2 5 4 2" xfId="18518"/>
    <cellStyle name="Normal 4 5 2 5 4 2 2" xfId="47379"/>
    <cellStyle name="Normal 4 5 2 5 4 3" xfId="42507"/>
    <cellStyle name="Normal 4 5 2 5 5" xfId="15838"/>
    <cellStyle name="Normal 4 5 2 5 5 2" xfId="44699"/>
    <cellStyle name="Normal 4 5 2 5 6" xfId="30063"/>
    <cellStyle name="Normal 4 5 2 6" xfId="1407"/>
    <cellStyle name="Normal 4 5 2 6 2" xfId="4294"/>
    <cellStyle name="Normal 4 5 2 6 2 2" xfId="10335"/>
    <cellStyle name="Normal 4 5 2 6 2 2 2" xfId="27382"/>
    <cellStyle name="Normal 4 5 2 6 2 2 2 2" xfId="56243"/>
    <cellStyle name="Normal 4 5 2 6 2 2 3" xfId="39196"/>
    <cellStyle name="Normal 4 5 2 6 2 3" xfId="21404"/>
    <cellStyle name="Normal 4 5 2 6 2 3 2" xfId="50265"/>
    <cellStyle name="Normal 4 5 2 6 2 4" xfId="33155"/>
    <cellStyle name="Normal 4 5 2 6 3" xfId="7449"/>
    <cellStyle name="Normal 4 5 2 6 3 2" xfId="24496"/>
    <cellStyle name="Normal 4 5 2 6 3 2 2" xfId="53357"/>
    <cellStyle name="Normal 4 5 2 6 3 3" xfId="36310"/>
    <cellStyle name="Normal 4 5 2 6 4" xfId="13326"/>
    <cellStyle name="Normal 4 5 2 6 4 2" xfId="18724"/>
    <cellStyle name="Normal 4 5 2 6 4 2 2" xfId="47585"/>
    <cellStyle name="Normal 4 5 2 6 4 3" xfId="42187"/>
    <cellStyle name="Normal 4 5 2 6 5" xfId="16044"/>
    <cellStyle name="Normal 4 5 2 6 5 2" xfId="44905"/>
    <cellStyle name="Normal 4 5 2 6 6" xfId="30269"/>
    <cellStyle name="Normal 4 5 2 7" xfId="1613"/>
    <cellStyle name="Normal 4 5 2 7 2" xfId="4500"/>
    <cellStyle name="Normal 4 5 2 7 2 2" xfId="10541"/>
    <cellStyle name="Normal 4 5 2 7 2 2 2" xfId="27588"/>
    <cellStyle name="Normal 4 5 2 7 2 2 2 2" xfId="56449"/>
    <cellStyle name="Normal 4 5 2 7 2 2 3" xfId="39402"/>
    <cellStyle name="Normal 4 5 2 7 2 3" xfId="21610"/>
    <cellStyle name="Normal 4 5 2 7 2 3 2" xfId="50471"/>
    <cellStyle name="Normal 4 5 2 7 2 4" xfId="33361"/>
    <cellStyle name="Normal 4 5 2 7 3" xfId="7655"/>
    <cellStyle name="Normal 4 5 2 7 3 2" xfId="24702"/>
    <cellStyle name="Normal 4 5 2 7 3 2 2" xfId="53563"/>
    <cellStyle name="Normal 4 5 2 7 3 3" xfId="36516"/>
    <cellStyle name="Normal 4 5 2 7 4" xfId="12406"/>
    <cellStyle name="Normal 4 5 2 7 4 2" xfId="18930"/>
    <cellStyle name="Normal 4 5 2 7 4 2 2" xfId="47791"/>
    <cellStyle name="Normal 4 5 2 7 4 3" xfId="41267"/>
    <cellStyle name="Normal 4 5 2 7 5" xfId="16250"/>
    <cellStyle name="Normal 4 5 2 7 5 2" xfId="45111"/>
    <cellStyle name="Normal 4 5 2 7 6" xfId="30475"/>
    <cellStyle name="Normal 4 5 2 8" xfId="1819"/>
    <cellStyle name="Normal 4 5 2 8 2" xfId="4706"/>
    <cellStyle name="Normal 4 5 2 8 2 2" xfId="10747"/>
    <cellStyle name="Normal 4 5 2 8 2 2 2" xfId="27794"/>
    <cellStyle name="Normal 4 5 2 8 2 2 2 2" xfId="56655"/>
    <cellStyle name="Normal 4 5 2 8 2 2 3" xfId="39608"/>
    <cellStyle name="Normal 4 5 2 8 2 3" xfId="21816"/>
    <cellStyle name="Normal 4 5 2 8 2 3 2" xfId="50677"/>
    <cellStyle name="Normal 4 5 2 8 2 4" xfId="33567"/>
    <cellStyle name="Normal 4 5 2 8 3" xfId="7861"/>
    <cellStyle name="Normal 4 5 2 8 3 2" xfId="24908"/>
    <cellStyle name="Normal 4 5 2 8 3 2 2" xfId="53769"/>
    <cellStyle name="Normal 4 5 2 8 3 3" xfId="36722"/>
    <cellStyle name="Normal 4 5 2 8 4" xfId="12111"/>
    <cellStyle name="Normal 4 5 2 8 4 2" xfId="19136"/>
    <cellStyle name="Normal 4 5 2 8 4 2 2" xfId="47997"/>
    <cellStyle name="Normal 4 5 2 8 4 3" xfId="40972"/>
    <cellStyle name="Normal 4 5 2 8 5" xfId="16456"/>
    <cellStyle name="Normal 4 5 2 8 5 2" xfId="45317"/>
    <cellStyle name="Normal 4 5 2 8 6" xfId="30681"/>
    <cellStyle name="Normal 4 5 2 9" xfId="2025"/>
    <cellStyle name="Normal 4 5 2 9 2" xfId="4912"/>
    <cellStyle name="Normal 4 5 2 9 2 2" xfId="10953"/>
    <cellStyle name="Normal 4 5 2 9 2 2 2" xfId="28000"/>
    <cellStyle name="Normal 4 5 2 9 2 2 2 2" xfId="56861"/>
    <cellStyle name="Normal 4 5 2 9 2 2 3" xfId="39814"/>
    <cellStyle name="Normal 4 5 2 9 2 3" xfId="22022"/>
    <cellStyle name="Normal 4 5 2 9 2 3 2" xfId="50883"/>
    <cellStyle name="Normal 4 5 2 9 2 4" xfId="33773"/>
    <cellStyle name="Normal 4 5 2 9 3" xfId="8067"/>
    <cellStyle name="Normal 4 5 2 9 3 2" xfId="25114"/>
    <cellStyle name="Normal 4 5 2 9 3 2 2" xfId="53975"/>
    <cellStyle name="Normal 4 5 2 9 3 3" xfId="36928"/>
    <cellStyle name="Normal 4 5 2 9 4" xfId="12149"/>
    <cellStyle name="Normal 4 5 2 9 4 2" xfId="19342"/>
    <cellStyle name="Normal 4 5 2 9 4 2 2" xfId="48203"/>
    <cellStyle name="Normal 4 5 2 9 4 3" xfId="41010"/>
    <cellStyle name="Normal 4 5 2 9 5" xfId="16662"/>
    <cellStyle name="Normal 4 5 2 9 5 2" xfId="45523"/>
    <cellStyle name="Normal 4 5 2 9 6" xfId="30887"/>
    <cellStyle name="Normal 4 5 20" xfId="28930"/>
    <cellStyle name="Normal 4 5 3" xfId="171"/>
    <cellStyle name="Normal 4 5 3 2" xfId="583"/>
    <cellStyle name="Normal 4 5 3 2 2" xfId="3470"/>
    <cellStyle name="Normal 4 5 3 2 2 2" xfId="9511"/>
    <cellStyle name="Normal 4 5 3 2 2 2 2" xfId="26558"/>
    <cellStyle name="Normal 4 5 3 2 2 2 2 2" xfId="55419"/>
    <cellStyle name="Normal 4 5 3 2 2 2 3" xfId="38372"/>
    <cellStyle name="Normal 4 5 3 2 2 3" xfId="20580"/>
    <cellStyle name="Normal 4 5 3 2 2 3 2" xfId="49441"/>
    <cellStyle name="Normal 4 5 3 2 2 4" xfId="32331"/>
    <cellStyle name="Normal 4 5 3 2 3" xfId="6625"/>
    <cellStyle name="Normal 4 5 3 2 3 2" xfId="23672"/>
    <cellStyle name="Normal 4 5 3 2 3 2 2" xfId="52533"/>
    <cellStyle name="Normal 4 5 3 2 3 3" xfId="35486"/>
    <cellStyle name="Normal 4 5 3 2 4" xfId="12882"/>
    <cellStyle name="Normal 4 5 3 2 4 2" xfId="17900"/>
    <cellStyle name="Normal 4 5 3 2 4 2 2" xfId="46761"/>
    <cellStyle name="Normal 4 5 3 2 4 3" xfId="41743"/>
    <cellStyle name="Normal 4 5 3 2 5" xfId="15220"/>
    <cellStyle name="Normal 4 5 3 2 5 2" xfId="44081"/>
    <cellStyle name="Normal 4 5 3 2 6" xfId="29445"/>
    <cellStyle name="Normal 4 5 3 3" xfId="2128"/>
    <cellStyle name="Normal 4 5 3 3 2" xfId="5015"/>
    <cellStyle name="Normal 4 5 3 3 2 2" xfId="11056"/>
    <cellStyle name="Normal 4 5 3 3 2 2 2" xfId="28103"/>
    <cellStyle name="Normal 4 5 3 3 2 2 2 2" xfId="56964"/>
    <cellStyle name="Normal 4 5 3 3 2 2 3" xfId="39917"/>
    <cellStyle name="Normal 4 5 3 3 2 3" xfId="22125"/>
    <cellStyle name="Normal 4 5 3 3 2 3 2" xfId="50986"/>
    <cellStyle name="Normal 4 5 3 3 2 4" xfId="33876"/>
    <cellStyle name="Normal 4 5 3 3 3" xfId="8170"/>
    <cellStyle name="Normal 4 5 3 3 3 2" xfId="25217"/>
    <cellStyle name="Normal 4 5 3 3 3 2 2" xfId="54078"/>
    <cellStyle name="Normal 4 5 3 3 3 3" xfId="37031"/>
    <cellStyle name="Normal 4 5 3 3 4" xfId="14437"/>
    <cellStyle name="Normal 4 5 3 3 4 2" xfId="19445"/>
    <cellStyle name="Normal 4 5 3 3 4 2 2" xfId="48306"/>
    <cellStyle name="Normal 4 5 3 3 4 3" xfId="43298"/>
    <cellStyle name="Normal 4 5 3 3 5" xfId="16765"/>
    <cellStyle name="Normal 4 5 3 3 5 2" xfId="45626"/>
    <cellStyle name="Normal 4 5 3 3 6" xfId="30990"/>
    <cellStyle name="Normal 4 5 3 4" xfId="3058"/>
    <cellStyle name="Normal 4 5 3 4 2" xfId="9099"/>
    <cellStyle name="Normal 4 5 3 4 2 2" xfId="26146"/>
    <cellStyle name="Normal 4 5 3 4 2 2 2" xfId="55007"/>
    <cellStyle name="Normal 4 5 3 4 2 3" xfId="37960"/>
    <cellStyle name="Normal 4 5 3 4 3" xfId="20168"/>
    <cellStyle name="Normal 4 5 3 4 3 2" xfId="49029"/>
    <cellStyle name="Normal 4 5 3 4 4" xfId="31919"/>
    <cellStyle name="Normal 4 5 3 5" xfId="6213"/>
    <cellStyle name="Normal 4 5 3 5 2" xfId="23260"/>
    <cellStyle name="Normal 4 5 3 5 2 2" xfId="52121"/>
    <cellStyle name="Normal 4 5 3 5 3" xfId="35074"/>
    <cellStyle name="Normal 4 5 3 6" xfId="14139"/>
    <cellStyle name="Normal 4 5 3 6 2" xfId="17591"/>
    <cellStyle name="Normal 4 5 3 6 2 2" xfId="46452"/>
    <cellStyle name="Normal 4 5 3 6 3" xfId="43000"/>
    <cellStyle name="Normal 4 5 3 7" xfId="14808"/>
    <cellStyle name="Normal 4 5 3 7 2" xfId="43669"/>
    <cellStyle name="Normal 4 5 3 8" xfId="29033"/>
    <cellStyle name="Normal 4 5 4" xfId="377"/>
    <cellStyle name="Normal 4 5 4 2" xfId="3264"/>
    <cellStyle name="Normal 4 5 4 2 2" xfId="9305"/>
    <cellStyle name="Normal 4 5 4 2 2 2" xfId="26352"/>
    <cellStyle name="Normal 4 5 4 2 2 2 2" xfId="55213"/>
    <cellStyle name="Normal 4 5 4 2 2 3" xfId="38166"/>
    <cellStyle name="Normal 4 5 4 2 3" xfId="20374"/>
    <cellStyle name="Normal 4 5 4 2 3 2" xfId="49235"/>
    <cellStyle name="Normal 4 5 4 2 4" xfId="32125"/>
    <cellStyle name="Normal 4 5 4 3" xfId="6419"/>
    <cellStyle name="Normal 4 5 4 3 2" xfId="23466"/>
    <cellStyle name="Normal 4 5 4 3 2 2" xfId="52327"/>
    <cellStyle name="Normal 4 5 4 3 3" xfId="35280"/>
    <cellStyle name="Normal 4 5 4 4" xfId="13694"/>
    <cellStyle name="Normal 4 5 4 4 2" xfId="17694"/>
    <cellStyle name="Normal 4 5 4 4 2 2" xfId="46555"/>
    <cellStyle name="Normal 4 5 4 4 3" xfId="42555"/>
    <cellStyle name="Normal 4 5 4 5" xfId="15014"/>
    <cellStyle name="Normal 4 5 4 5 2" xfId="43875"/>
    <cellStyle name="Normal 4 5 4 6" xfId="29239"/>
    <cellStyle name="Normal 4 5 5" xfId="686"/>
    <cellStyle name="Normal 4 5 5 2" xfId="3573"/>
    <cellStyle name="Normal 4 5 5 2 2" xfId="9614"/>
    <cellStyle name="Normal 4 5 5 2 2 2" xfId="26661"/>
    <cellStyle name="Normal 4 5 5 2 2 2 2" xfId="55522"/>
    <cellStyle name="Normal 4 5 5 2 2 3" xfId="38475"/>
    <cellStyle name="Normal 4 5 5 2 3" xfId="20683"/>
    <cellStyle name="Normal 4 5 5 2 3 2" xfId="49544"/>
    <cellStyle name="Normal 4 5 5 2 4" xfId="32434"/>
    <cellStyle name="Normal 4 5 5 3" xfId="6728"/>
    <cellStyle name="Normal 4 5 5 3 2" xfId="23775"/>
    <cellStyle name="Normal 4 5 5 3 2 2" xfId="52636"/>
    <cellStyle name="Normal 4 5 5 3 3" xfId="35589"/>
    <cellStyle name="Normal 4 5 5 4" xfId="11916"/>
    <cellStyle name="Normal 4 5 5 4 2" xfId="18003"/>
    <cellStyle name="Normal 4 5 5 4 2 2" xfId="46864"/>
    <cellStyle name="Normal 4 5 5 4 3" xfId="40777"/>
    <cellStyle name="Normal 4 5 5 5" xfId="15323"/>
    <cellStyle name="Normal 4 5 5 5 2" xfId="44184"/>
    <cellStyle name="Normal 4 5 5 6" xfId="29548"/>
    <cellStyle name="Normal 4 5 6" xfId="892"/>
    <cellStyle name="Normal 4 5 6 2" xfId="3779"/>
    <cellStyle name="Normal 4 5 6 2 2" xfId="9820"/>
    <cellStyle name="Normal 4 5 6 2 2 2" xfId="26867"/>
    <cellStyle name="Normal 4 5 6 2 2 2 2" xfId="55728"/>
    <cellStyle name="Normal 4 5 6 2 2 3" xfId="38681"/>
    <cellStyle name="Normal 4 5 6 2 3" xfId="20889"/>
    <cellStyle name="Normal 4 5 6 2 3 2" xfId="49750"/>
    <cellStyle name="Normal 4 5 6 2 4" xfId="32640"/>
    <cellStyle name="Normal 4 5 6 3" xfId="6934"/>
    <cellStyle name="Normal 4 5 6 3 2" xfId="23981"/>
    <cellStyle name="Normal 4 5 6 3 2 2" xfId="52842"/>
    <cellStyle name="Normal 4 5 6 3 3" xfId="35795"/>
    <cellStyle name="Normal 4 5 6 4" xfId="11995"/>
    <cellStyle name="Normal 4 5 6 4 2" xfId="18209"/>
    <cellStyle name="Normal 4 5 6 4 2 2" xfId="47070"/>
    <cellStyle name="Normal 4 5 6 4 3" xfId="40856"/>
    <cellStyle name="Normal 4 5 6 5" xfId="15529"/>
    <cellStyle name="Normal 4 5 6 5 2" xfId="44390"/>
    <cellStyle name="Normal 4 5 6 6" xfId="29754"/>
    <cellStyle name="Normal 4 5 7" xfId="1098"/>
    <cellStyle name="Normal 4 5 7 2" xfId="3985"/>
    <cellStyle name="Normal 4 5 7 2 2" xfId="10026"/>
    <cellStyle name="Normal 4 5 7 2 2 2" xfId="27073"/>
    <cellStyle name="Normal 4 5 7 2 2 2 2" xfId="55934"/>
    <cellStyle name="Normal 4 5 7 2 2 3" xfId="38887"/>
    <cellStyle name="Normal 4 5 7 2 3" xfId="21095"/>
    <cellStyle name="Normal 4 5 7 2 3 2" xfId="49956"/>
    <cellStyle name="Normal 4 5 7 2 4" xfId="32846"/>
    <cellStyle name="Normal 4 5 7 3" xfId="7140"/>
    <cellStyle name="Normal 4 5 7 3 2" xfId="24187"/>
    <cellStyle name="Normal 4 5 7 3 2 2" xfId="53048"/>
    <cellStyle name="Normal 4 5 7 3 3" xfId="36001"/>
    <cellStyle name="Normal 4 5 7 4" xfId="12042"/>
    <cellStyle name="Normal 4 5 7 4 2" xfId="18415"/>
    <cellStyle name="Normal 4 5 7 4 2 2" xfId="47276"/>
    <cellStyle name="Normal 4 5 7 4 3" xfId="40903"/>
    <cellStyle name="Normal 4 5 7 5" xfId="15735"/>
    <cellStyle name="Normal 4 5 7 5 2" xfId="44596"/>
    <cellStyle name="Normal 4 5 7 6" xfId="29960"/>
    <cellStyle name="Normal 4 5 8" xfId="1304"/>
    <cellStyle name="Normal 4 5 8 2" xfId="4191"/>
    <cellStyle name="Normal 4 5 8 2 2" xfId="10232"/>
    <cellStyle name="Normal 4 5 8 2 2 2" xfId="27279"/>
    <cellStyle name="Normal 4 5 8 2 2 2 2" xfId="56140"/>
    <cellStyle name="Normal 4 5 8 2 2 3" xfId="39093"/>
    <cellStyle name="Normal 4 5 8 2 3" xfId="21301"/>
    <cellStyle name="Normal 4 5 8 2 3 2" xfId="50162"/>
    <cellStyle name="Normal 4 5 8 2 4" xfId="33052"/>
    <cellStyle name="Normal 4 5 8 3" xfId="7346"/>
    <cellStyle name="Normal 4 5 8 3 2" xfId="24393"/>
    <cellStyle name="Normal 4 5 8 3 2 2" xfId="53254"/>
    <cellStyle name="Normal 4 5 8 3 3" xfId="36207"/>
    <cellStyle name="Normal 4 5 8 4" xfId="13172"/>
    <cellStyle name="Normal 4 5 8 4 2" xfId="18621"/>
    <cellStyle name="Normal 4 5 8 4 2 2" xfId="47482"/>
    <cellStyle name="Normal 4 5 8 4 3" xfId="42033"/>
    <cellStyle name="Normal 4 5 8 5" xfId="15941"/>
    <cellStyle name="Normal 4 5 8 5 2" xfId="44802"/>
    <cellStyle name="Normal 4 5 8 6" xfId="30166"/>
    <cellStyle name="Normal 4 5 9" xfId="1510"/>
    <cellStyle name="Normal 4 5 9 2" xfId="4397"/>
    <cellStyle name="Normal 4 5 9 2 2" xfId="10438"/>
    <cellStyle name="Normal 4 5 9 2 2 2" xfId="27485"/>
    <cellStyle name="Normal 4 5 9 2 2 2 2" xfId="56346"/>
    <cellStyle name="Normal 4 5 9 2 2 3" xfId="39299"/>
    <cellStyle name="Normal 4 5 9 2 3" xfId="21507"/>
    <cellStyle name="Normal 4 5 9 2 3 2" xfId="50368"/>
    <cellStyle name="Normal 4 5 9 2 4" xfId="33258"/>
    <cellStyle name="Normal 4 5 9 3" xfId="7552"/>
    <cellStyle name="Normal 4 5 9 3 2" xfId="24599"/>
    <cellStyle name="Normal 4 5 9 3 2 2" xfId="53460"/>
    <cellStyle name="Normal 4 5 9 3 3" xfId="36413"/>
    <cellStyle name="Normal 4 5 9 4" xfId="13231"/>
    <cellStyle name="Normal 4 5 9 4 2" xfId="18827"/>
    <cellStyle name="Normal 4 5 9 4 2 2" xfId="47688"/>
    <cellStyle name="Normal 4 5 9 4 3" xfId="42092"/>
    <cellStyle name="Normal 4 5 9 5" xfId="16147"/>
    <cellStyle name="Normal 4 5 9 5 2" xfId="45008"/>
    <cellStyle name="Normal 4 5 9 6" xfId="30372"/>
    <cellStyle name="Normal 4 6" xfId="37"/>
    <cellStyle name="Normal 4 6 10" xfId="1717"/>
    <cellStyle name="Normal 4 6 10 2" xfId="4604"/>
    <cellStyle name="Normal 4 6 10 2 2" xfId="10645"/>
    <cellStyle name="Normal 4 6 10 2 2 2" xfId="27692"/>
    <cellStyle name="Normal 4 6 10 2 2 2 2" xfId="56553"/>
    <cellStyle name="Normal 4 6 10 2 2 3" xfId="39506"/>
    <cellStyle name="Normal 4 6 10 2 3" xfId="21714"/>
    <cellStyle name="Normal 4 6 10 2 3 2" xfId="50575"/>
    <cellStyle name="Normal 4 6 10 2 4" xfId="33465"/>
    <cellStyle name="Normal 4 6 10 3" xfId="7759"/>
    <cellStyle name="Normal 4 6 10 3 2" xfId="24806"/>
    <cellStyle name="Normal 4 6 10 3 2 2" xfId="53667"/>
    <cellStyle name="Normal 4 6 10 3 3" xfId="36620"/>
    <cellStyle name="Normal 4 6 10 4" xfId="11940"/>
    <cellStyle name="Normal 4 6 10 4 2" xfId="19034"/>
    <cellStyle name="Normal 4 6 10 4 2 2" xfId="47895"/>
    <cellStyle name="Normal 4 6 10 4 3" xfId="40801"/>
    <cellStyle name="Normal 4 6 10 5" xfId="16354"/>
    <cellStyle name="Normal 4 6 10 5 2" xfId="45215"/>
    <cellStyle name="Normal 4 6 10 6" xfId="30579"/>
    <cellStyle name="Normal 4 6 11" xfId="1923"/>
    <cellStyle name="Normal 4 6 11 2" xfId="4810"/>
    <cellStyle name="Normal 4 6 11 2 2" xfId="10851"/>
    <cellStyle name="Normal 4 6 11 2 2 2" xfId="27898"/>
    <cellStyle name="Normal 4 6 11 2 2 2 2" xfId="56759"/>
    <cellStyle name="Normal 4 6 11 2 2 3" xfId="39712"/>
    <cellStyle name="Normal 4 6 11 2 3" xfId="21920"/>
    <cellStyle name="Normal 4 6 11 2 3 2" xfId="50781"/>
    <cellStyle name="Normal 4 6 11 2 4" xfId="33671"/>
    <cellStyle name="Normal 4 6 11 3" xfId="7965"/>
    <cellStyle name="Normal 4 6 11 3 2" xfId="25012"/>
    <cellStyle name="Normal 4 6 11 3 2 2" xfId="53873"/>
    <cellStyle name="Normal 4 6 11 3 3" xfId="36826"/>
    <cellStyle name="Normal 4 6 11 4" xfId="14227"/>
    <cellStyle name="Normal 4 6 11 4 2" xfId="19240"/>
    <cellStyle name="Normal 4 6 11 4 2 2" xfId="48101"/>
    <cellStyle name="Normal 4 6 11 4 3" xfId="43088"/>
    <cellStyle name="Normal 4 6 11 5" xfId="16560"/>
    <cellStyle name="Normal 4 6 11 5 2" xfId="45421"/>
    <cellStyle name="Normal 4 6 11 6" xfId="30785"/>
    <cellStyle name="Normal 4 6 12" xfId="2335"/>
    <cellStyle name="Normal 4 6 12 2" xfId="5222"/>
    <cellStyle name="Normal 4 6 12 2 2" xfId="11263"/>
    <cellStyle name="Normal 4 6 12 2 2 2" xfId="28310"/>
    <cellStyle name="Normal 4 6 12 2 2 2 2" xfId="57171"/>
    <cellStyle name="Normal 4 6 12 2 2 3" xfId="40124"/>
    <cellStyle name="Normal 4 6 12 2 3" xfId="22332"/>
    <cellStyle name="Normal 4 6 12 2 3 2" xfId="51193"/>
    <cellStyle name="Normal 4 6 12 2 4" xfId="34083"/>
    <cellStyle name="Normal 4 6 12 3" xfId="8377"/>
    <cellStyle name="Normal 4 6 12 3 2" xfId="25424"/>
    <cellStyle name="Normal 4 6 12 3 2 2" xfId="54285"/>
    <cellStyle name="Normal 4 6 12 3 3" xfId="37238"/>
    <cellStyle name="Normal 4 6 12 4" xfId="14456"/>
    <cellStyle name="Normal 4 6 12 4 2" xfId="19652"/>
    <cellStyle name="Normal 4 6 12 4 2 2" xfId="48513"/>
    <cellStyle name="Normal 4 6 12 4 3" xfId="43317"/>
    <cellStyle name="Normal 4 6 12 5" xfId="16972"/>
    <cellStyle name="Normal 4 6 12 5 2" xfId="45833"/>
    <cellStyle name="Normal 4 6 12 6" xfId="31197"/>
    <cellStyle name="Normal 4 6 13" xfId="2544"/>
    <cellStyle name="Normal 4 6 13 2" xfId="5430"/>
    <cellStyle name="Normal 4 6 13 2 2" xfId="11471"/>
    <cellStyle name="Normal 4 6 13 2 2 2" xfId="28518"/>
    <cellStyle name="Normal 4 6 13 2 2 2 2" xfId="57379"/>
    <cellStyle name="Normal 4 6 13 2 2 3" xfId="40332"/>
    <cellStyle name="Normal 4 6 13 2 3" xfId="22540"/>
    <cellStyle name="Normal 4 6 13 2 3 2" xfId="51401"/>
    <cellStyle name="Normal 4 6 13 2 4" xfId="34291"/>
    <cellStyle name="Normal 4 6 13 3" xfId="8585"/>
    <cellStyle name="Normal 4 6 13 3 2" xfId="25632"/>
    <cellStyle name="Normal 4 6 13 3 2 2" xfId="54493"/>
    <cellStyle name="Normal 4 6 13 3 3" xfId="37446"/>
    <cellStyle name="Normal 4 6 13 4" xfId="13310"/>
    <cellStyle name="Normal 4 6 13 4 2" xfId="19860"/>
    <cellStyle name="Normal 4 6 13 4 2 2" xfId="48721"/>
    <cellStyle name="Normal 4 6 13 4 3" xfId="42171"/>
    <cellStyle name="Normal 4 6 13 5" xfId="17180"/>
    <cellStyle name="Normal 4 6 13 5 2" xfId="46041"/>
    <cellStyle name="Normal 4 6 13 6" xfId="31405"/>
    <cellStyle name="Normal 4 6 14" xfId="2956"/>
    <cellStyle name="Normal 4 6 14 2" xfId="8997"/>
    <cellStyle name="Normal 4 6 14 2 2" xfId="26044"/>
    <cellStyle name="Normal 4 6 14 2 2 2" xfId="54905"/>
    <cellStyle name="Normal 4 6 14 2 3" xfId="37858"/>
    <cellStyle name="Normal 4 6 14 3" xfId="14201"/>
    <cellStyle name="Normal 4 6 14 3 2" xfId="20066"/>
    <cellStyle name="Normal 4 6 14 3 2 2" xfId="48927"/>
    <cellStyle name="Normal 4 6 14 3 3" xfId="43062"/>
    <cellStyle name="Normal 4 6 14 4" xfId="14706"/>
    <cellStyle name="Normal 4 6 14 4 2" xfId="43567"/>
    <cellStyle name="Normal 4 6 14 5" xfId="31817"/>
    <cellStyle name="Normal 4 6 15" xfId="2750"/>
    <cellStyle name="Normal 4 6 15 2" xfId="8791"/>
    <cellStyle name="Normal 4 6 15 2 2" xfId="25838"/>
    <cellStyle name="Normal 4 6 15 2 2 2" xfId="54699"/>
    <cellStyle name="Normal 4 6 15 2 3" xfId="37652"/>
    <cellStyle name="Normal 4 6 15 3" xfId="17386"/>
    <cellStyle name="Normal 4 6 15 3 2" xfId="46247"/>
    <cellStyle name="Normal 4 6 15 4" xfId="31611"/>
    <cellStyle name="Normal 4 6 16" xfId="5636"/>
    <cellStyle name="Normal 4 6 16 2" xfId="11677"/>
    <cellStyle name="Normal 4 6 16 2 2" xfId="28724"/>
    <cellStyle name="Normal 4 6 16 2 2 2" xfId="57585"/>
    <cellStyle name="Normal 4 6 16 2 3" xfId="40538"/>
    <cellStyle name="Normal 4 6 16 3" xfId="22746"/>
    <cellStyle name="Normal 4 6 16 3 2" xfId="51607"/>
    <cellStyle name="Normal 4 6 16 4" xfId="34497"/>
    <cellStyle name="Normal 4 6 17" xfId="5847"/>
    <cellStyle name="Normal 4 6 17 2" xfId="22952"/>
    <cellStyle name="Normal 4 6 17 2 2" xfId="51813"/>
    <cellStyle name="Normal 4 6 17 3" xfId="34708"/>
    <cellStyle name="Normal 4 6 18" xfId="6111"/>
    <cellStyle name="Normal 4 6 18 2" xfId="23158"/>
    <cellStyle name="Normal 4 6 18 2 2" xfId="52019"/>
    <cellStyle name="Normal 4 6 18 3" xfId="34972"/>
    <cellStyle name="Normal 4 6 19" xfId="14500"/>
    <cellStyle name="Normal 4 6 19 2" xfId="43361"/>
    <cellStyle name="Normal 4 6 2" xfId="275"/>
    <cellStyle name="Normal 4 6 2 10" xfId="2438"/>
    <cellStyle name="Normal 4 6 2 10 2" xfId="5325"/>
    <cellStyle name="Normal 4 6 2 10 2 2" xfId="11366"/>
    <cellStyle name="Normal 4 6 2 10 2 2 2" xfId="28413"/>
    <cellStyle name="Normal 4 6 2 10 2 2 2 2" xfId="57274"/>
    <cellStyle name="Normal 4 6 2 10 2 2 3" xfId="40227"/>
    <cellStyle name="Normal 4 6 2 10 2 3" xfId="22435"/>
    <cellStyle name="Normal 4 6 2 10 2 3 2" xfId="51296"/>
    <cellStyle name="Normal 4 6 2 10 2 4" xfId="34186"/>
    <cellStyle name="Normal 4 6 2 10 3" xfId="8480"/>
    <cellStyle name="Normal 4 6 2 10 3 2" xfId="25527"/>
    <cellStyle name="Normal 4 6 2 10 3 2 2" xfId="54388"/>
    <cellStyle name="Normal 4 6 2 10 3 3" xfId="37341"/>
    <cellStyle name="Normal 4 6 2 10 4" xfId="13527"/>
    <cellStyle name="Normal 4 6 2 10 4 2" xfId="19755"/>
    <cellStyle name="Normal 4 6 2 10 4 2 2" xfId="48616"/>
    <cellStyle name="Normal 4 6 2 10 4 3" xfId="42388"/>
    <cellStyle name="Normal 4 6 2 10 5" xfId="17075"/>
    <cellStyle name="Normal 4 6 2 10 5 2" xfId="45936"/>
    <cellStyle name="Normal 4 6 2 10 6" xfId="31300"/>
    <cellStyle name="Normal 4 6 2 11" xfId="2647"/>
    <cellStyle name="Normal 4 6 2 11 2" xfId="5533"/>
    <cellStyle name="Normal 4 6 2 11 2 2" xfId="11574"/>
    <cellStyle name="Normal 4 6 2 11 2 2 2" xfId="28621"/>
    <cellStyle name="Normal 4 6 2 11 2 2 2 2" xfId="57482"/>
    <cellStyle name="Normal 4 6 2 11 2 2 3" xfId="40435"/>
    <cellStyle name="Normal 4 6 2 11 2 3" xfId="22643"/>
    <cellStyle name="Normal 4 6 2 11 2 3 2" xfId="51504"/>
    <cellStyle name="Normal 4 6 2 11 2 4" xfId="34394"/>
    <cellStyle name="Normal 4 6 2 11 3" xfId="8688"/>
    <cellStyle name="Normal 4 6 2 11 3 2" xfId="25735"/>
    <cellStyle name="Normal 4 6 2 11 3 2 2" xfId="54596"/>
    <cellStyle name="Normal 4 6 2 11 3 3" xfId="37549"/>
    <cellStyle name="Normal 4 6 2 11 4" xfId="14216"/>
    <cellStyle name="Normal 4 6 2 11 4 2" xfId="19963"/>
    <cellStyle name="Normal 4 6 2 11 4 2 2" xfId="48824"/>
    <cellStyle name="Normal 4 6 2 11 4 3" xfId="43077"/>
    <cellStyle name="Normal 4 6 2 11 5" xfId="17283"/>
    <cellStyle name="Normal 4 6 2 11 5 2" xfId="46144"/>
    <cellStyle name="Normal 4 6 2 11 6" xfId="31508"/>
    <cellStyle name="Normal 4 6 2 12" xfId="3162"/>
    <cellStyle name="Normal 4 6 2 12 2" xfId="9203"/>
    <cellStyle name="Normal 4 6 2 12 2 2" xfId="26250"/>
    <cellStyle name="Normal 4 6 2 12 2 2 2" xfId="55111"/>
    <cellStyle name="Normal 4 6 2 12 2 3" xfId="38064"/>
    <cellStyle name="Normal 4 6 2 12 3" xfId="12344"/>
    <cellStyle name="Normal 4 6 2 12 3 2" xfId="20272"/>
    <cellStyle name="Normal 4 6 2 12 3 2 2" xfId="49133"/>
    <cellStyle name="Normal 4 6 2 12 3 3" xfId="41205"/>
    <cellStyle name="Normal 4 6 2 12 4" xfId="14912"/>
    <cellStyle name="Normal 4 6 2 12 4 2" xfId="43773"/>
    <cellStyle name="Normal 4 6 2 12 5" xfId="32023"/>
    <cellStyle name="Normal 4 6 2 13" xfId="2853"/>
    <cellStyle name="Normal 4 6 2 13 2" xfId="8894"/>
    <cellStyle name="Normal 4 6 2 13 2 2" xfId="25941"/>
    <cellStyle name="Normal 4 6 2 13 2 2 2" xfId="54802"/>
    <cellStyle name="Normal 4 6 2 13 2 3" xfId="37755"/>
    <cellStyle name="Normal 4 6 2 13 3" xfId="17489"/>
    <cellStyle name="Normal 4 6 2 13 3 2" xfId="46350"/>
    <cellStyle name="Normal 4 6 2 13 4" xfId="31714"/>
    <cellStyle name="Normal 4 6 2 14" xfId="5739"/>
    <cellStyle name="Normal 4 6 2 14 2" xfId="11780"/>
    <cellStyle name="Normal 4 6 2 14 2 2" xfId="28827"/>
    <cellStyle name="Normal 4 6 2 14 2 2 2" xfId="57688"/>
    <cellStyle name="Normal 4 6 2 14 2 3" xfId="40641"/>
    <cellStyle name="Normal 4 6 2 14 3" xfId="22849"/>
    <cellStyle name="Normal 4 6 2 14 3 2" xfId="51710"/>
    <cellStyle name="Normal 4 6 2 14 4" xfId="34600"/>
    <cellStyle name="Normal 4 6 2 15" xfId="5956"/>
    <cellStyle name="Normal 4 6 2 15 2" xfId="23055"/>
    <cellStyle name="Normal 4 6 2 15 2 2" xfId="51916"/>
    <cellStyle name="Normal 4 6 2 15 3" xfId="34817"/>
    <cellStyle name="Normal 4 6 2 16" xfId="6317"/>
    <cellStyle name="Normal 4 6 2 16 2" xfId="23364"/>
    <cellStyle name="Normal 4 6 2 16 2 2" xfId="52225"/>
    <cellStyle name="Normal 4 6 2 16 3" xfId="35178"/>
    <cellStyle name="Normal 4 6 2 17" xfId="14603"/>
    <cellStyle name="Normal 4 6 2 17 2" xfId="43464"/>
    <cellStyle name="Normal 4 6 2 18" xfId="29137"/>
    <cellStyle name="Normal 4 6 2 2" xfId="481"/>
    <cellStyle name="Normal 4 6 2 2 2" xfId="2232"/>
    <cellStyle name="Normal 4 6 2 2 2 2" xfId="5119"/>
    <cellStyle name="Normal 4 6 2 2 2 2 2" xfId="11160"/>
    <cellStyle name="Normal 4 6 2 2 2 2 2 2" xfId="28207"/>
    <cellStyle name="Normal 4 6 2 2 2 2 2 2 2" xfId="57068"/>
    <cellStyle name="Normal 4 6 2 2 2 2 2 3" xfId="40021"/>
    <cellStyle name="Normal 4 6 2 2 2 2 3" xfId="22229"/>
    <cellStyle name="Normal 4 6 2 2 2 2 3 2" xfId="51090"/>
    <cellStyle name="Normal 4 6 2 2 2 2 4" xfId="33980"/>
    <cellStyle name="Normal 4 6 2 2 2 3" xfId="8274"/>
    <cellStyle name="Normal 4 6 2 2 2 3 2" xfId="25321"/>
    <cellStyle name="Normal 4 6 2 2 2 3 2 2" xfId="54182"/>
    <cellStyle name="Normal 4 6 2 2 2 3 3" xfId="37135"/>
    <cellStyle name="Normal 4 6 2 2 2 4" xfId="13294"/>
    <cellStyle name="Normal 4 6 2 2 2 4 2" xfId="19549"/>
    <cellStyle name="Normal 4 6 2 2 2 4 2 2" xfId="48410"/>
    <cellStyle name="Normal 4 6 2 2 2 4 3" xfId="42155"/>
    <cellStyle name="Normal 4 6 2 2 2 5" xfId="16869"/>
    <cellStyle name="Normal 4 6 2 2 2 5 2" xfId="45730"/>
    <cellStyle name="Normal 4 6 2 2 2 6" xfId="31094"/>
    <cellStyle name="Normal 4 6 2 2 3" xfId="3368"/>
    <cellStyle name="Normal 4 6 2 2 3 2" xfId="9409"/>
    <cellStyle name="Normal 4 6 2 2 3 2 2" xfId="26456"/>
    <cellStyle name="Normal 4 6 2 2 3 2 2 2" xfId="55317"/>
    <cellStyle name="Normal 4 6 2 2 3 2 3" xfId="38270"/>
    <cellStyle name="Normal 4 6 2 2 3 3" xfId="20478"/>
    <cellStyle name="Normal 4 6 2 2 3 3 2" xfId="49339"/>
    <cellStyle name="Normal 4 6 2 2 3 4" xfId="32229"/>
    <cellStyle name="Normal 4 6 2 2 4" xfId="6523"/>
    <cellStyle name="Normal 4 6 2 2 4 2" xfId="23570"/>
    <cellStyle name="Normal 4 6 2 2 4 2 2" xfId="52431"/>
    <cellStyle name="Normal 4 6 2 2 4 3" xfId="35384"/>
    <cellStyle name="Normal 4 6 2 2 5" xfId="14321"/>
    <cellStyle name="Normal 4 6 2 2 5 2" xfId="17798"/>
    <cellStyle name="Normal 4 6 2 2 5 2 2" xfId="46659"/>
    <cellStyle name="Normal 4 6 2 2 5 3" xfId="43182"/>
    <cellStyle name="Normal 4 6 2 2 6" xfId="15118"/>
    <cellStyle name="Normal 4 6 2 2 6 2" xfId="43979"/>
    <cellStyle name="Normal 4 6 2 2 7" xfId="29343"/>
    <cellStyle name="Normal 4 6 2 3" xfId="790"/>
    <cellStyle name="Normal 4 6 2 3 2" xfId="3677"/>
    <cellStyle name="Normal 4 6 2 3 2 2" xfId="9718"/>
    <cellStyle name="Normal 4 6 2 3 2 2 2" xfId="26765"/>
    <cellStyle name="Normal 4 6 2 3 2 2 2 2" xfId="55626"/>
    <cellStyle name="Normal 4 6 2 3 2 2 3" xfId="38579"/>
    <cellStyle name="Normal 4 6 2 3 2 3" xfId="20787"/>
    <cellStyle name="Normal 4 6 2 3 2 3 2" xfId="49648"/>
    <cellStyle name="Normal 4 6 2 3 2 4" xfId="32538"/>
    <cellStyle name="Normal 4 6 2 3 3" xfId="6832"/>
    <cellStyle name="Normal 4 6 2 3 3 2" xfId="23879"/>
    <cellStyle name="Normal 4 6 2 3 3 2 2" xfId="52740"/>
    <cellStyle name="Normal 4 6 2 3 3 3" xfId="35693"/>
    <cellStyle name="Normal 4 6 2 3 4" xfId="14448"/>
    <cellStyle name="Normal 4 6 2 3 4 2" xfId="18107"/>
    <cellStyle name="Normal 4 6 2 3 4 2 2" xfId="46968"/>
    <cellStyle name="Normal 4 6 2 3 4 3" xfId="43309"/>
    <cellStyle name="Normal 4 6 2 3 5" xfId="15427"/>
    <cellStyle name="Normal 4 6 2 3 5 2" xfId="44288"/>
    <cellStyle name="Normal 4 6 2 3 6" xfId="29652"/>
    <cellStyle name="Normal 4 6 2 4" xfId="996"/>
    <cellStyle name="Normal 4 6 2 4 2" xfId="3883"/>
    <cellStyle name="Normal 4 6 2 4 2 2" xfId="9924"/>
    <cellStyle name="Normal 4 6 2 4 2 2 2" xfId="26971"/>
    <cellStyle name="Normal 4 6 2 4 2 2 2 2" xfId="55832"/>
    <cellStyle name="Normal 4 6 2 4 2 2 3" xfId="38785"/>
    <cellStyle name="Normal 4 6 2 4 2 3" xfId="20993"/>
    <cellStyle name="Normal 4 6 2 4 2 3 2" xfId="49854"/>
    <cellStyle name="Normal 4 6 2 4 2 4" xfId="32744"/>
    <cellStyle name="Normal 4 6 2 4 3" xfId="7038"/>
    <cellStyle name="Normal 4 6 2 4 3 2" xfId="24085"/>
    <cellStyle name="Normal 4 6 2 4 3 2 2" xfId="52946"/>
    <cellStyle name="Normal 4 6 2 4 3 3" xfId="35899"/>
    <cellStyle name="Normal 4 6 2 4 4" xfId="13356"/>
    <cellStyle name="Normal 4 6 2 4 4 2" xfId="18313"/>
    <cellStyle name="Normal 4 6 2 4 4 2 2" xfId="47174"/>
    <cellStyle name="Normal 4 6 2 4 4 3" xfId="42217"/>
    <cellStyle name="Normal 4 6 2 4 5" xfId="15633"/>
    <cellStyle name="Normal 4 6 2 4 5 2" xfId="44494"/>
    <cellStyle name="Normal 4 6 2 4 6" xfId="29858"/>
    <cellStyle name="Normal 4 6 2 5" xfId="1202"/>
    <cellStyle name="Normal 4 6 2 5 2" xfId="4089"/>
    <cellStyle name="Normal 4 6 2 5 2 2" xfId="10130"/>
    <cellStyle name="Normal 4 6 2 5 2 2 2" xfId="27177"/>
    <cellStyle name="Normal 4 6 2 5 2 2 2 2" xfId="56038"/>
    <cellStyle name="Normal 4 6 2 5 2 2 3" xfId="38991"/>
    <cellStyle name="Normal 4 6 2 5 2 3" xfId="21199"/>
    <cellStyle name="Normal 4 6 2 5 2 3 2" xfId="50060"/>
    <cellStyle name="Normal 4 6 2 5 2 4" xfId="32950"/>
    <cellStyle name="Normal 4 6 2 5 3" xfId="7244"/>
    <cellStyle name="Normal 4 6 2 5 3 2" xfId="24291"/>
    <cellStyle name="Normal 4 6 2 5 3 2 2" xfId="53152"/>
    <cellStyle name="Normal 4 6 2 5 3 3" xfId="36105"/>
    <cellStyle name="Normal 4 6 2 5 4" xfId="12393"/>
    <cellStyle name="Normal 4 6 2 5 4 2" xfId="18519"/>
    <cellStyle name="Normal 4 6 2 5 4 2 2" xfId="47380"/>
    <cellStyle name="Normal 4 6 2 5 4 3" xfId="41254"/>
    <cellStyle name="Normal 4 6 2 5 5" xfId="15839"/>
    <cellStyle name="Normal 4 6 2 5 5 2" xfId="44700"/>
    <cellStyle name="Normal 4 6 2 5 6" xfId="30064"/>
    <cellStyle name="Normal 4 6 2 6" xfId="1408"/>
    <cellStyle name="Normal 4 6 2 6 2" xfId="4295"/>
    <cellStyle name="Normal 4 6 2 6 2 2" xfId="10336"/>
    <cellStyle name="Normal 4 6 2 6 2 2 2" xfId="27383"/>
    <cellStyle name="Normal 4 6 2 6 2 2 2 2" xfId="56244"/>
    <cellStyle name="Normal 4 6 2 6 2 2 3" xfId="39197"/>
    <cellStyle name="Normal 4 6 2 6 2 3" xfId="21405"/>
    <cellStyle name="Normal 4 6 2 6 2 3 2" xfId="50266"/>
    <cellStyle name="Normal 4 6 2 6 2 4" xfId="33156"/>
    <cellStyle name="Normal 4 6 2 6 3" xfId="7450"/>
    <cellStyle name="Normal 4 6 2 6 3 2" xfId="24497"/>
    <cellStyle name="Normal 4 6 2 6 3 2 2" xfId="53358"/>
    <cellStyle name="Normal 4 6 2 6 3 3" xfId="36311"/>
    <cellStyle name="Normal 4 6 2 6 4" xfId="14361"/>
    <cellStyle name="Normal 4 6 2 6 4 2" xfId="18725"/>
    <cellStyle name="Normal 4 6 2 6 4 2 2" xfId="47586"/>
    <cellStyle name="Normal 4 6 2 6 4 3" xfId="43222"/>
    <cellStyle name="Normal 4 6 2 6 5" xfId="16045"/>
    <cellStyle name="Normal 4 6 2 6 5 2" xfId="44906"/>
    <cellStyle name="Normal 4 6 2 6 6" xfId="30270"/>
    <cellStyle name="Normal 4 6 2 7" xfId="1614"/>
    <cellStyle name="Normal 4 6 2 7 2" xfId="4501"/>
    <cellStyle name="Normal 4 6 2 7 2 2" xfId="10542"/>
    <cellStyle name="Normal 4 6 2 7 2 2 2" xfId="27589"/>
    <cellStyle name="Normal 4 6 2 7 2 2 2 2" xfId="56450"/>
    <cellStyle name="Normal 4 6 2 7 2 2 3" xfId="39403"/>
    <cellStyle name="Normal 4 6 2 7 2 3" xfId="21611"/>
    <cellStyle name="Normal 4 6 2 7 2 3 2" xfId="50472"/>
    <cellStyle name="Normal 4 6 2 7 2 4" xfId="33362"/>
    <cellStyle name="Normal 4 6 2 7 3" xfId="7656"/>
    <cellStyle name="Normal 4 6 2 7 3 2" xfId="24703"/>
    <cellStyle name="Normal 4 6 2 7 3 2 2" xfId="53564"/>
    <cellStyle name="Normal 4 6 2 7 3 3" xfId="36517"/>
    <cellStyle name="Normal 4 6 2 7 4" xfId="12150"/>
    <cellStyle name="Normal 4 6 2 7 4 2" xfId="18931"/>
    <cellStyle name="Normal 4 6 2 7 4 2 2" xfId="47792"/>
    <cellStyle name="Normal 4 6 2 7 4 3" xfId="41011"/>
    <cellStyle name="Normal 4 6 2 7 5" xfId="16251"/>
    <cellStyle name="Normal 4 6 2 7 5 2" xfId="45112"/>
    <cellStyle name="Normal 4 6 2 7 6" xfId="30476"/>
    <cellStyle name="Normal 4 6 2 8" xfId="1820"/>
    <cellStyle name="Normal 4 6 2 8 2" xfId="4707"/>
    <cellStyle name="Normal 4 6 2 8 2 2" xfId="10748"/>
    <cellStyle name="Normal 4 6 2 8 2 2 2" xfId="27795"/>
    <cellStyle name="Normal 4 6 2 8 2 2 2 2" xfId="56656"/>
    <cellStyle name="Normal 4 6 2 8 2 2 3" xfId="39609"/>
    <cellStyle name="Normal 4 6 2 8 2 3" xfId="21817"/>
    <cellStyle name="Normal 4 6 2 8 2 3 2" xfId="50678"/>
    <cellStyle name="Normal 4 6 2 8 2 4" xfId="33568"/>
    <cellStyle name="Normal 4 6 2 8 3" xfId="7862"/>
    <cellStyle name="Normal 4 6 2 8 3 2" xfId="24909"/>
    <cellStyle name="Normal 4 6 2 8 3 2 2" xfId="53770"/>
    <cellStyle name="Normal 4 6 2 8 3 3" xfId="36723"/>
    <cellStyle name="Normal 4 6 2 8 4" xfId="13612"/>
    <cellStyle name="Normal 4 6 2 8 4 2" xfId="19137"/>
    <cellStyle name="Normal 4 6 2 8 4 2 2" xfId="47998"/>
    <cellStyle name="Normal 4 6 2 8 4 3" xfId="42473"/>
    <cellStyle name="Normal 4 6 2 8 5" xfId="16457"/>
    <cellStyle name="Normal 4 6 2 8 5 2" xfId="45318"/>
    <cellStyle name="Normal 4 6 2 8 6" xfId="30682"/>
    <cellStyle name="Normal 4 6 2 9" xfId="2026"/>
    <cellStyle name="Normal 4 6 2 9 2" xfId="4913"/>
    <cellStyle name="Normal 4 6 2 9 2 2" xfId="10954"/>
    <cellStyle name="Normal 4 6 2 9 2 2 2" xfId="28001"/>
    <cellStyle name="Normal 4 6 2 9 2 2 2 2" xfId="56862"/>
    <cellStyle name="Normal 4 6 2 9 2 2 3" xfId="39815"/>
    <cellStyle name="Normal 4 6 2 9 2 3" xfId="22023"/>
    <cellStyle name="Normal 4 6 2 9 2 3 2" xfId="50884"/>
    <cellStyle name="Normal 4 6 2 9 2 4" xfId="33774"/>
    <cellStyle name="Normal 4 6 2 9 3" xfId="8068"/>
    <cellStyle name="Normal 4 6 2 9 3 2" xfId="25115"/>
    <cellStyle name="Normal 4 6 2 9 3 2 2" xfId="53976"/>
    <cellStyle name="Normal 4 6 2 9 3 3" xfId="36929"/>
    <cellStyle name="Normal 4 6 2 9 4" xfId="12786"/>
    <cellStyle name="Normal 4 6 2 9 4 2" xfId="19343"/>
    <cellStyle name="Normal 4 6 2 9 4 2 2" xfId="48204"/>
    <cellStyle name="Normal 4 6 2 9 4 3" xfId="41647"/>
    <cellStyle name="Normal 4 6 2 9 5" xfId="16663"/>
    <cellStyle name="Normal 4 6 2 9 5 2" xfId="45524"/>
    <cellStyle name="Normal 4 6 2 9 6" xfId="30888"/>
    <cellStyle name="Normal 4 6 20" xfId="28931"/>
    <cellStyle name="Normal 4 6 3" xfId="172"/>
    <cellStyle name="Normal 4 6 3 2" xfId="584"/>
    <cellStyle name="Normal 4 6 3 2 2" xfId="3471"/>
    <cellStyle name="Normal 4 6 3 2 2 2" xfId="9512"/>
    <cellStyle name="Normal 4 6 3 2 2 2 2" xfId="26559"/>
    <cellStyle name="Normal 4 6 3 2 2 2 2 2" xfId="55420"/>
    <cellStyle name="Normal 4 6 3 2 2 2 3" xfId="38373"/>
    <cellStyle name="Normal 4 6 3 2 2 3" xfId="20581"/>
    <cellStyle name="Normal 4 6 3 2 2 3 2" xfId="49442"/>
    <cellStyle name="Normal 4 6 3 2 2 4" xfId="32332"/>
    <cellStyle name="Normal 4 6 3 2 3" xfId="6626"/>
    <cellStyle name="Normal 4 6 3 2 3 2" xfId="23673"/>
    <cellStyle name="Normal 4 6 3 2 3 2 2" xfId="52534"/>
    <cellStyle name="Normal 4 6 3 2 3 3" xfId="35487"/>
    <cellStyle name="Normal 4 6 3 2 4" xfId="12432"/>
    <cellStyle name="Normal 4 6 3 2 4 2" xfId="17901"/>
    <cellStyle name="Normal 4 6 3 2 4 2 2" xfId="46762"/>
    <cellStyle name="Normal 4 6 3 2 4 3" xfId="41293"/>
    <cellStyle name="Normal 4 6 3 2 5" xfId="15221"/>
    <cellStyle name="Normal 4 6 3 2 5 2" xfId="44082"/>
    <cellStyle name="Normal 4 6 3 2 6" xfId="29446"/>
    <cellStyle name="Normal 4 6 3 3" xfId="2129"/>
    <cellStyle name="Normal 4 6 3 3 2" xfId="5016"/>
    <cellStyle name="Normal 4 6 3 3 2 2" xfId="11057"/>
    <cellStyle name="Normal 4 6 3 3 2 2 2" xfId="28104"/>
    <cellStyle name="Normal 4 6 3 3 2 2 2 2" xfId="56965"/>
    <cellStyle name="Normal 4 6 3 3 2 2 3" xfId="39918"/>
    <cellStyle name="Normal 4 6 3 3 2 3" xfId="22126"/>
    <cellStyle name="Normal 4 6 3 3 2 3 2" xfId="50987"/>
    <cellStyle name="Normal 4 6 3 3 2 4" xfId="33877"/>
    <cellStyle name="Normal 4 6 3 3 3" xfId="8171"/>
    <cellStyle name="Normal 4 6 3 3 3 2" xfId="25218"/>
    <cellStyle name="Normal 4 6 3 3 3 2 2" xfId="54079"/>
    <cellStyle name="Normal 4 6 3 3 3 3" xfId="37032"/>
    <cellStyle name="Normal 4 6 3 3 4" xfId="14050"/>
    <cellStyle name="Normal 4 6 3 3 4 2" xfId="19446"/>
    <cellStyle name="Normal 4 6 3 3 4 2 2" xfId="48307"/>
    <cellStyle name="Normal 4 6 3 3 4 3" xfId="42911"/>
    <cellStyle name="Normal 4 6 3 3 5" xfId="16766"/>
    <cellStyle name="Normal 4 6 3 3 5 2" xfId="45627"/>
    <cellStyle name="Normal 4 6 3 3 6" xfId="30991"/>
    <cellStyle name="Normal 4 6 3 4" xfId="3059"/>
    <cellStyle name="Normal 4 6 3 4 2" xfId="9100"/>
    <cellStyle name="Normal 4 6 3 4 2 2" xfId="26147"/>
    <cellStyle name="Normal 4 6 3 4 2 2 2" xfId="55008"/>
    <cellStyle name="Normal 4 6 3 4 2 3" xfId="37961"/>
    <cellStyle name="Normal 4 6 3 4 3" xfId="20169"/>
    <cellStyle name="Normal 4 6 3 4 3 2" xfId="49030"/>
    <cellStyle name="Normal 4 6 3 4 4" xfId="31920"/>
    <cellStyle name="Normal 4 6 3 5" xfId="6214"/>
    <cellStyle name="Normal 4 6 3 5 2" xfId="23261"/>
    <cellStyle name="Normal 4 6 3 5 2 2" xfId="52122"/>
    <cellStyle name="Normal 4 6 3 5 3" xfId="35075"/>
    <cellStyle name="Normal 4 6 3 6" xfId="13512"/>
    <cellStyle name="Normal 4 6 3 6 2" xfId="17592"/>
    <cellStyle name="Normal 4 6 3 6 2 2" xfId="46453"/>
    <cellStyle name="Normal 4 6 3 6 3" xfId="42373"/>
    <cellStyle name="Normal 4 6 3 7" xfId="14809"/>
    <cellStyle name="Normal 4 6 3 7 2" xfId="43670"/>
    <cellStyle name="Normal 4 6 3 8" xfId="29034"/>
    <cellStyle name="Normal 4 6 4" xfId="378"/>
    <cellStyle name="Normal 4 6 4 2" xfId="3265"/>
    <cellStyle name="Normal 4 6 4 2 2" xfId="9306"/>
    <cellStyle name="Normal 4 6 4 2 2 2" xfId="26353"/>
    <cellStyle name="Normal 4 6 4 2 2 2 2" xfId="55214"/>
    <cellStyle name="Normal 4 6 4 2 2 3" xfId="38167"/>
    <cellStyle name="Normal 4 6 4 2 3" xfId="20375"/>
    <cellStyle name="Normal 4 6 4 2 3 2" xfId="49236"/>
    <cellStyle name="Normal 4 6 4 2 4" xfId="32126"/>
    <cellStyle name="Normal 4 6 4 3" xfId="6420"/>
    <cellStyle name="Normal 4 6 4 3 2" xfId="23467"/>
    <cellStyle name="Normal 4 6 4 3 2 2" xfId="52328"/>
    <cellStyle name="Normal 4 6 4 3 3" xfId="35281"/>
    <cellStyle name="Normal 4 6 4 4" xfId="12844"/>
    <cellStyle name="Normal 4 6 4 4 2" xfId="17695"/>
    <cellStyle name="Normal 4 6 4 4 2 2" xfId="46556"/>
    <cellStyle name="Normal 4 6 4 4 3" xfId="41705"/>
    <cellStyle name="Normal 4 6 4 5" xfId="15015"/>
    <cellStyle name="Normal 4 6 4 5 2" xfId="43876"/>
    <cellStyle name="Normal 4 6 4 6" xfId="29240"/>
    <cellStyle name="Normal 4 6 5" xfId="687"/>
    <cellStyle name="Normal 4 6 5 2" xfId="3574"/>
    <cellStyle name="Normal 4 6 5 2 2" xfId="9615"/>
    <cellStyle name="Normal 4 6 5 2 2 2" xfId="26662"/>
    <cellStyle name="Normal 4 6 5 2 2 2 2" xfId="55523"/>
    <cellStyle name="Normal 4 6 5 2 2 3" xfId="38476"/>
    <cellStyle name="Normal 4 6 5 2 3" xfId="20684"/>
    <cellStyle name="Normal 4 6 5 2 3 2" xfId="49545"/>
    <cellStyle name="Normal 4 6 5 2 4" xfId="32435"/>
    <cellStyle name="Normal 4 6 5 3" xfId="6729"/>
    <cellStyle name="Normal 4 6 5 3 2" xfId="23776"/>
    <cellStyle name="Normal 4 6 5 3 2 2" xfId="52637"/>
    <cellStyle name="Normal 4 6 5 3 3" xfId="35590"/>
    <cellStyle name="Normal 4 6 5 4" xfId="13318"/>
    <cellStyle name="Normal 4 6 5 4 2" xfId="18004"/>
    <cellStyle name="Normal 4 6 5 4 2 2" xfId="46865"/>
    <cellStyle name="Normal 4 6 5 4 3" xfId="42179"/>
    <cellStyle name="Normal 4 6 5 5" xfId="15324"/>
    <cellStyle name="Normal 4 6 5 5 2" xfId="44185"/>
    <cellStyle name="Normal 4 6 5 6" xfId="29549"/>
    <cellStyle name="Normal 4 6 6" xfId="893"/>
    <cellStyle name="Normal 4 6 6 2" xfId="3780"/>
    <cellStyle name="Normal 4 6 6 2 2" xfId="9821"/>
    <cellStyle name="Normal 4 6 6 2 2 2" xfId="26868"/>
    <cellStyle name="Normal 4 6 6 2 2 2 2" xfId="55729"/>
    <cellStyle name="Normal 4 6 6 2 2 3" xfId="38682"/>
    <cellStyle name="Normal 4 6 6 2 3" xfId="20890"/>
    <cellStyle name="Normal 4 6 6 2 3 2" xfId="49751"/>
    <cellStyle name="Normal 4 6 6 2 4" xfId="32641"/>
    <cellStyle name="Normal 4 6 6 3" xfId="6935"/>
    <cellStyle name="Normal 4 6 6 3 2" xfId="23982"/>
    <cellStyle name="Normal 4 6 6 3 2 2" xfId="52843"/>
    <cellStyle name="Normal 4 6 6 3 3" xfId="35796"/>
    <cellStyle name="Normal 4 6 6 4" xfId="13219"/>
    <cellStyle name="Normal 4 6 6 4 2" xfId="18210"/>
    <cellStyle name="Normal 4 6 6 4 2 2" xfId="47071"/>
    <cellStyle name="Normal 4 6 6 4 3" xfId="42080"/>
    <cellStyle name="Normal 4 6 6 5" xfId="15530"/>
    <cellStyle name="Normal 4 6 6 5 2" xfId="44391"/>
    <cellStyle name="Normal 4 6 6 6" xfId="29755"/>
    <cellStyle name="Normal 4 6 7" xfId="1099"/>
    <cellStyle name="Normal 4 6 7 2" xfId="3986"/>
    <cellStyle name="Normal 4 6 7 2 2" xfId="10027"/>
    <cellStyle name="Normal 4 6 7 2 2 2" xfId="27074"/>
    <cellStyle name="Normal 4 6 7 2 2 2 2" xfId="55935"/>
    <cellStyle name="Normal 4 6 7 2 2 3" xfId="38888"/>
    <cellStyle name="Normal 4 6 7 2 3" xfId="21096"/>
    <cellStyle name="Normal 4 6 7 2 3 2" xfId="49957"/>
    <cellStyle name="Normal 4 6 7 2 4" xfId="32847"/>
    <cellStyle name="Normal 4 6 7 3" xfId="7141"/>
    <cellStyle name="Normal 4 6 7 3 2" xfId="24188"/>
    <cellStyle name="Normal 4 6 7 3 2 2" xfId="53049"/>
    <cellStyle name="Normal 4 6 7 3 3" xfId="36002"/>
    <cellStyle name="Normal 4 6 7 4" xfId="12139"/>
    <cellStyle name="Normal 4 6 7 4 2" xfId="18416"/>
    <cellStyle name="Normal 4 6 7 4 2 2" xfId="47277"/>
    <cellStyle name="Normal 4 6 7 4 3" xfId="41000"/>
    <cellStyle name="Normal 4 6 7 5" xfId="15736"/>
    <cellStyle name="Normal 4 6 7 5 2" xfId="44597"/>
    <cellStyle name="Normal 4 6 7 6" xfId="29961"/>
    <cellStyle name="Normal 4 6 8" xfId="1305"/>
    <cellStyle name="Normal 4 6 8 2" xfId="4192"/>
    <cellStyle name="Normal 4 6 8 2 2" xfId="10233"/>
    <cellStyle name="Normal 4 6 8 2 2 2" xfId="27280"/>
    <cellStyle name="Normal 4 6 8 2 2 2 2" xfId="56141"/>
    <cellStyle name="Normal 4 6 8 2 2 3" xfId="39094"/>
    <cellStyle name="Normal 4 6 8 2 3" xfId="21302"/>
    <cellStyle name="Normal 4 6 8 2 3 2" xfId="50163"/>
    <cellStyle name="Normal 4 6 8 2 4" xfId="33053"/>
    <cellStyle name="Normal 4 6 8 3" xfId="7347"/>
    <cellStyle name="Normal 4 6 8 3 2" xfId="24394"/>
    <cellStyle name="Normal 4 6 8 3 2 2" xfId="53255"/>
    <cellStyle name="Normal 4 6 8 3 3" xfId="36208"/>
    <cellStyle name="Normal 4 6 8 4" xfId="14261"/>
    <cellStyle name="Normal 4 6 8 4 2" xfId="18622"/>
    <cellStyle name="Normal 4 6 8 4 2 2" xfId="47483"/>
    <cellStyle name="Normal 4 6 8 4 3" xfId="43122"/>
    <cellStyle name="Normal 4 6 8 5" xfId="15942"/>
    <cellStyle name="Normal 4 6 8 5 2" xfId="44803"/>
    <cellStyle name="Normal 4 6 8 6" xfId="30167"/>
    <cellStyle name="Normal 4 6 9" xfId="1511"/>
    <cellStyle name="Normal 4 6 9 2" xfId="4398"/>
    <cellStyle name="Normal 4 6 9 2 2" xfId="10439"/>
    <cellStyle name="Normal 4 6 9 2 2 2" xfId="27486"/>
    <cellStyle name="Normal 4 6 9 2 2 2 2" xfId="56347"/>
    <cellStyle name="Normal 4 6 9 2 2 3" xfId="39300"/>
    <cellStyle name="Normal 4 6 9 2 3" xfId="21508"/>
    <cellStyle name="Normal 4 6 9 2 3 2" xfId="50369"/>
    <cellStyle name="Normal 4 6 9 2 4" xfId="33259"/>
    <cellStyle name="Normal 4 6 9 3" xfId="7553"/>
    <cellStyle name="Normal 4 6 9 3 2" xfId="24600"/>
    <cellStyle name="Normal 4 6 9 3 2 2" xfId="53461"/>
    <cellStyle name="Normal 4 6 9 3 3" xfId="36414"/>
    <cellStyle name="Normal 4 6 9 4" xfId="14374"/>
    <cellStyle name="Normal 4 6 9 4 2" xfId="18828"/>
    <cellStyle name="Normal 4 6 9 4 2 2" xfId="47689"/>
    <cellStyle name="Normal 4 6 9 4 3" xfId="43235"/>
    <cellStyle name="Normal 4 6 9 5" xfId="16148"/>
    <cellStyle name="Normal 4 6 9 5 2" xfId="45009"/>
    <cellStyle name="Normal 4 6 9 6" xfId="30373"/>
    <cellStyle name="Normal 4 7" xfId="38"/>
    <cellStyle name="Normal 4 7 10" xfId="1718"/>
    <cellStyle name="Normal 4 7 10 2" xfId="4605"/>
    <cellStyle name="Normal 4 7 10 2 2" xfId="10646"/>
    <cellStyle name="Normal 4 7 10 2 2 2" xfId="27693"/>
    <cellStyle name="Normal 4 7 10 2 2 2 2" xfId="56554"/>
    <cellStyle name="Normal 4 7 10 2 2 3" xfId="39507"/>
    <cellStyle name="Normal 4 7 10 2 3" xfId="21715"/>
    <cellStyle name="Normal 4 7 10 2 3 2" xfId="50576"/>
    <cellStyle name="Normal 4 7 10 2 4" xfId="33466"/>
    <cellStyle name="Normal 4 7 10 3" xfId="7760"/>
    <cellStyle name="Normal 4 7 10 3 2" xfId="24807"/>
    <cellStyle name="Normal 4 7 10 3 2 2" xfId="53668"/>
    <cellStyle name="Normal 4 7 10 3 3" xfId="36621"/>
    <cellStyle name="Normal 4 7 10 4" xfId="12859"/>
    <cellStyle name="Normal 4 7 10 4 2" xfId="19035"/>
    <cellStyle name="Normal 4 7 10 4 2 2" xfId="47896"/>
    <cellStyle name="Normal 4 7 10 4 3" xfId="41720"/>
    <cellStyle name="Normal 4 7 10 5" xfId="16355"/>
    <cellStyle name="Normal 4 7 10 5 2" xfId="45216"/>
    <cellStyle name="Normal 4 7 10 6" xfId="30580"/>
    <cellStyle name="Normal 4 7 11" xfId="1924"/>
    <cellStyle name="Normal 4 7 11 2" xfId="4811"/>
    <cellStyle name="Normal 4 7 11 2 2" xfId="10852"/>
    <cellStyle name="Normal 4 7 11 2 2 2" xfId="27899"/>
    <cellStyle name="Normal 4 7 11 2 2 2 2" xfId="56760"/>
    <cellStyle name="Normal 4 7 11 2 2 3" xfId="39713"/>
    <cellStyle name="Normal 4 7 11 2 3" xfId="21921"/>
    <cellStyle name="Normal 4 7 11 2 3 2" xfId="50782"/>
    <cellStyle name="Normal 4 7 11 2 4" xfId="33672"/>
    <cellStyle name="Normal 4 7 11 3" xfId="7966"/>
    <cellStyle name="Normal 4 7 11 3 2" xfId="25013"/>
    <cellStyle name="Normal 4 7 11 3 2 2" xfId="53874"/>
    <cellStyle name="Normal 4 7 11 3 3" xfId="36827"/>
    <cellStyle name="Normal 4 7 11 4" xfId="14029"/>
    <cellStyle name="Normal 4 7 11 4 2" xfId="19241"/>
    <cellStyle name="Normal 4 7 11 4 2 2" xfId="48102"/>
    <cellStyle name="Normal 4 7 11 4 3" xfId="42890"/>
    <cellStyle name="Normal 4 7 11 5" xfId="16561"/>
    <cellStyle name="Normal 4 7 11 5 2" xfId="45422"/>
    <cellStyle name="Normal 4 7 11 6" xfId="30786"/>
    <cellStyle name="Normal 4 7 12" xfId="2336"/>
    <cellStyle name="Normal 4 7 12 2" xfId="5223"/>
    <cellStyle name="Normal 4 7 12 2 2" xfId="11264"/>
    <cellStyle name="Normal 4 7 12 2 2 2" xfId="28311"/>
    <cellStyle name="Normal 4 7 12 2 2 2 2" xfId="57172"/>
    <cellStyle name="Normal 4 7 12 2 2 3" xfId="40125"/>
    <cellStyle name="Normal 4 7 12 2 3" xfId="22333"/>
    <cellStyle name="Normal 4 7 12 2 3 2" xfId="51194"/>
    <cellStyle name="Normal 4 7 12 2 4" xfId="34084"/>
    <cellStyle name="Normal 4 7 12 3" xfId="8378"/>
    <cellStyle name="Normal 4 7 12 3 2" xfId="25425"/>
    <cellStyle name="Normal 4 7 12 3 2 2" xfId="54286"/>
    <cellStyle name="Normal 4 7 12 3 3" xfId="37239"/>
    <cellStyle name="Normal 4 7 12 4" xfId="13809"/>
    <cellStyle name="Normal 4 7 12 4 2" xfId="19653"/>
    <cellStyle name="Normal 4 7 12 4 2 2" xfId="48514"/>
    <cellStyle name="Normal 4 7 12 4 3" xfId="42670"/>
    <cellStyle name="Normal 4 7 12 5" xfId="16973"/>
    <cellStyle name="Normal 4 7 12 5 2" xfId="45834"/>
    <cellStyle name="Normal 4 7 12 6" xfId="31198"/>
    <cellStyle name="Normal 4 7 13" xfId="2545"/>
    <cellStyle name="Normal 4 7 13 2" xfId="5431"/>
    <cellStyle name="Normal 4 7 13 2 2" xfId="11472"/>
    <cellStyle name="Normal 4 7 13 2 2 2" xfId="28519"/>
    <cellStyle name="Normal 4 7 13 2 2 2 2" xfId="57380"/>
    <cellStyle name="Normal 4 7 13 2 2 3" xfId="40333"/>
    <cellStyle name="Normal 4 7 13 2 3" xfId="22541"/>
    <cellStyle name="Normal 4 7 13 2 3 2" xfId="51402"/>
    <cellStyle name="Normal 4 7 13 2 4" xfId="34292"/>
    <cellStyle name="Normal 4 7 13 3" xfId="8586"/>
    <cellStyle name="Normal 4 7 13 3 2" xfId="25633"/>
    <cellStyle name="Normal 4 7 13 3 2 2" xfId="54494"/>
    <cellStyle name="Normal 4 7 13 3 3" xfId="37447"/>
    <cellStyle name="Normal 4 7 13 4" xfId="12239"/>
    <cellStyle name="Normal 4 7 13 4 2" xfId="19861"/>
    <cellStyle name="Normal 4 7 13 4 2 2" xfId="48722"/>
    <cellStyle name="Normal 4 7 13 4 3" xfId="41100"/>
    <cellStyle name="Normal 4 7 13 5" xfId="17181"/>
    <cellStyle name="Normal 4 7 13 5 2" xfId="46042"/>
    <cellStyle name="Normal 4 7 13 6" xfId="31406"/>
    <cellStyle name="Normal 4 7 14" xfId="2957"/>
    <cellStyle name="Normal 4 7 14 2" xfId="8998"/>
    <cellStyle name="Normal 4 7 14 2 2" xfId="26045"/>
    <cellStyle name="Normal 4 7 14 2 2 2" xfId="54906"/>
    <cellStyle name="Normal 4 7 14 2 3" xfId="37859"/>
    <cellStyle name="Normal 4 7 14 3" xfId="13303"/>
    <cellStyle name="Normal 4 7 14 3 2" xfId="20067"/>
    <cellStyle name="Normal 4 7 14 3 2 2" xfId="48928"/>
    <cellStyle name="Normal 4 7 14 3 3" xfId="42164"/>
    <cellStyle name="Normal 4 7 14 4" xfId="14707"/>
    <cellStyle name="Normal 4 7 14 4 2" xfId="43568"/>
    <cellStyle name="Normal 4 7 14 5" xfId="31818"/>
    <cellStyle name="Normal 4 7 15" xfId="2751"/>
    <cellStyle name="Normal 4 7 15 2" xfId="8792"/>
    <cellStyle name="Normal 4 7 15 2 2" xfId="25839"/>
    <cellStyle name="Normal 4 7 15 2 2 2" xfId="54700"/>
    <cellStyle name="Normal 4 7 15 2 3" xfId="37653"/>
    <cellStyle name="Normal 4 7 15 3" xfId="17387"/>
    <cellStyle name="Normal 4 7 15 3 2" xfId="46248"/>
    <cellStyle name="Normal 4 7 15 4" xfId="31612"/>
    <cellStyle name="Normal 4 7 16" xfId="5637"/>
    <cellStyle name="Normal 4 7 16 2" xfId="11678"/>
    <cellStyle name="Normal 4 7 16 2 2" xfId="28725"/>
    <cellStyle name="Normal 4 7 16 2 2 2" xfId="57586"/>
    <cellStyle name="Normal 4 7 16 2 3" xfId="40539"/>
    <cellStyle name="Normal 4 7 16 3" xfId="22747"/>
    <cellStyle name="Normal 4 7 16 3 2" xfId="51608"/>
    <cellStyle name="Normal 4 7 16 4" xfId="34498"/>
    <cellStyle name="Normal 4 7 17" xfId="5848"/>
    <cellStyle name="Normal 4 7 17 2" xfId="22953"/>
    <cellStyle name="Normal 4 7 17 2 2" xfId="51814"/>
    <cellStyle name="Normal 4 7 17 3" xfId="34709"/>
    <cellStyle name="Normal 4 7 18" xfId="6112"/>
    <cellStyle name="Normal 4 7 18 2" xfId="23159"/>
    <cellStyle name="Normal 4 7 18 2 2" xfId="52020"/>
    <cellStyle name="Normal 4 7 18 3" xfId="34973"/>
    <cellStyle name="Normal 4 7 19" xfId="14501"/>
    <cellStyle name="Normal 4 7 19 2" xfId="43362"/>
    <cellStyle name="Normal 4 7 2" xfId="276"/>
    <cellStyle name="Normal 4 7 2 10" xfId="2439"/>
    <cellStyle name="Normal 4 7 2 10 2" xfId="5326"/>
    <cellStyle name="Normal 4 7 2 10 2 2" xfId="11367"/>
    <cellStyle name="Normal 4 7 2 10 2 2 2" xfId="28414"/>
    <cellStyle name="Normal 4 7 2 10 2 2 2 2" xfId="57275"/>
    <cellStyle name="Normal 4 7 2 10 2 2 3" xfId="40228"/>
    <cellStyle name="Normal 4 7 2 10 2 3" xfId="22436"/>
    <cellStyle name="Normal 4 7 2 10 2 3 2" xfId="51297"/>
    <cellStyle name="Normal 4 7 2 10 2 4" xfId="34187"/>
    <cellStyle name="Normal 4 7 2 10 3" xfId="8481"/>
    <cellStyle name="Normal 4 7 2 10 3 2" xfId="25528"/>
    <cellStyle name="Normal 4 7 2 10 3 2 2" xfId="54389"/>
    <cellStyle name="Normal 4 7 2 10 3 3" xfId="37342"/>
    <cellStyle name="Normal 4 7 2 10 4" xfId="12673"/>
    <cellStyle name="Normal 4 7 2 10 4 2" xfId="19756"/>
    <cellStyle name="Normal 4 7 2 10 4 2 2" xfId="48617"/>
    <cellStyle name="Normal 4 7 2 10 4 3" xfId="41534"/>
    <cellStyle name="Normal 4 7 2 10 5" xfId="17076"/>
    <cellStyle name="Normal 4 7 2 10 5 2" xfId="45937"/>
    <cellStyle name="Normal 4 7 2 10 6" xfId="31301"/>
    <cellStyle name="Normal 4 7 2 11" xfId="2648"/>
    <cellStyle name="Normal 4 7 2 11 2" xfId="5534"/>
    <cellStyle name="Normal 4 7 2 11 2 2" xfId="11575"/>
    <cellStyle name="Normal 4 7 2 11 2 2 2" xfId="28622"/>
    <cellStyle name="Normal 4 7 2 11 2 2 2 2" xfId="57483"/>
    <cellStyle name="Normal 4 7 2 11 2 2 3" xfId="40436"/>
    <cellStyle name="Normal 4 7 2 11 2 3" xfId="22644"/>
    <cellStyle name="Normal 4 7 2 11 2 3 2" xfId="51505"/>
    <cellStyle name="Normal 4 7 2 11 2 4" xfId="34395"/>
    <cellStyle name="Normal 4 7 2 11 3" xfId="8689"/>
    <cellStyle name="Normal 4 7 2 11 3 2" xfId="25736"/>
    <cellStyle name="Normal 4 7 2 11 3 2 2" xfId="54597"/>
    <cellStyle name="Normal 4 7 2 11 3 3" xfId="37550"/>
    <cellStyle name="Normal 4 7 2 11 4" xfId="12576"/>
    <cellStyle name="Normal 4 7 2 11 4 2" xfId="19964"/>
    <cellStyle name="Normal 4 7 2 11 4 2 2" xfId="48825"/>
    <cellStyle name="Normal 4 7 2 11 4 3" xfId="41437"/>
    <cellStyle name="Normal 4 7 2 11 5" xfId="17284"/>
    <cellStyle name="Normal 4 7 2 11 5 2" xfId="46145"/>
    <cellStyle name="Normal 4 7 2 11 6" xfId="31509"/>
    <cellStyle name="Normal 4 7 2 12" xfId="3163"/>
    <cellStyle name="Normal 4 7 2 12 2" xfId="9204"/>
    <cellStyle name="Normal 4 7 2 12 2 2" xfId="26251"/>
    <cellStyle name="Normal 4 7 2 12 2 2 2" xfId="55112"/>
    <cellStyle name="Normal 4 7 2 12 2 3" xfId="38065"/>
    <cellStyle name="Normal 4 7 2 12 3" xfId="14486"/>
    <cellStyle name="Normal 4 7 2 12 3 2" xfId="20273"/>
    <cellStyle name="Normal 4 7 2 12 3 2 2" xfId="49134"/>
    <cellStyle name="Normal 4 7 2 12 3 3" xfId="43347"/>
    <cellStyle name="Normal 4 7 2 12 4" xfId="14913"/>
    <cellStyle name="Normal 4 7 2 12 4 2" xfId="43774"/>
    <cellStyle name="Normal 4 7 2 12 5" xfId="32024"/>
    <cellStyle name="Normal 4 7 2 13" xfId="2854"/>
    <cellStyle name="Normal 4 7 2 13 2" xfId="8895"/>
    <cellStyle name="Normal 4 7 2 13 2 2" xfId="25942"/>
    <cellStyle name="Normal 4 7 2 13 2 2 2" xfId="54803"/>
    <cellStyle name="Normal 4 7 2 13 2 3" xfId="37756"/>
    <cellStyle name="Normal 4 7 2 13 3" xfId="17490"/>
    <cellStyle name="Normal 4 7 2 13 3 2" xfId="46351"/>
    <cellStyle name="Normal 4 7 2 13 4" xfId="31715"/>
    <cellStyle name="Normal 4 7 2 14" xfId="5740"/>
    <cellStyle name="Normal 4 7 2 14 2" xfId="11781"/>
    <cellStyle name="Normal 4 7 2 14 2 2" xfId="28828"/>
    <cellStyle name="Normal 4 7 2 14 2 2 2" xfId="57689"/>
    <cellStyle name="Normal 4 7 2 14 2 3" xfId="40642"/>
    <cellStyle name="Normal 4 7 2 14 3" xfId="22850"/>
    <cellStyle name="Normal 4 7 2 14 3 2" xfId="51711"/>
    <cellStyle name="Normal 4 7 2 14 4" xfId="34601"/>
    <cellStyle name="Normal 4 7 2 15" xfId="5957"/>
    <cellStyle name="Normal 4 7 2 15 2" xfId="23056"/>
    <cellStyle name="Normal 4 7 2 15 2 2" xfId="51917"/>
    <cellStyle name="Normal 4 7 2 15 3" xfId="34818"/>
    <cellStyle name="Normal 4 7 2 16" xfId="6318"/>
    <cellStyle name="Normal 4 7 2 16 2" xfId="23365"/>
    <cellStyle name="Normal 4 7 2 16 2 2" xfId="52226"/>
    <cellStyle name="Normal 4 7 2 16 3" xfId="35179"/>
    <cellStyle name="Normal 4 7 2 17" xfId="14604"/>
    <cellStyle name="Normal 4 7 2 17 2" xfId="43465"/>
    <cellStyle name="Normal 4 7 2 18" xfId="29138"/>
    <cellStyle name="Normal 4 7 2 2" xfId="482"/>
    <cellStyle name="Normal 4 7 2 2 2" xfId="2233"/>
    <cellStyle name="Normal 4 7 2 2 2 2" xfId="5120"/>
    <cellStyle name="Normal 4 7 2 2 2 2 2" xfId="11161"/>
    <cellStyle name="Normal 4 7 2 2 2 2 2 2" xfId="28208"/>
    <cellStyle name="Normal 4 7 2 2 2 2 2 2 2" xfId="57069"/>
    <cellStyle name="Normal 4 7 2 2 2 2 2 3" xfId="40022"/>
    <cellStyle name="Normal 4 7 2 2 2 2 3" xfId="22230"/>
    <cellStyle name="Normal 4 7 2 2 2 2 3 2" xfId="51091"/>
    <cellStyle name="Normal 4 7 2 2 2 2 4" xfId="33981"/>
    <cellStyle name="Normal 4 7 2 2 2 3" xfId="8275"/>
    <cellStyle name="Normal 4 7 2 2 2 3 2" xfId="25322"/>
    <cellStyle name="Normal 4 7 2 2 2 3 2 2" xfId="54183"/>
    <cellStyle name="Normal 4 7 2 2 2 3 3" xfId="37136"/>
    <cellStyle name="Normal 4 7 2 2 2 4" xfId="12604"/>
    <cellStyle name="Normal 4 7 2 2 2 4 2" xfId="19550"/>
    <cellStyle name="Normal 4 7 2 2 2 4 2 2" xfId="48411"/>
    <cellStyle name="Normal 4 7 2 2 2 4 3" xfId="41465"/>
    <cellStyle name="Normal 4 7 2 2 2 5" xfId="16870"/>
    <cellStyle name="Normal 4 7 2 2 2 5 2" xfId="45731"/>
    <cellStyle name="Normal 4 7 2 2 2 6" xfId="31095"/>
    <cellStyle name="Normal 4 7 2 2 3" xfId="3369"/>
    <cellStyle name="Normal 4 7 2 2 3 2" xfId="9410"/>
    <cellStyle name="Normal 4 7 2 2 3 2 2" xfId="26457"/>
    <cellStyle name="Normal 4 7 2 2 3 2 2 2" xfId="55318"/>
    <cellStyle name="Normal 4 7 2 2 3 2 3" xfId="38271"/>
    <cellStyle name="Normal 4 7 2 2 3 3" xfId="20479"/>
    <cellStyle name="Normal 4 7 2 2 3 3 2" xfId="49340"/>
    <cellStyle name="Normal 4 7 2 2 3 4" xfId="32230"/>
    <cellStyle name="Normal 4 7 2 2 4" xfId="6524"/>
    <cellStyle name="Normal 4 7 2 2 4 2" xfId="23571"/>
    <cellStyle name="Normal 4 7 2 2 4 2 2" xfId="52432"/>
    <cellStyle name="Normal 4 7 2 2 4 3" xfId="35385"/>
    <cellStyle name="Normal 4 7 2 2 5" xfId="14433"/>
    <cellStyle name="Normal 4 7 2 2 5 2" xfId="17799"/>
    <cellStyle name="Normal 4 7 2 2 5 2 2" xfId="46660"/>
    <cellStyle name="Normal 4 7 2 2 5 3" xfId="43294"/>
    <cellStyle name="Normal 4 7 2 2 6" xfId="15119"/>
    <cellStyle name="Normal 4 7 2 2 6 2" xfId="43980"/>
    <cellStyle name="Normal 4 7 2 2 7" xfId="29344"/>
    <cellStyle name="Normal 4 7 2 3" xfId="791"/>
    <cellStyle name="Normal 4 7 2 3 2" xfId="3678"/>
    <cellStyle name="Normal 4 7 2 3 2 2" xfId="9719"/>
    <cellStyle name="Normal 4 7 2 3 2 2 2" xfId="26766"/>
    <cellStyle name="Normal 4 7 2 3 2 2 2 2" xfId="55627"/>
    <cellStyle name="Normal 4 7 2 3 2 2 3" xfId="38580"/>
    <cellStyle name="Normal 4 7 2 3 2 3" xfId="20788"/>
    <cellStyle name="Normal 4 7 2 3 2 3 2" xfId="49649"/>
    <cellStyle name="Normal 4 7 2 3 2 4" xfId="32539"/>
    <cellStyle name="Normal 4 7 2 3 3" xfId="6833"/>
    <cellStyle name="Normal 4 7 2 3 3 2" xfId="23880"/>
    <cellStyle name="Normal 4 7 2 3 3 2 2" xfId="52741"/>
    <cellStyle name="Normal 4 7 2 3 3 3" xfId="35694"/>
    <cellStyle name="Normal 4 7 2 3 4" xfId="14430"/>
    <cellStyle name="Normal 4 7 2 3 4 2" xfId="18108"/>
    <cellStyle name="Normal 4 7 2 3 4 2 2" xfId="46969"/>
    <cellStyle name="Normal 4 7 2 3 4 3" xfId="43291"/>
    <cellStyle name="Normal 4 7 2 3 5" xfId="15428"/>
    <cellStyle name="Normal 4 7 2 3 5 2" xfId="44289"/>
    <cellStyle name="Normal 4 7 2 3 6" xfId="29653"/>
    <cellStyle name="Normal 4 7 2 4" xfId="997"/>
    <cellStyle name="Normal 4 7 2 4 2" xfId="3884"/>
    <cellStyle name="Normal 4 7 2 4 2 2" xfId="9925"/>
    <cellStyle name="Normal 4 7 2 4 2 2 2" xfId="26972"/>
    <cellStyle name="Normal 4 7 2 4 2 2 2 2" xfId="55833"/>
    <cellStyle name="Normal 4 7 2 4 2 2 3" xfId="38786"/>
    <cellStyle name="Normal 4 7 2 4 2 3" xfId="20994"/>
    <cellStyle name="Normal 4 7 2 4 2 3 2" xfId="49855"/>
    <cellStyle name="Normal 4 7 2 4 2 4" xfId="32745"/>
    <cellStyle name="Normal 4 7 2 4 3" xfId="7039"/>
    <cellStyle name="Normal 4 7 2 4 3 2" xfId="24086"/>
    <cellStyle name="Normal 4 7 2 4 3 2 2" xfId="52947"/>
    <cellStyle name="Normal 4 7 2 4 3 3" xfId="35900"/>
    <cellStyle name="Normal 4 7 2 4 4" xfId="12237"/>
    <cellStyle name="Normal 4 7 2 4 4 2" xfId="18314"/>
    <cellStyle name="Normal 4 7 2 4 4 2 2" xfId="47175"/>
    <cellStyle name="Normal 4 7 2 4 4 3" xfId="41098"/>
    <cellStyle name="Normal 4 7 2 4 5" xfId="15634"/>
    <cellStyle name="Normal 4 7 2 4 5 2" xfId="44495"/>
    <cellStyle name="Normal 4 7 2 4 6" xfId="29859"/>
    <cellStyle name="Normal 4 7 2 5" xfId="1203"/>
    <cellStyle name="Normal 4 7 2 5 2" xfId="4090"/>
    <cellStyle name="Normal 4 7 2 5 2 2" xfId="10131"/>
    <cellStyle name="Normal 4 7 2 5 2 2 2" xfId="27178"/>
    <cellStyle name="Normal 4 7 2 5 2 2 2 2" xfId="56039"/>
    <cellStyle name="Normal 4 7 2 5 2 2 3" xfId="38992"/>
    <cellStyle name="Normal 4 7 2 5 2 3" xfId="21200"/>
    <cellStyle name="Normal 4 7 2 5 2 3 2" xfId="50061"/>
    <cellStyle name="Normal 4 7 2 5 2 4" xfId="32951"/>
    <cellStyle name="Normal 4 7 2 5 3" xfId="7245"/>
    <cellStyle name="Normal 4 7 2 5 3 2" xfId="24292"/>
    <cellStyle name="Normal 4 7 2 5 3 2 2" xfId="53153"/>
    <cellStyle name="Normal 4 7 2 5 3 3" xfId="36106"/>
    <cellStyle name="Normal 4 7 2 5 4" xfId="13304"/>
    <cellStyle name="Normal 4 7 2 5 4 2" xfId="18520"/>
    <cellStyle name="Normal 4 7 2 5 4 2 2" xfId="47381"/>
    <cellStyle name="Normal 4 7 2 5 4 3" xfId="42165"/>
    <cellStyle name="Normal 4 7 2 5 5" xfId="15840"/>
    <cellStyle name="Normal 4 7 2 5 5 2" xfId="44701"/>
    <cellStyle name="Normal 4 7 2 5 6" xfId="30065"/>
    <cellStyle name="Normal 4 7 2 6" xfId="1409"/>
    <cellStyle name="Normal 4 7 2 6 2" xfId="4296"/>
    <cellStyle name="Normal 4 7 2 6 2 2" xfId="10337"/>
    <cellStyle name="Normal 4 7 2 6 2 2 2" xfId="27384"/>
    <cellStyle name="Normal 4 7 2 6 2 2 2 2" xfId="56245"/>
    <cellStyle name="Normal 4 7 2 6 2 2 3" xfId="39198"/>
    <cellStyle name="Normal 4 7 2 6 2 3" xfId="21406"/>
    <cellStyle name="Normal 4 7 2 6 2 3 2" xfId="50267"/>
    <cellStyle name="Normal 4 7 2 6 2 4" xfId="33157"/>
    <cellStyle name="Normal 4 7 2 6 3" xfId="7451"/>
    <cellStyle name="Normal 4 7 2 6 3 2" xfId="24498"/>
    <cellStyle name="Normal 4 7 2 6 3 2 2" xfId="53359"/>
    <cellStyle name="Normal 4 7 2 6 3 3" xfId="36312"/>
    <cellStyle name="Normal 4 7 2 6 4" xfId="12909"/>
    <cellStyle name="Normal 4 7 2 6 4 2" xfId="18726"/>
    <cellStyle name="Normal 4 7 2 6 4 2 2" xfId="47587"/>
    <cellStyle name="Normal 4 7 2 6 4 3" xfId="41770"/>
    <cellStyle name="Normal 4 7 2 6 5" xfId="16046"/>
    <cellStyle name="Normal 4 7 2 6 5 2" xfId="44907"/>
    <cellStyle name="Normal 4 7 2 6 6" xfId="30271"/>
    <cellStyle name="Normal 4 7 2 7" xfId="1615"/>
    <cellStyle name="Normal 4 7 2 7 2" xfId="4502"/>
    <cellStyle name="Normal 4 7 2 7 2 2" xfId="10543"/>
    <cellStyle name="Normal 4 7 2 7 2 2 2" xfId="27590"/>
    <cellStyle name="Normal 4 7 2 7 2 2 2 2" xfId="56451"/>
    <cellStyle name="Normal 4 7 2 7 2 2 3" xfId="39404"/>
    <cellStyle name="Normal 4 7 2 7 2 3" xfId="21612"/>
    <cellStyle name="Normal 4 7 2 7 2 3 2" xfId="50473"/>
    <cellStyle name="Normal 4 7 2 7 2 4" xfId="33363"/>
    <cellStyle name="Normal 4 7 2 7 3" xfId="7657"/>
    <cellStyle name="Normal 4 7 2 7 3 2" xfId="24704"/>
    <cellStyle name="Normal 4 7 2 7 3 2 2" xfId="53565"/>
    <cellStyle name="Normal 4 7 2 7 3 3" xfId="36518"/>
    <cellStyle name="Normal 4 7 2 7 4" xfId="14173"/>
    <cellStyle name="Normal 4 7 2 7 4 2" xfId="18932"/>
    <cellStyle name="Normal 4 7 2 7 4 2 2" xfId="47793"/>
    <cellStyle name="Normal 4 7 2 7 4 3" xfId="43034"/>
    <cellStyle name="Normal 4 7 2 7 5" xfId="16252"/>
    <cellStyle name="Normal 4 7 2 7 5 2" xfId="45113"/>
    <cellStyle name="Normal 4 7 2 7 6" xfId="30477"/>
    <cellStyle name="Normal 4 7 2 8" xfId="1821"/>
    <cellStyle name="Normal 4 7 2 8 2" xfId="4708"/>
    <cellStyle name="Normal 4 7 2 8 2 2" xfId="10749"/>
    <cellStyle name="Normal 4 7 2 8 2 2 2" xfId="27796"/>
    <cellStyle name="Normal 4 7 2 8 2 2 2 2" xfId="56657"/>
    <cellStyle name="Normal 4 7 2 8 2 2 3" xfId="39610"/>
    <cellStyle name="Normal 4 7 2 8 2 3" xfId="21818"/>
    <cellStyle name="Normal 4 7 2 8 2 3 2" xfId="50679"/>
    <cellStyle name="Normal 4 7 2 8 2 4" xfId="33569"/>
    <cellStyle name="Normal 4 7 2 8 3" xfId="7863"/>
    <cellStyle name="Normal 4 7 2 8 3 2" xfId="24910"/>
    <cellStyle name="Normal 4 7 2 8 3 2 2" xfId="53771"/>
    <cellStyle name="Normal 4 7 2 8 3 3" xfId="36724"/>
    <cellStyle name="Normal 4 7 2 8 4" xfId="14314"/>
    <cellStyle name="Normal 4 7 2 8 4 2" xfId="19138"/>
    <cellStyle name="Normal 4 7 2 8 4 2 2" xfId="47999"/>
    <cellStyle name="Normal 4 7 2 8 4 3" xfId="43175"/>
    <cellStyle name="Normal 4 7 2 8 5" xfId="16458"/>
    <cellStyle name="Normal 4 7 2 8 5 2" xfId="45319"/>
    <cellStyle name="Normal 4 7 2 8 6" xfId="30683"/>
    <cellStyle name="Normal 4 7 2 9" xfId="2027"/>
    <cellStyle name="Normal 4 7 2 9 2" xfId="4914"/>
    <cellStyle name="Normal 4 7 2 9 2 2" xfId="10955"/>
    <cellStyle name="Normal 4 7 2 9 2 2 2" xfId="28002"/>
    <cellStyle name="Normal 4 7 2 9 2 2 2 2" xfId="56863"/>
    <cellStyle name="Normal 4 7 2 9 2 2 3" xfId="39816"/>
    <cellStyle name="Normal 4 7 2 9 2 3" xfId="22024"/>
    <cellStyle name="Normal 4 7 2 9 2 3 2" xfId="50885"/>
    <cellStyle name="Normal 4 7 2 9 2 4" xfId="33775"/>
    <cellStyle name="Normal 4 7 2 9 3" xfId="8069"/>
    <cellStyle name="Normal 4 7 2 9 3 2" xfId="25116"/>
    <cellStyle name="Normal 4 7 2 9 3 2 2" xfId="53977"/>
    <cellStyle name="Normal 4 7 2 9 3 3" xfId="36930"/>
    <cellStyle name="Normal 4 7 2 9 4" xfId="14482"/>
    <cellStyle name="Normal 4 7 2 9 4 2" xfId="19344"/>
    <cellStyle name="Normal 4 7 2 9 4 2 2" xfId="48205"/>
    <cellStyle name="Normal 4 7 2 9 4 3" xfId="43343"/>
    <cellStyle name="Normal 4 7 2 9 5" xfId="16664"/>
    <cellStyle name="Normal 4 7 2 9 5 2" xfId="45525"/>
    <cellStyle name="Normal 4 7 2 9 6" xfId="30889"/>
    <cellStyle name="Normal 4 7 20" xfId="28932"/>
    <cellStyle name="Normal 4 7 3" xfId="173"/>
    <cellStyle name="Normal 4 7 3 2" xfId="585"/>
    <cellStyle name="Normal 4 7 3 2 2" xfId="3472"/>
    <cellStyle name="Normal 4 7 3 2 2 2" xfId="9513"/>
    <cellStyle name="Normal 4 7 3 2 2 2 2" xfId="26560"/>
    <cellStyle name="Normal 4 7 3 2 2 2 2 2" xfId="55421"/>
    <cellStyle name="Normal 4 7 3 2 2 2 3" xfId="38374"/>
    <cellStyle name="Normal 4 7 3 2 2 3" xfId="20582"/>
    <cellStyle name="Normal 4 7 3 2 2 3 2" xfId="49443"/>
    <cellStyle name="Normal 4 7 3 2 2 4" xfId="32333"/>
    <cellStyle name="Normal 4 7 3 2 3" xfId="6627"/>
    <cellStyle name="Normal 4 7 3 2 3 2" xfId="23674"/>
    <cellStyle name="Normal 4 7 3 2 3 2 2" xfId="52535"/>
    <cellStyle name="Normal 4 7 3 2 3 3" xfId="35488"/>
    <cellStyle name="Normal 4 7 3 2 4" xfId="12403"/>
    <cellStyle name="Normal 4 7 3 2 4 2" xfId="17902"/>
    <cellStyle name="Normal 4 7 3 2 4 2 2" xfId="46763"/>
    <cellStyle name="Normal 4 7 3 2 4 3" xfId="41264"/>
    <cellStyle name="Normal 4 7 3 2 5" xfId="15222"/>
    <cellStyle name="Normal 4 7 3 2 5 2" xfId="44083"/>
    <cellStyle name="Normal 4 7 3 2 6" xfId="29447"/>
    <cellStyle name="Normal 4 7 3 3" xfId="2130"/>
    <cellStyle name="Normal 4 7 3 3 2" xfId="5017"/>
    <cellStyle name="Normal 4 7 3 3 2 2" xfId="11058"/>
    <cellStyle name="Normal 4 7 3 3 2 2 2" xfId="28105"/>
    <cellStyle name="Normal 4 7 3 3 2 2 2 2" xfId="56966"/>
    <cellStyle name="Normal 4 7 3 3 2 2 3" xfId="39919"/>
    <cellStyle name="Normal 4 7 3 3 2 3" xfId="22127"/>
    <cellStyle name="Normal 4 7 3 3 2 3 2" xfId="50988"/>
    <cellStyle name="Normal 4 7 3 3 2 4" xfId="33878"/>
    <cellStyle name="Normal 4 7 3 3 3" xfId="8172"/>
    <cellStyle name="Normal 4 7 3 3 3 2" xfId="25219"/>
    <cellStyle name="Normal 4 7 3 3 3 2 2" xfId="54080"/>
    <cellStyle name="Normal 4 7 3 3 3 3" xfId="37033"/>
    <cellStyle name="Normal 4 7 3 3 4" xfId="13877"/>
    <cellStyle name="Normal 4 7 3 3 4 2" xfId="19447"/>
    <cellStyle name="Normal 4 7 3 3 4 2 2" xfId="48308"/>
    <cellStyle name="Normal 4 7 3 3 4 3" xfId="42738"/>
    <cellStyle name="Normal 4 7 3 3 5" xfId="16767"/>
    <cellStyle name="Normal 4 7 3 3 5 2" xfId="45628"/>
    <cellStyle name="Normal 4 7 3 3 6" xfId="30992"/>
    <cellStyle name="Normal 4 7 3 4" xfId="3060"/>
    <cellStyle name="Normal 4 7 3 4 2" xfId="9101"/>
    <cellStyle name="Normal 4 7 3 4 2 2" xfId="26148"/>
    <cellStyle name="Normal 4 7 3 4 2 2 2" xfId="55009"/>
    <cellStyle name="Normal 4 7 3 4 2 3" xfId="37962"/>
    <cellStyle name="Normal 4 7 3 4 3" xfId="20170"/>
    <cellStyle name="Normal 4 7 3 4 3 2" xfId="49031"/>
    <cellStyle name="Normal 4 7 3 4 4" xfId="31921"/>
    <cellStyle name="Normal 4 7 3 5" xfId="6215"/>
    <cellStyle name="Normal 4 7 3 5 2" xfId="23262"/>
    <cellStyle name="Normal 4 7 3 5 2 2" xfId="52123"/>
    <cellStyle name="Normal 4 7 3 5 3" xfId="35076"/>
    <cellStyle name="Normal 4 7 3 6" xfId="14383"/>
    <cellStyle name="Normal 4 7 3 6 2" xfId="17593"/>
    <cellStyle name="Normal 4 7 3 6 2 2" xfId="46454"/>
    <cellStyle name="Normal 4 7 3 6 3" xfId="43244"/>
    <cellStyle name="Normal 4 7 3 7" xfId="14810"/>
    <cellStyle name="Normal 4 7 3 7 2" xfId="43671"/>
    <cellStyle name="Normal 4 7 3 8" xfId="29035"/>
    <cellStyle name="Normal 4 7 4" xfId="379"/>
    <cellStyle name="Normal 4 7 4 2" xfId="3266"/>
    <cellStyle name="Normal 4 7 4 2 2" xfId="9307"/>
    <cellStyle name="Normal 4 7 4 2 2 2" xfId="26354"/>
    <cellStyle name="Normal 4 7 4 2 2 2 2" xfId="55215"/>
    <cellStyle name="Normal 4 7 4 2 2 3" xfId="38168"/>
    <cellStyle name="Normal 4 7 4 2 3" xfId="20376"/>
    <cellStyle name="Normal 4 7 4 2 3 2" xfId="49237"/>
    <cellStyle name="Normal 4 7 4 2 4" xfId="32127"/>
    <cellStyle name="Normal 4 7 4 3" xfId="6421"/>
    <cellStyle name="Normal 4 7 4 3 2" xfId="23468"/>
    <cellStyle name="Normal 4 7 4 3 2 2" xfId="52329"/>
    <cellStyle name="Normal 4 7 4 3 3" xfId="35282"/>
    <cellStyle name="Normal 4 7 4 4" xfId="13929"/>
    <cellStyle name="Normal 4 7 4 4 2" xfId="17696"/>
    <cellStyle name="Normal 4 7 4 4 2 2" xfId="46557"/>
    <cellStyle name="Normal 4 7 4 4 3" xfId="42790"/>
    <cellStyle name="Normal 4 7 4 5" xfId="15016"/>
    <cellStyle name="Normal 4 7 4 5 2" xfId="43877"/>
    <cellStyle name="Normal 4 7 4 6" xfId="29241"/>
    <cellStyle name="Normal 4 7 5" xfId="688"/>
    <cellStyle name="Normal 4 7 5 2" xfId="3575"/>
    <cellStyle name="Normal 4 7 5 2 2" xfId="9616"/>
    <cellStyle name="Normal 4 7 5 2 2 2" xfId="26663"/>
    <cellStyle name="Normal 4 7 5 2 2 2 2" xfId="55524"/>
    <cellStyle name="Normal 4 7 5 2 2 3" xfId="38477"/>
    <cellStyle name="Normal 4 7 5 2 3" xfId="20685"/>
    <cellStyle name="Normal 4 7 5 2 3 2" xfId="49546"/>
    <cellStyle name="Normal 4 7 5 2 4" xfId="32436"/>
    <cellStyle name="Normal 4 7 5 3" xfId="6730"/>
    <cellStyle name="Normal 4 7 5 3 2" xfId="23777"/>
    <cellStyle name="Normal 4 7 5 3 2 2" xfId="52638"/>
    <cellStyle name="Normal 4 7 5 3 3" xfId="35591"/>
    <cellStyle name="Normal 4 7 5 4" xfId="12482"/>
    <cellStyle name="Normal 4 7 5 4 2" xfId="18005"/>
    <cellStyle name="Normal 4 7 5 4 2 2" xfId="46866"/>
    <cellStyle name="Normal 4 7 5 4 3" xfId="41343"/>
    <cellStyle name="Normal 4 7 5 5" xfId="15325"/>
    <cellStyle name="Normal 4 7 5 5 2" xfId="44186"/>
    <cellStyle name="Normal 4 7 5 6" xfId="29550"/>
    <cellStyle name="Normal 4 7 6" xfId="894"/>
    <cellStyle name="Normal 4 7 6 2" xfId="3781"/>
    <cellStyle name="Normal 4 7 6 2 2" xfId="9822"/>
    <cellStyle name="Normal 4 7 6 2 2 2" xfId="26869"/>
    <cellStyle name="Normal 4 7 6 2 2 2 2" xfId="55730"/>
    <cellStyle name="Normal 4 7 6 2 2 3" xfId="38683"/>
    <cellStyle name="Normal 4 7 6 2 3" xfId="20891"/>
    <cellStyle name="Normal 4 7 6 2 3 2" xfId="49752"/>
    <cellStyle name="Normal 4 7 6 2 4" xfId="32642"/>
    <cellStyle name="Normal 4 7 6 3" xfId="6936"/>
    <cellStyle name="Normal 4 7 6 3 2" xfId="23983"/>
    <cellStyle name="Normal 4 7 6 3 2 2" xfId="52844"/>
    <cellStyle name="Normal 4 7 6 3 3" xfId="35797"/>
    <cellStyle name="Normal 4 7 6 4" xfId="12127"/>
    <cellStyle name="Normal 4 7 6 4 2" xfId="18211"/>
    <cellStyle name="Normal 4 7 6 4 2 2" xfId="47072"/>
    <cellStyle name="Normal 4 7 6 4 3" xfId="40988"/>
    <cellStyle name="Normal 4 7 6 5" xfId="15531"/>
    <cellStyle name="Normal 4 7 6 5 2" xfId="44392"/>
    <cellStyle name="Normal 4 7 6 6" xfId="29756"/>
    <cellStyle name="Normal 4 7 7" xfId="1100"/>
    <cellStyle name="Normal 4 7 7 2" xfId="3987"/>
    <cellStyle name="Normal 4 7 7 2 2" xfId="10028"/>
    <cellStyle name="Normal 4 7 7 2 2 2" xfId="27075"/>
    <cellStyle name="Normal 4 7 7 2 2 2 2" xfId="55936"/>
    <cellStyle name="Normal 4 7 7 2 2 3" xfId="38889"/>
    <cellStyle name="Normal 4 7 7 2 3" xfId="21097"/>
    <cellStyle name="Normal 4 7 7 2 3 2" xfId="49958"/>
    <cellStyle name="Normal 4 7 7 2 4" xfId="32848"/>
    <cellStyle name="Normal 4 7 7 3" xfId="7142"/>
    <cellStyle name="Normal 4 7 7 3 2" xfId="24189"/>
    <cellStyle name="Normal 4 7 7 3 2 2" xfId="53050"/>
    <cellStyle name="Normal 4 7 7 3 3" xfId="36003"/>
    <cellStyle name="Normal 4 7 7 4" xfId="13863"/>
    <cellStyle name="Normal 4 7 7 4 2" xfId="18417"/>
    <cellStyle name="Normal 4 7 7 4 2 2" xfId="47278"/>
    <cellStyle name="Normal 4 7 7 4 3" xfId="42724"/>
    <cellStyle name="Normal 4 7 7 5" xfId="15737"/>
    <cellStyle name="Normal 4 7 7 5 2" xfId="44598"/>
    <cellStyle name="Normal 4 7 7 6" xfId="29962"/>
    <cellStyle name="Normal 4 7 8" xfId="1306"/>
    <cellStyle name="Normal 4 7 8 2" xfId="4193"/>
    <cellStyle name="Normal 4 7 8 2 2" xfId="10234"/>
    <cellStyle name="Normal 4 7 8 2 2 2" xfId="27281"/>
    <cellStyle name="Normal 4 7 8 2 2 2 2" xfId="56142"/>
    <cellStyle name="Normal 4 7 8 2 2 3" xfId="39095"/>
    <cellStyle name="Normal 4 7 8 2 3" xfId="21303"/>
    <cellStyle name="Normal 4 7 8 2 3 2" xfId="50164"/>
    <cellStyle name="Normal 4 7 8 2 4" xfId="33054"/>
    <cellStyle name="Normal 4 7 8 3" xfId="7348"/>
    <cellStyle name="Normal 4 7 8 3 2" xfId="24395"/>
    <cellStyle name="Normal 4 7 8 3 2 2" xfId="53256"/>
    <cellStyle name="Normal 4 7 8 3 3" xfId="36209"/>
    <cellStyle name="Normal 4 7 8 4" xfId="14115"/>
    <cellStyle name="Normal 4 7 8 4 2" xfId="18623"/>
    <cellStyle name="Normal 4 7 8 4 2 2" xfId="47484"/>
    <cellStyle name="Normal 4 7 8 4 3" xfId="42976"/>
    <cellStyle name="Normal 4 7 8 5" xfId="15943"/>
    <cellStyle name="Normal 4 7 8 5 2" xfId="44804"/>
    <cellStyle name="Normal 4 7 8 6" xfId="30168"/>
    <cellStyle name="Normal 4 7 9" xfId="1512"/>
    <cellStyle name="Normal 4 7 9 2" xfId="4399"/>
    <cellStyle name="Normal 4 7 9 2 2" xfId="10440"/>
    <cellStyle name="Normal 4 7 9 2 2 2" xfId="27487"/>
    <cellStyle name="Normal 4 7 9 2 2 2 2" xfId="56348"/>
    <cellStyle name="Normal 4 7 9 2 2 3" xfId="39301"/>
    <cellStyle name="Normal 4 7 9 2 3" xfId="21509"/>
    <cellStyle name="Normal 4 7 9 2 3 2" xfId="50370"/>
    <cellStyle name="Normal 4 7 9 2 4" xfId="33260"/>
    <cellStyle name="Normal 4 7 9 3" xfId="7554"/>
    <cellStyle name="Normal 4 7 9 3 2" xfId="24601"/>
    <cellStyle name="Normal 4 7 9 3 2 2" xfId="53462"/>
    <cellStyle name="Normal 4 7 9 3 3" xfId="36415"/>
    <cellStyle name="Normal 4 7 9 4" xfId="13765"/>
    <cellStyle name="Normal 4 7 9 4 2" xfId="18829"/>
    <cellStyle name="Normal 4 7 9 4 2 2" xfId="47690"/>
    <cellStyle name="Normal 4 7 9 4 3" xfId="42626"/>
    <cellStyle name="Normal 4 7 9 5" xfId="16149"/>
    <cellStyle name="Normal 4 7 9 5 2" xfId="45010"/>
    <cellStyle name="Normal 4 7 9 6" xfId="30374"/>
    <cellStyle name="Normal 4 8" xfId="270"/>
    <cellStyle name="Normal 4 8 10" xfId="2433"/>
    <cellStyle name="Normal 4 8 10 2" xfId="5320"/>
    <cellStyle name="Normal 4 8 10 2 2" xfId="11361"/>
    <cellStyle name="Normal 4 8 10 2 2 2" xfId="28408"/>
    <cellStyle name="Normal 4 8 10 2 2 2 2" xfId="57269"/>
    <cellStyle name="Normal 4 8 10 2 2 3" xfId="40222"/>
    <cellStyle name="Normal 4 8 10 2 3" xfId="22430"/>
    <cellStyle name="Normal 4 8 10 2 3 2" xfId="51291"/>
    <cellStyle name="Normal 4 8 10 2 4" xfId="34181"/>
    <cellStyle name="Normal 4 8 10 3" xfId="8475"/>
    <cellStyle name="Normal 4 8 10 3 2" xfId="25522"/>
    <cellStyle name="Normal 4 8 10 3 2 2" xfId="54383"/>
    <cellStyle name="Normal 4 8 10 3 3" xfId="37336"/>
    <cellStyle name="Normal 4 8 10 4" xfId="13789"/>
    <cellStyle name="Normal 4 8 10 4 2" xfId="19750"/>
    <cellStyle name="Normal 4 8 10 4 2 2" xfId="48611"/>
    <cellStyle name="Normal 4 8 10 4 3" xfId="42650"/>
    <cellStyle name="Normal 4 8 10 5" xfId="17070"/>
    <cellStyle name="Normal 4 8 10 5 2" xfId="45931"/>
    <cellStyle name="Normal 4 8 10 6" xfId="31295"/>
    <cellStyle name="Normal 4 8 11" xfId="2642"/>
    <cellStyle name="Normal 4 8 11 2" xfId="5528"/>
    <cellStyle name="Normal 4 8 11 2 2" xfId="11569"/>
    <cellStyle name="Normal 4 8 11 2 2 2" xfId="28616"/>
    <cellStyle name="Normal 4 8 11 2 2 2 2" xfId="57477"/>
    <cellStyle name="Normal 4 8 11 2 2 3" xfId="40430"/>
    <cellStyle name="Normal 4 8 11 2 3" xfId="22638"/>
    <cellStyle name="Normal 4 8 11 2 3 2" xfId="51499"/>
    <cellStyle name="Normal 4 8 11 2 4" xfId="34389"/>
    <cellStyle name="Normal 4 8 11 3" xfId="8683"/>
    <cellStyle name="Normal 4 8 11 3 2" xfId="25730"/>
    <cellStyle name="Normal 4 8 11 3 2 2" xfId="54591"/>
    <cellStyle name="Normal 4 8 11 3 3" xfId="37544"/>
    <cellStyle name="Normal 4 8 11 4" xfId="12723"/>
    <cellStyle name="Normal 4 8 11 4 2" xfId="19958"/>
    <cellStyle name="Normal 4 8 11 4 2 2" xfId="48819"/>
    <cellStyle name="Normal 4 8 11 4 3" xfId="41584"/>
    <cellStyle name="Normal 4 8 11 5" xfId="17278"/>
    <cellStyle name="Normal 4 8 11 5 2" xfId="46139"/>
    <cellStyle name="Normal 4 8 11 6" xfId="31503"/>
    <cellStyle name="Normal 4 8 12" xfId="3157"/>
    <cellStyle name="Normal 4 8 12 2" xfId="9198"/>
    <cellStyle name="Normal 4 8 12 2 2" xfId="26245"/>
    <cellStyle name="Normal 4 8 12 2 2 2" xfId="55106"/>
    <cellStyle name="Normal 4 8 12 2 3" xfId="38059"/>
    <cellStyle name="Normal 4 8 12 3" xfId="13719"/>
    <cellStyle name="Normal 4 8 12 3 2" xfId="20267"/>
    <cellStyle name="Normal 4 8 12 3 2 2" xfId="49128"/>
    <cellStyle name="Normal 4 8 12 3 3" xfId="42580"/>
    <cellStyle name="Normal 4 8 12 4" xfId="14907"/>
    <cellStyle name="Normal 4 8 12 4 2" xfId="43768"/>
    <cellStyle name="Normal 4 8 12 5" xfId="32018"/>
    <cellStyle name="Normal 4 8 13" xfId="2848"/>
    <cellStyle name="Normal 4 8 13 2" xfId="8889"/>
    <cellStyle name="Normal 4 8 13 2 2" xfId="25936"/>
    <cellStyle name="Normal 4 8 13 2 2 2" xfId="54797"/>
    <cellStyle name="Normal 4 8 13 2 3" xfId="37750"/>
    <cellStyle name="Normal 4 8 13 3" xfId="17484"/>
    <cellStyle name="Normal 4 8 13 3 2" xfId="46345"/>
    <cellStyle name="Normal 4 8 13 4" xfId="31709"/>
    <cellStyle name="Normal 4 8 14" xfId="5734"/>
    <cellStyle name="Normal 4 8 14 2" xfId="11775"/>
    <cellStyle name="Normal 4 8 14 2 2" xfId="28822"/>
    <cellStyle name="Normal 4 8 14 2 2 2" xfId="57683"/>
    <cellStyle name="Normal 4 8 14 2 3" xfId="40636"/>
    <cellStyle name="Normal 4 8 14 3" xfId="22844"/>
    <cellStyle name="Normal 4 8 14 3 2" xfId="51705"/>
    <cellStyle name="Normal 4 8 14 4" xfId="34595"/>
    <cellStyle name="Normal 4 8 15" xfId="5951"/>
    <cellStyle name="Normal 4 8 15 2" xfId="23050"/>
    <cellStyle name="Normal 4 8 15 2 2" xfId="51911"/>
    <cellStyle name="Normal 4 8 15 3" xfId="34812"/>
    <cellStyle name="Normal 4 8 16" xfId="6312"/>
    <cellStyle name="Normal 4 8 16 2" xfId="23359"/>
    <cellStyle name="Normal 4 8 16 2 2" xfId="52220"/>
    <cellStyle name="Normal 4 8 16 3" xfId="35173"/>
    <cellStyle name="Normal 4 8 17" xfId="14598"/>
    <cellStyle name="Normal 4 8 17 2" xfId="43459"/>
    <cellStyle name="Normal 4 8 18" xfId="29132"/>
    <cellStyle name="Normal 4 8 2" xfId="476"/>
    <cellStyle name="Normal 4 8 2 2" xfId="2227"/>
    <cellStyle name="Normal 4 8 2 2 2" xfId="5114"/>
    <cellStyle name="Normal 4 8 2 2 2 2" xfId="11155"/>
    <cellStyle name="Normal 4 8 2 2 2 2 2" xfId="28202"/>
    <cellStyle name="Normal 4 8 2 2 2 2 2 2" xfId="57063"/>
    <cellStyle name="Normal 4 8 2 2 2 2 3" xfId="40016"/>
    <cellStyle name="Normal 4 8 2 2 2 3" xfId="22224"/>
    <cellStyle name="Normal 4 8 2 2 2 3 2" xfId="51085"/>
    <cellStyle name="Normal 4 8 2 2 2 4" xfId="33975"/>
    <cellStyle name="Normal 4 8 2 2 3" xfId="8269"/>
    <cellStyle name="Normal 4 8 2 2 3 2" xfId="25316"/>
    <cellStyle name="Normal 4 8 2 2 3 2 2" xfId="54177"/>
    <cellStyle name="Normal 4 8 2 2 3 3" xfId="37130"/>
    <cellStyle name="Normal 4 8 2 2 4" xfId="13491"/>
    <cellStyle name="Normal 4 8 2 2 4 2" xfId="19544"/>
    <cellStyle name="Normal 4 8 2 2 4 2 2" xfId="48405"/>
    <cellStyle name="Normal 4 8 2 2 4 3" xfId="42352"/>
    <cellStyle name="Normal 4 8 2 2 5" xfId="16864"/>
    <cellStyle name="Normal 4 8 2 2 5 2" xfId="45725"/>
    <cellStyle name="Normal 4 8 2 2 6" xfId="31089"/>
    <cellStyle name="Normal 4 8 2 3" xfId="3363"/>
    <cellStyle name="Normal 4 8 2 3 2" xfId="9404"/>
    <cellStyle name="Normal 4 8 2 3 2 2" xfId="26451"/>
    <cellStyle name="Normal 4 8 2 3 2 2 2" xfId="55312"/>
    <cellStyle name="Normal 4 8 2 3 2 3" xfId="38265"/>
    <cellStyle name="Normal 4 8 2 3 3" xfId="20473"/>
    <cellStyle name="Normal 4 8 2 3 3 2" xfId="49334"/>
    <cellStyle name="Normal 4 8 2 3 4" xfId="32224"/>
    <cellStyle name="Normal 4 8 2 4" xfId="6518"/>
    <cellStyle name="Normal 4 8 2 4 2" xfId="23565"/>
    <cellStyle name="Normal 4 8 2 4 2 2" xfId="52426"/>
    <cellStyle name="Normal 4 8 2 4 3" xfId="35379"/>
    <cellStyle name="Normal 4 8 2 5" xfId="14164"/>
    <cellStyle name="Normal 4 8 2 5 2" xfId="17793"/>
    <cellStyle name="Normal 4 8 2 5 2 2" xfId="46654"/>
    <cellStyle name="Normal 4 8 2 5 3" xfId="43025"/>
    <cellStyle name="Normal 4 8 2 6" xfId="15113"/>
    <cellStyle name="Normal 4 8 2 6 2" xfId="43974"/>
    <cellStyle name="Normal 4 8 2 7" xfId="29338"/>
    <cellStyle name="Normal 4 8 3" xfId="785"/>
    <cellStyle name="Normal 4 8 3 2" xfId="3672"/>
    <cellStyle name="Normal 4 8 3 2 2" xfId="9713"/>
    <cellStyle name="Normal 4 8 3 2 2 2" xfId="26760"/>
    <cellStyle name="Normal 4 8 3 2 2 2 2" xfId="55621"/>
    <cellStyle name="Normal 4 8 3 2 2 3" xfId="38574"/>
    <cellStyle name="Normal 4 8 3 2 3" xfId="20782"/>
    <cellStyle name="Normal 4 8 3 2 3 2" xfId="49643"/>
    <cellStyle name="Normal 4 8 3 2 4" xfId="32533"/>
    <cellStyle name="Normal 4 8 3 3" xfId="6827"/>
    <cellStyle name="Normal 4 8 3 3 2" xfId="23874"/>
    <cellStyle name="Normal 4 8 3 3 2 2" xfId="52735"/>
    <cellStyle name="Normal 4 8 3 3 3" xfId="35688"/>
    <cellStyle name="Normal 4 8 3 4" xfId="13777"/>
    <cellStyle name="Normal 4 8 3 4 2" xfId="18102"/>
    <cellStyle name="Normal 4 8 3 4 2 2" xfId="46963"/>
    <cellStyle name="Normal 4 8 3 4 3" xfId="42638"/>
    <cellStyle name="Normal 4 8 3 5" xfId="15422"/>
    <cellStyle name="Normal 4 8 3 5 2" xfId="44283"/>
    <cellStyle name="Normal 4 8 3 6" xfId="29647"/>
    <cellStyle name="Normal 4 8 4" xfId="991"/>
    <cellStyle name="Normal 4 8 4 2" xfId="3878"/>
    <cellStyle name="Normal 4 8 4 2 2" xfId="9919"/>
    <cellStyle name="Normal 4 8 4 2 2 2" xfId="26966"/>
    <cellStyle name="Normal 4 8 4 2 2 2 2" xfId="55827"/>
    <cellStyle name="Normal 4 8 4 2 2 3" xfId="38780"/>
    <cellStyle name="Normal 4 8 4 2 3" xfId="20988"/>
    <cellStyle name="Normal 4 8 4 2 3 2" xfId="49849"/>
    <cellStyle name="Normal 4 8 4 2 4" xfId="32739"/>
    <cellStyle name="Normal 4 8 4 3" xfId="7033"/>
    <cellStyle name="Normal 4 8 4 3 2" xfId="24080"/>
    <cellStyle name="Normal 4 8 4 3 2 2" xfId="52941"/>
    <cellStyle name="Normal 4 8 4 3 3" xfId="35894"/>
    <cellStyle name="Normal 4 8 4 4" xfId="14403"/>
    <cellStyle name="Normal 4 8 4 4 2" xfId="18308"/>
    <cellStyle name="Normal 4 8 4 4 2 2" xfId="47169"/>
    <cellStyle name="Normal 4 8 4 4 3" xfId="43264"/>
    <cellStyle name="Normal 4 8 4 5" xfId="15628"/>
    <cellStyle name="Normal 4 8 4 5 2" xfId="44489"/>
    <cellStyle name="Normal 4 8 4 6" xfId="29853"/>
    <cellStyle name="Normal 4 8 5" xfId="1197"/>
    <cellStyle name="Normal 4 8 5 2" xfId="4084"/>
    <cellStyle name="Normal 4 8 5 2 2" xfId="10125"/>
    <cellStyle name="Normal 4 8 5 2 2 2" xfId="27172"/>
    <cellStyle name="Normal 4 8 5 2 2 2 2" xfId="56033"/>
    <cellStyle name="Normal 4 8 5 2 2 3" xfId="38986"/>
    <cellStyle name="Normal 4 8 5 2 3" xfId="21194"/>
    <cellStyle name="Normal 4 8 5 2 3 2" xfId="50055"/>
    <cellStyle name="Normal 4 8 5 2 4" xfId="32945"/>
    <cellStyle name="Normal 4 8 5 3" xfId="7239"/>
    <cellStyle name="Normal 4 8 5 3 2" xfId="24286"/>
    <cellStyle name="Normal 4 8 5 3 2 2" xfId="53147"/>
    <cellStyle name="Normal 4 8 5 3 3" xfId="36100"/>
    <cellStyle name="Normal 4 8 5 4" xfId="13169"/>
    <cellStyle name="Normal 4 8 5 4 2" xfId="18514"/>
    <cellStyle name="Normal 4 8 5 4 2 2" xfId="47375"/>
    <cellStyle name="Normal 4 8 5 4 3" xfId="42030"/>
    <cellStyle name="Normal 4 8 5 5" xfId="15834"/>
    <cellStyle name="Normal 4 8 5 5 2" xfId="44695"/>
    <cellStyle name="Normal 4 8 5 6" xfId="30059"/>
    <cellStyle name="Normal 4 8 6" xfId="1403"/>
    <cellStyle name="Normal 4 8 6 2" xfId="4290"/>
    <cellStyle name="Normal 4 8 6 2 2" xfId="10331"/>
    <cellStyle name="Normal 4 8 6 2 2 2" xfId="27378"/>
    <cellStyle name="Normal 4 8 6 2 2 2 2" xfId="56239"/>
    <cellStyle name="Normal 4 8 6 2 2 3" xfId="39192"/>
    <cellStyle name="Normal 4 8 6 2 3" xfId="21400"/>
    <cellStyle name="Normal 4 8 6 2 3 2" xfId="50261"/>
    <cellStyle name="Normal 4 8 6 2 4" xfId="33151"/>
    <cellStyle name="Normal 4 8 6 3" xfId="7445"/>
    <cellStyle name="Normal 4 8 6 3 2" xfId="24492"/>
    <cellStyle name="Normal 4 8 6 3 2 2" xfId="53353"/>
    <cellStyle name="Normal 4 8 6 3 3" xfId="36306"/>
    <cellStyle name="Normal 4 8 6 4" xfId="13538"/>
    <cellStyle name="Normal 4 8 6 4 2" xfId="18720"/>
    <cellStyle name="Normal 4 8 6 4 2 2" xfId="47581"/>
    <cellStyle name="Normal 4 8 6 4 3" xfId="42399"/>
    <cellStyle name="Normal 4 8 6 5" xfId="16040"/>
    <cellStyle name="Normal 4 8 6 5 2" xfId="44901"/>
    <cellStyle name="Normal 4 8 6 6" xfId="30265"/>
    <cellStyle name="Normal 4 8 7" xfId="1609"/>
    <cellStyle name="Normal 4 8 7 2" xfId="4496"/>
    <cellStyle name="Normal 4 8 7 2 2" xfId="10537"/>
    <cellStyle name="Normal 4 8 7 2 2 2" xfId="27584"/>
    <cellStyle name="Normal 4 8 7 2 2 2 2" xfId="56445"/>
    <cellStyle name="Normal 4 8 7 2 2 3" xfId="39398"/>
    <cellStyle name="Normal 4 8 7 2 3" xfId="21606"/>
    <cellStyle name="Normal 4 8 7 2 3 2" xfId="50467"/>
    <cellStyle name="Normal 4 8 7 2 4" xfId="33357"/>
    <cellStyle name="Normal 4 8 7 3" xfId="7651"/>
    <cellStyle name="Normal 4 8 7 3 2" xfId="24698"/>
    <cellStyle name="Normal 4 8 7 3 2 2" xfId="53559"/>
    <cellStyle name="Normal 4 8 7 3 3" xfId="36512"/>
    <cellStyle name="Normal 4 8 7 4" xfId="13607"/>
    <cellStyle name="Normal 4 8 7 4 2" xfId="18926"/>
    <cellStyle name="Normal 4 8 7 4 2 2" xfId="47787"/>
    <cellStyle name="Normal 4 8 7 4 3" xfId="42468"/>
    <cellStyle name="Normal 4 8 7 5" xfId="16246"/>
    <cellStyle name="Normal 4 8 7 5 2" xfId="45107"/>
    <cellStyle name="Normal 4 8 7 6" xfId="30471"/>
    <cellStyle name="Normal 4 8 8" xfId="1815"/>
    <cellStyle name="Normal 4 8 8 2" xfId="4702"/>
    <cellStyle name="Normal 4 8 8 2 2" xfId="10743"/>
    <cellStyle name="Normal 4 8 8 2 2 2" xfId="27790"/>
    <cellStyle name="Normal 4 8 8 2 2 2 2" xfId="56651"/>
    <cellStyle name="Normal 4 8 8 2 2 3" xfId="39604"/>
    <cellStyle name="Normal 4 8 8 2 3" xfId="21812"/>
    <cellStyle name="Normal 4 8 8 2 3 2" xfId="50673"/>
    <cellStyle name="Normal 4 8 8 2 4" xfId="33563"/>
    <cellStyle name="Normal 4 8 8 3" xfId="7857"/>
    <cellStyle name="Normal 4 8 8 3 2" xfId="24904"/>
    <cellStyle name="Normal 4 8 8 3 2 2" xfId="53765"/>
    <cellStyle name="Normal 4 8 8 3 3" xfId="36718"/>
    <cellStyle name="Normal 4 8 8 4" xfId="13688"/>
    <cellStyle name="Normal 4 8 8 4 2" xfId="19132"/>
    <cellStyle name="Normal 4 8 8 4 2 2" xfId="47993"/>
    <cellStyle name="Normal 4 8 8 4 3" xfId="42549"/>
    <cellStyle name="Normal 4 8 8 5" xfId="16452"/>
    <cellStyle name="Normal 4 8 8 5 2" xfId="45313"/>
    <cellStyle name="Normal 4 8 8 6" xfId="30677"/>
    <cellStyle name="Normal 4 8 9" xfId="2021"/>
    <cellStyle name="Normal 4 8 9 2" xfId="4908"/>
    <cellStyle name="Normal 4 8 9 2 2" xfId="10949"/>
    <cellStyle name="Normal 4 8 9 2 2 2" xfId="27996"/>
    <cellStyle name="Normal 4 8 9 2 2 2 2" xfId="56857"/>
    <cellStyle name="Normal 4 8 9 2 2 3" xfId="39810"/>
    <cellStyle name="Normal 4 8 9 2 3" xfId="22018"/>
    <cellStyle name="Normal 4 8 9 2 3 2" xfId="50879"/>
    <cellStyle name="Normal 4 8 9 2 4" xfId="33769"/>
    <cellStyle name="Normal 4 8 9 3" xfId="8063"/>
    <cellStyle name="Normal 4 8 9 3 2" xfId="25110"/>
    <cellStyle name="Normal 4 8 9 3 2 2" xfId="53971"/>
    <cellStyle name="Normal 4 8 9 3 3" xfId="36924"/>
    <cellStyle name="Normal 4 8 9 4" xfId="14417"/>
    <cellStyle name="Normal 4 8 9 4 2" xfId="19338"/>
    <cellStyle name="Normal 4 8 9 4 2 2" xfId="48199"/>
    <cellStyle name="Normal 4 8 9 4 3" xfId="43278"/>
    <cellStyle name="Normal 4 8 9 5" xfId="16658"/>
    <cellStyle name="Normal 4 8 9 5 2" xfId="45519"/>
    <cellStyle name="Normal 4 8 9 6" xfId="30883"/>
    <cellStyle name="Normal 4 9" xfId="167"/>
    <cellStyle name="Normal 4 9 2" xfId="579"/>
    <cellStyle name="Normal 4 9 2 2" xfId="3466"/>
    <cellStyle name="Normal 4 9 2 2 2" xfId="9507"/>
    <cellStyle name="Normal 4 9 2 2 2 2" xfId="26554"/>
    <cellStyle name="Normal 4 9 2 2 2 2 2" xfId="55415"/>
    <cellStyle name="Normal 4 9 2 2 2 3" xfId="38368"/>
    <cellStyle name="Normal 4 9 2 2 3" xfId="20576"/>
    <cellStyle name="Normal 4 9 2 2 3 2" xfId="49437"/>
    <cellStyle name="Normal 4 9 2 2 4" xfId="32327"/>
    <cellStyle name="Normal 4 9 2 3" xfId="6621"/>
    <cellStyle name="Normal 4 9 2 3 2" xfId="23668"/>
    <cellStyle name="Normal 4 9 2 3 2 2" xfId="52529"/>
    <cellStyle name="Normal 4 9 2 3 3" xfId="35482"/>
    <cellStyle name="Normal 4 9 2 4" xfId="14450"/>
    <cellStyle name="Normal 4 9 2 4 2" xfId="17896"/>
    <cellStyle name="Normal 4 9 2 4 2 2" xfId="46757"/>
    <cellStyle name="Normal 4 9 2 4 3" xfId="43311"/>
    <cellStyle name="Normal 4 9 2 5" xfId="15216"/>
    <cellStyle name="Normal 4 9 2 5 2" xfId="44077"/>
    <cellStyle name="Normal 4 9 2 6" xfId="29441"/>
    <cellStyle name="Normal 4 9 3" xfId="2124"/>
    <cellStyle name="Normal 4 9 3 2" xfId="5011"/>
    <cellStyle name="Normal 4 9 3 2 2" xfId="11052"/>
    <cellStyle name="Normal 4 9 3 2 2 2" xfId="28099"/>
    <cellStyle name="Normal 4 9 3 2 2 2 2" xfId="56960"/>
    <cellStyle name="Normal 4 9 3 2 2 3" xfId="39913"/>
    <cellStyle name="Normal 4 9 3 2 3" xfId="22121"/>
    <cellStyle name="Normal 4 9 3 2 3 2" xfId="50982"/>
    <cellStyle name="Normal 4 9 3 2 4" xfId="33872"/>
    <cellStyle name="Normal 4 9 3 3" xfId="8166"/>
    <cellStyle name="Normal 4 9 3 3 2" xfId="25213"/>
    <cellStyle name="Normal 4 9 3 3 2 2" xfId="54074"/>
    <cellStyle name="Normal 4 9 3 3 3" xfId="37027"/>
    <cellStyle name="Normal 4 9 3 4" xfId="13156"/>
    <cellStyle name="Normal 4 9 3 4 2" xfId="19441"/>
    <cellStyle name="Normal 4 9 3 4 2 2" xfId="48302"/>
    <cellStyle name="Normal 4 9 3 4 3" xfId="42017"/>
    <cellStyle name="Normal 4 9 3 5" xfId="16761"/>
    <cellStyle name="Normal 4 9 3 5 2" xfId="45622"/>
    <cellStyle name="Normal 4 9 3 6" xfId="30986"/>
    <cellStyle name="Normal 4 9 4" xfId="3054"/>
    <cellStyle name="Normal 4 9 4 2" xfId="9095"/>
    <cellStyle name="Normal 4 9 4 2 2" xfId="26142"/>
    <cellStyle name="Normal 4 9 4 2 2 2" xfId="55003"/>
    <cellStyle name="Normal 4 9 4 2 3" xfId="37956"/>
    <cellStyle name="Normal 4 9 4 3" xfId="20164"/>
    <cellStyle name="Normal 4 9 4 3 2" xfId="49025"/>
    <cellStyle name="Normal 4 9 4 4" xfId="31915"/>
    <cellStyle name="Normal 4 9 5" xfId="6209"/>
    <cellStyle name="Normal 4 9 5 2" xfId="23256"/>
    <cellStyle name="Normal 4 9 5 2 2" xfId="52117"/>
    <cellStyle name="Normal 4 9 5 3" xfId="35070"/>
    <cellStyle name="Normal 4 9 6" xfId="13622"/>
    <cellStyle name="Normal 4 9 6 2" xfId="17587"/>
    <cellStyle name="Normal 4 9 6 2 2" xfId="46448"/>
    <cellStyle name="Normal 4 9 6 3" xfId="42483"/>
    <cellStyle name="Normal 4 9 7" xfId="14804"/>
    <cellStyle name="Normal 4 9 7 2" xfId="43665"/>
    <cellStyle name="Normal 4 9 8" xfId="29029"/>
    <cellStyle name="Normal 5" xfId="39"/>
    <cellStyle name="Normal 5 10" xfId="1513"/>
    <cellStyle name="Normal 5 10 2" xfId="4400"/>
    <cellStyle name="Normal 5 10 2 2" xfId="10441"/>
    <cellStyle name="Normal 5 10 2 2 2" xfId="27488"/>
    <cellStyle name="Normal 5 10 2 2 2 2" xfId="56349"/>
    <cellStyle name="Normal 5 10 2 2 3" xfId="39302"/>
    <cellStyle name="Normal 5 10 2 3" xfId="21510"/>
    <cellStyle name="Normal 5 10 2 3 2" xfId="50371"/>
    <cellStyle name="Normal 5 10 2 4" xfId="33261"/>
    <cellStyle name="Normal 5 10 3" xfId="7555"/>
    <cellStyle name="Normal 5 10 3 2" xfId="24602"/>
    <cellStyle name="Normal 5 10 3 2 2" xfId="53463"/>
    <cellStyle name="Normal 5 10 3 3" xfId="36416"/>
    <cellStyle name="Normal 5 10 4" xfId="13042"/>
    <cellStyle name="Normal 5 10 4 2" xfId="18830"/>
    <cellStyle name="Normal 5 10 4 2 2" xfId="47691"/>
    <cellStyle name="Normal 5 10 4 3" xfId="41903"/>
    <cellStyle name="Normal 5 10 5" xfId="16150"/>
    <cellStyle name="Normal 5 10 5 2" xfId="45011"/>
    <cellStyle name="Normal 5 10 6" xfId="30375"/>
    <cellStyle name="Normal 5 11" xfId="1719"/>
    <cellStyle name="Normal 5 11 2" xfId="4606"/>
    <cellStyle name="Normal 5 11 2 2" xfId="10647"/>
    <cellStyle name="Normal 5 11 2 2 2" xfId="27694"/>
    <cellStyle name="Normal 5 11 2 2 2 2" xfId="56555"/>
    <cellStyle name="Normal 5 11 2 2 3" xfId="39508"/>
    <cellStyle name="Normal 5 11 2 3" xfId="21716"/>
    <cellStyle name="Normal 5 11 2 3 2" xfId="50577"/>
    <cellStyle name="Normal 5 11 2 4" xfId="33467"/>
    <cellStyle name="Normal 5 11 3" xfId="7761"/>
    <cellStyle name="Normal 5 11 3 2" xfId="24808"/>
    <cellStyle name="Normal 5 11 3 2 2" xfId="53669"/>
    <cellStyle name="Normal 5 11 3 3" xfId="36622"/>
    <cellStyle name="Normal 5 11 4" xfId="12468"/>
    <cellStyle name="Normal 5 11 4 2" xfId="19036"/>
    <cellStyle name="Normal 5 11 4 2 2" xfId="47897"/>
    <cellStyle name="Normal 5 11 4 3" xfId="41329"/>
    <cellStyle name="Normal 5 11 5" xfId="16356"/>
    <cellStyle name="Normal 5 11 5 2" xfId="45217"/>
    <cellStyle name="Normal 5 11 6" xfId="30581"/>
    <cellStyle name="Normal 5 12" xfId="1925"/>
    <cellStyle name="Normal 5 12 2" xfId="4812"/>
    <cellStyle name="Normal 5 12 2 2" xfId="10853"/>
    <cellStyle name="Normal 5 12 2 2 2" xfId="27900"/>
    <cellStyle name="Normal 5 12 2 2 2 2" xfId="56761"/>
    <cellStyle name="Normal 5 12 2 2 3" xfId="39714"/>
    <cellStyle name="Normal 5 12 2 3" xfId="21922"/>
    <cellStyle name="Normal 5 12 2 3 2" xfId="50783"/>
    <cellStyle name="Normal 5 12 2 4" xfId="33673"/>
    <cellStyle name="Normal 5 12 3" xfId="7967"/>
    <cellStyle name="Normal 5 12 3 2" xfId="25014"/>
    <cellStyle name="Normal 5 12 3 2 2" xfId="53875"/>
    <cellStyle name="Normal 5 12 3 3" xfId="36828"/>
    <cellStyle name="Normal 5 12 4" xfId="13033"/>
    <cellStyle name="Normal 5 12 4 2" xfId="19242"/>
    <cellStyle name="Normal 5 12 4 2 2" xfId="48103"/>
    <cellStyle name="Normal 5 12 4 3" xfId="41894"/>
    <cellStyle name="Normal 5 12 5" xfId="16562"/>
    <cellStyle name="Normal 5 12 5 2" xfId="45423"/>
    <cellStyle name="Normal 5 12 6" xfId="30787"/>
    <cellStyle name="Normal 5 13" xfId="2337"/>
    <cellStyle name="Normal 5 13 2" xfId="5224"/>
    <cellStyle name="Normal 5 13 2 2" xfId="11265"/>
    <cellStyle name="Normal 5 13 2 2 2" xfId="28312"/>
    <cellStyle name="Normal 5 13 2 2 2 2" xfId="57173"/>
    <cellStyle name="Normal 5 13 2 2 3" xfId="40126"/>
    <cellStyle name="Normal 5 13 2 3" xfId="22334"/>
    <cellStyle name="Normal 5 13 2 3 2" xfId="51195"/>
    <cellStyle name="Normal 5 13 2 4" xfId="34085"/>
    <cellStyle name="Normal 5 13 3" xfId="8379"/>
    <cellStyle name="Normal 5 13 3 2" xfId="25426"/>
    <cellStyle name="Normal 5 13 3 2 2" xfId="54287"/>
    <cellStyle name="Normal 5 13 3 3" xfId="37240"/>
    <cellStyle name="Normal 5 13 4" xfId="14372"/>
    <cellStyle name="Normal 5 13 4 2" xfId="19654"/>
    <cellStyle name="Normal 5 13 4 2 2" xfId="48515"/>
    <cellStyle name="Normal 5 13 4 3" xfId="43233"/>
    <cellStyle name="Normal 5 13 5" xfId="16974"/>
    <cellStyle name="Normal 5 13 5 2" xfId="45835"/>
    <cellStyle name="Normal 5 13 6" xfId="31199"/>
    <cellStyle name="Normal 5 14" xfId="2546"/>
    <cellStyle name="Normal 5 14 2" xfId="5432"/>
    <cellStyle name="Normal 5 14 2 2" xfId="11473"/>
    <cellStyle name="Normal 5 14 2 2 2" xfId="28520"/>
    <cellStyle name="Normal 5 14 2 2 2 2" xfId="57381"/>
    <cellStyle name="Normal 5 14 2 2 3" xfId="40334"/>
    <cellStyle name="Normal 5 14 2 3" xfId="22542"/>
    <cellStyle name="Normal 5 14 2 3 2" xfId="51403"/>
    <cellStyle name="Normal 5 14 2 4" xfId="34293"/>
    <cellStyle name="Normal 5 14 3" xfId="8587"/>
    <cellStyle name="Normal 5 14 3 2" xfId="25634"/>
    <cellStyle name="Normal 5 14 3 2 2" xfId="54495"/>
    <cellStyle name="Normal 5 14 3 3" xfId="37448"/>
    <cellStyle name="Normal 5 14 4" xfId="14077"/>
    <cellStyle name="Normal 5 14 4 2" xfId="19862"/>
    <cellStyle name="Normal 5 14 4 2 2" xfId="48723"/>
    <cellStyle name="Normal 5 14 4 3" xfId="42938"/>
    <cellStyle name="Normal 5 14 5" xfId="17182"/>
    <cellStyle name="Normal 5 14 5 2" xfId="46043"/>
    <cellStyle name="Normal 5 14 6" xfId="31407"/>
    <cellStyle name="Normal 5 15" xfId="2958"/>
    <cellStyle name="Normal 5 15 2" xfId="8999"/>
    <cellStyle name="Normal 5 15 2 2" xfId="26046"/>
    <cellStyle name="Normal 5 15 2 2 2" xfId="54907"/>
    <cellStyle name="Normal 5 15 2 3" xfId="37860"/>
    <cellStyle name="Normal 5 15 3" xfId="12629"/>
    <cellStyle name="Normal 5 15 3 2" xfId="20068"/>
    <cellStyle name="Normal 5 15 3 2 2" xfId="48929"/>
    <cellStyle name="Normal 5 15 3 3" xfId="41490"/>
    <cellStyle name="Normal 5 15 4" xfId="14708"/>
    <cellStyle name="Normal 5 15 4 2" xfId="43569"/>
    <cellStyle name="Normal 5 15 5" xfId="31819"/>
    <cellStyle name="Normal 5 16" xfId="2752"/>
    <cellStyle name="Normal 5 16 2" xfId="8793"/>
    <cellStyle name="Normal 5 16 2 2" xfId="25840"/>
    <cellStyle name="Normal 5 16 2 2 2" xfId="54701"/>
    <cellStyle name="Normal 5 16 2 3" xfId="37654"/>
    <cellStyle name="Normal 5 16 3" xfId="17388"/>
    <cellStyle name="Normal 5 16 3 2" xfId="46249"/>
    <cellStyle name="Normal 5 16 4" xfId="31613"/>
    <cellStyle name="Normal 5 17" xfId="5638"/>
    <cellStyle name="Normal 5 17 2" xfId="11679"/>
    <cellStyle name="Normal 5 17 2 2" xfId="28726"/>
    <cellStyle name="Normal 5 17 2 2 2" xfId="57587"/>
    <cellStyle name="Normal 5 17 2 3" xfId="40540"/>
    <cellStyle name="Normal 5 17 3" xfId="22748"/>
    <cellStyle name="Normal 5 17 3 2" xfId="51609"/>
    <cellStyle name="Normal 5 17 4" xfId="34499"/>
    <cellStyle name="Normal 5 18" xfId="5849"/>
    <cellStyle name="Normal 5 18 2" xfId="22954"/>
    <cellStyle name="Normal 5 18 2 2" xfId="51815"/>
    <cellStyle name="Normal 5 18 3" xfId="34710"/>
    <cellStyle name="Normal 5 19" xfId="6113"/>
    <cellStyle name="Normal 5 19 2" xfId="23160"/>
    <cellStyle name="Normal 5 19 2 2" xfId="52021"/>
    <cellStyle name="Normal 5 19 3" xfId="34974"/>
    <cellStyle name="Normal 5 2" xfId="40"/>
    <cellStyle name="Normal 5 20" xfId="14502"/>
    <cellStyle name="Normal 5 20 2" xfId="43363"/>
    <cellStyle name="Normal 5 21" xfId="28933"/>
    <cellStyle name="Normal 5 3" xfId="277"/>
    <cellStyle name="Normal 5 3 10" xfId="2440"/>
    <cellStyle name="Normal 5 3 10 2" xfId="5327"/>
    <cellStyle name="Normal 5 3 10 2 2" xfId="11368"/>
    <cellStyle name="Normal 5 3 10 2 2 2" xfId="28415"/>
    <cellStyle name="Normal 5 3 10 2 2 2 2" xfId="57276"/>
    <cellStyle name="Normal 5 3 10 2 2 3" xfId="40229"/>
    <cellStyle name="Normal 5 3 10 2 3" xfId="22437"/>
    <cellStyle name="Normal 5 3 10 2 3 2" xfId="51298"/>
    <cellStyle name="Normal 5 3 10 2 4" xfId="34188"/>
    <cellStyle name="Normal 5 3 10 3" xfId="8482"/>
    <cellStyle name="Normal 5 3 10 3 2" xfId="25529"/>
    <cellStyle name="Normal 5 3 10 3 2 2" xfId="54390"/>
    <cellStyle name="Normal 5 3 10 3 3" xfId="37343"/>
    <cellStyle name="Normal 5 3 10 4" xfId="14045"/>
    <cellStyle name="Normal 5 3 10 4 2" xfId="19757"/>
    <cellStyle name="Normal 5 3 10 4 2 2" xfId="48618"/>
    <cellStyle name="Normal 5 3 10 4 3" xfId="42906"/>
    <cellStyle name="Normal 5 3 10 5" xfId="17077"/>
    <cellStyle name="Normal 5 3 10 5 2" xfId="45938"/>
    <cellStyle name="Normal 5 3 10 6" xfId="31302"/>
    <cellStyle name="Normal 5 3 11" xfId="2649"/>
    <cellStyle name="Normal 5 3 11 2" xfId="5535"/>
    <cellStyle name="Normal 5 3 11 2 2" xfId="11576"/>
    <cellStyle name="Normal 5 3 11 2 2 2" xfId="28623"/>
    <cellStyle name="Normal 5 3 11 2 2 2 2" xfId="57484"/>
    <cellStyle name="Normal 5 3 11 2 2 3" xfId="40437"/>
    <cellStyle name="Normal 5 3 11 2 3" xfId="22645"/>
    <cellStyle name="Normal 5 3 11 2 3 2" xfId="51506"/>
    <cellStyle name="Normal 5 3 11 2 4" xfId="34396"/>
    <cellStyle name="Normal 5 3 11 3" xfId="8690"/>
    <cellStyle name="Normal 5 3 11 3 2" xfId="25737"/>
    <cellStyle name="Normal 5 3 11 3 2 2" xfId="54598"/>
    <cellStyle name="Normal 5 3 11 3 3" xfId="37551"/>
    <cellStyle name="Normal 5 3 11 4" xfId="12531"/>
    <cellStyle name="Normal 5 3 11 4 2" xfId="19965"/>
    <cellStyle name="Normal 5 3 11 4 2 2" xfId="48826"/>
    <cellStyle name="Normal 5 3 11 4 3" xfId="41392"/>
    <cellStyle name="Normal 5 3 11 5" xfId="17285"/>
    <cellStyle name="Normal 5 3 11 5 2" xfId="46146"/>
    <cellStyle name="Normal 5 3 11 6" xfId="31510"/>
    <cellStyle name="Normal 5 3 12" xfId="3164"/>
    <cellStyle name="Normal 5 3 12 2" xfId="9205"/>
    <cellStyle name="Normal 5 3 12 2 2" xfId="26252"/>
    <cellStyle name="Normal 5 3 12 2 2 2" xfId="55113"/>
    <cellStyle name="Normal 5 3 12 2 3" xfId="38066"/>
    <cellStyle name="Normal 5 3 12 3" xfId="14108"/>
    <cellStyle name="Normal 5 3 12 3 2" xfId="20274"/>
    <cellStyle name="Normal 5 3 12 3 2 2" xfId="49135"/>
    <cellStyle name="Normal 5 3 12 3 3" xfId="42969"/>
    <cellStyle name="Normal 5 3 12 4" xfId="14914"/>
    <cellStyle name="Normal 5 3 12 4 2" xfId="43775"/>
    <cellStyle name="Normal 5 3 12 5" xfId="32025"/>
    <cellStyle name="Normal 5 3 13" xfId="2855"/>
    <cellStyle name="Normal 5 3 13 2" xfId="8896"/>
    <cellStyle name="Normal 5 3 13 2 2" xfId="25943"/>
    <cellStyle name="Normal 5 3 13 2 2 2" xfId="54804"/>
    <cellStyle name="Normal 5 3 13 2 3" xfId="37757"/>
    <cellStyle name="Normal 5 3 13 3" xfId="17491"/>
    <cellStyle name="Normal 5 3 13 3 2" xfId="46352"/>
    <cellStyle name="Normal 5 3 13 4" xfId="31716"/>
    <cellStyle name="Normal 5 3 14" xfId="5741"/>
    <cellStyle name="Normal 5 3 14 2" xfId="11782"/>
    <cellStyle name="Normal 5 3 14 2 2" xfId="28829"/>
    <cellStyle name="Normal 5 3 14 2 2 2" xfId="57690"/>
    <cellStyle name="Normal 5 3 14 2 3" xfId="40643"/>
    <cellStyle name="Normal 5 3 14 3" xfId="22851"/>
    <cellStyle name="Normal 5 3 14 3 2" xfId="51712"/>
    <cellStyle name="Normal 5 3 14 4" xfId="34602"/>
    <cellStyle name="Normal 5 3 15" xfId="5958"/>
    <cellStyle name="Normal 5 3 15 2" xfId="23057"/>
    <cellStyle name="Normal 5 3 15 2 2" xfId="51918"/>
    <cellStyle name="Normal 5 3 15 3" xfId="34819"/>
    <cellStyle name="Normal 5 3 16" xfId="6319"/>
    <cellStyle name="Normal 5 3 16 2" xfId="23366"/>
    <cellStyle name="Normal 5 3 16 2 2" xfId="52227"/>
    <cellStyle name="Normal 5 3 16 3" xfId="35180"/>
    <cellStyle name="Normal 5 3 17" xfId="14605"/>
    <cellStyle name="Normal 5 3 17 2" xfId="43466"/>
    <cellStyle name="Normal 5 3 18" xfId="29139"/>
    <cellStyle name="Normal 5 3 2" xfId="483"/>
    <cellStyle name="Normal 5 3 2 2" xfId="2234"/>
    <cellStyle name="Normal 5 3 2 2 2" xfId="5121"/>
    <cellStyle name="Normal 5 3 2 2 2 2" xfId="11162"/>
    <cellStyle name="Normal 5 3 2 2 2 2 2" xfId="28209"/>
    <cellStyle name="Normal 5 3 2 2 2 2 2 2" xfId="57070"/>
    <cellStyle name="Normal 5 3 2 2 2 2 3" xfId="40023"/>
    <cellStyle name="Normal 5 3 2 2 2 3" xfId="22231"/>
    <cellStyle name="Normal 5 3 2 2 2 3 2" xfId="51092"/>
    <cellStyle name="Normal 5 3 2 2 2 4" xfId="33982"/>
    <cellStyle name="Normal 5 3 2 2 3" xfId="8276"/>
    <cellStyle name="Normal 5 3 2 2 3 2" xfId="25323"/>
    <cellStyle name="Normal 5 3 2 2 3 2 2" xfId="54184"/>
    <cellStyle name="Normal 5 3 2 2 3 3" xfId="37137"/>
    <cellStyle name="Normal 5 3 2 2 4" xfId="13177"/>
    <cellStyle name="Normal 5 3 2 2 4 2" xfId="19551"/>
    <cellStyle name="Normal 5 3 2 2 4 2 2" xfId="48412"/>
    <cellStyle name="Normal 5 3 2 2 4 3" xfId="42038"/>
    <cellStyle name="Normal 5 3 2 2 5" xfId="16871"/>
    <cellStyle name="Normal 5 3 2 2 5 2" xfId="45732"/>
    <cellStyle name="Normal 5 3 2 2 6" xfId="31096"/>
    <cellStyle name="Normal 5 3 2 3" xfId="3370"/>
    <cellStyle name="Normal 5 3 2 3 2" xfId="9411"/>
    <cellStyle name="Normal 5 3 2 3 2 2" xfId="26458"/>
    <cellStyle name="Normal 5 3 2 3 2 2 2" xfId="55319"/>
    <cellStyle name="Normal 5 3 2 3 2 3" xfId="38272"/>
    <cellStyle name="Normal 5 3 2 3 3" xfId="20480"/>
    <cellStyle name="Normal 5 3 2 3 3 2" xfId="49341"/>
    <cellStyle name="Normal 5 3 2 3 4" xfId="32231"/>
    <cellStyle name="Normal 5 3 2 4" xfId="6525"/>
    <cellStyle name="Normal 5 3 2 4 2" xfId="23572"/>
    <cellStyle name="Normal 5 3 2 4 2 2" xfId="52433"/>
    <cellStyle name="Normal 5 3 2 4 3" xfId="35386"/>
    <cellStyle name="Normal 5 3 2 5" xfId="13601"/>
    <cellStyle name="Normal 5 3 2 5 2" xfId="17800"/>
    <cellStyle name="Normal 5 3 2 5 2 2" xfId="46661"/>
    <cellStyle name="Normal 5 3 2 5 3" xfId="42462"/>
    <cellStyle name="Normal 5 3 2 6" xfId="15120"/>
    <cellStyle name="Normal 5 3 2 6 2" xfId="43981"/>
    <cellStyle name="Normal 5 3 2 7" xfId="29345"/>
    <cellStyle name="Normal 5 3 3" xfId="792"/>
    <cellStyle name="Normal 5 3 3 2" xfId="3679"/>
    <cellStyle name="Normal 5 3 3 2 2" xfId="9720"/>
    <cellStyle name="Normal 5 3 3 2 2 2" xfId="26767"/>
    <cellStyle name="Normal 5 3 3 2 2 2 2" xfId="55628"/>
    <cellStyle name="Normal 5 3 3 2 2 3" xfId="38581"/>
    <cellStyle name="Normal 5 3 3 2 3" xfId="20789"/>
    <cellStyle name="Normal 5 3 3 2 3 2" xfId="49650"/>
    <cellStyle name="Normal 5 3 3 2 4" xfId="32540"/>
    <cellStyle name="Normal 5 3 3 3" xfId="6834"/>
    <cellStyle name="Normal 5 3 3 3 2" xfId="23881"/>
    <cellStyle name="Normal 5 3 3 3 2 2" xfId="52742"/>
    <cellStyle name="Normal 5 3 3 3 3" xfId="35695"/>
    <cellStyle name="Normal 5 3 3 4" xfId="14380"/>
    <cellStyle name="Normal 5 3 3 4 2" xfId="18109"/>
    <cellStyle name="Normal 5 3 3 4 2 2" xfId="46970"/>
    <cellStyle name="Normal 5 3 3 4 3" xfId="43241"/>
    <cellStyle name="Normal 5 3 3 5" xfId="15429"/>
    <cellStyle name="Normal 5 3 3 5 2" xfId="44290"/>
    <cellStyle name="Normal 5 3 3 6" xfId="29654"/>
    <cellStyle name="Normal 5 3 4" xfId="998"/>
    <cellStyle name="Normal 5 3 4 2" xfId="3885"/>
    <cellStyle name="Normal 5 3 4 2 2" xfId="9926"/>
    <cellStyle name="Normal 5 3 4 2 2 2" xfId="26973"/>
    <cellStyle name="Normal 5 3 4 2 2 2 2" xfId="55834"/>
    <cellStyle name="Normal 5 3 4 2 2 3" xfId="38787"/>
    <cellStyle name="Normal 5 3 4 2 3" xfId="20995"/>
    <cellStyle name="Normal 5 3 4 2 3 2" xfId="49856"/>
    <cellStyle name="Normal 5 3 4 2 4" xfId="32746"/>
    <cellStyle name="Normal 5 3 4 3" xfId="7040"/>
    <cellStyle name="Normal 5 3 4 3 2" xfId="24087"/>
    <cellStyle name="Normal 5 3 4 3 2 2" xfId="52948"/>
    <cellStyle name="Normal 5 3 4 3 3" xfId="35901"/>
    <cellStyle name="Normal 5 3 4 4" xfId="12209"/>
    <cellStyle name="Normal 5 3 4 4 2" xfId="18315"/>
    <cellStyle name="Normal 5 3 4 4 2 2" xfId="47176"/>
    <cellStyle name="Normal 5 3 4 4 3" xfId="41070"/>
    <cellStyle name="Normal 5 3 4 5" xfId="15635"/>
    <cellStyle name="Normal 5 3 4 5 2" xfId="44496"/>
    <cellStyle name="Normal 5 3 4 6" xfId="29860"/>
    <cellStyle name="Normal 5 3 5" xfId="1204"/>
    <cellStyle name="Normal 5 3 5 2" xfId="4091"/>
    <cellStyle name="Normal 5 3 5 2 2" xfId="10132"/>
    <cellStyle name="Normal 5 3 5 2 2 2" xfId="27179"/>
    <cellStyle name="Normal 5 3 5 2 2 2 2" xfId="56040"/>
    <cellStyle name="Normal 5 3 5 2 2 3" xfId="38993"/>
    <cellStyle name="Normal 5 3 5 2 3" xfId="21201"/>
    <cellStyle name="Normal 5 3 5 2 3 2" xfId="50062"/>
    <cellStyle name="Normal 5 3 5 2 4" xfId="32952"/>
    <cellStyle name="Normal 5 3 5 3" xfId="7246"/>
    <cellStyle name="Normal 5 3 5 3 2" xfId="24293"/>
    <cellStyle name="Normal 5 3 5 3 2 2" xfId="53154"/>
    <cellStyle name="Normal 5 3 5 3 3" xfId="36107"/>
    <cellStyle name="Normal 5 3 5 4" xfId="12094"/>
    <cellStyle name="Normal 5 3 5 4 2" xfId="18521"/>
    <cellStyle name="Normal 5 3 5 4 2 2" xfId="47382"/>
    <cellStyle name="Normal 5 3 5 4 3" xfId="40955"/>
    <cellStyle name="Normal 5 3 5 5" xfId="15841"/>
    <cellStyle name="Normal 5 3 5 5 2" xfId="44702"/>
    <cellStyle name="Normal 5 3 5 6" xfId="30066"/>
    <cellStyle name="Normal 5 3 6" xfId="1410"/>
    <cellStyle name="Normal 5 3 6 2" xfId="4297"/>
    <cellStyle name="Normal 5 3 6 2 2" xfId="10338"/>
    <cellStyle name="Normal 5 3 6 2 2 2" xfId="27385"/>
    <cellStyle name="Normal 5 3 6 2 2 2 2" xfId="56246"/>
    <cellStyle name="Normal 5 3 6 2 2 3" xfId="39199"/>
    <cellStyle name="Normal 5 3 6 2 3" xfId="21407"/>
    <cellStyle name="Normal 5 3 6 2 3 2" xfId="50268"/>
    <cellStyle name="Normal 5 3 6 2 4" xfId="33158"/>
    <cellStyle name="Normal 5 3 6 3" xfId="7452"/>
    <cellStyle name="Normal 5 3 6 3 2" xfId="24499"/>
    <cellStyle name="Normal 5 3 6 3 2 2" xfId="53360"/>
    <cellStyle name="Normal 5 3 6 3 3" xfId="36313"/>
    <cellStyle name="Normal 5 3 6 4" xfId="12154"/>
    <cellStyle name="Normal 5 3 6 4 2" xfId="18727"/>
    <cellStyle name="Normal 5 3 6 4 2 2" xfId="47588"/>
    <cellStyle name="Normal 5 3 6 4 3" xfId="41015"/>
    <cellStyle name="Normal 5 3 6 5" xfId="16047"/>
    <cellStyle name="Normal 5 3 6 5 2" xfId="44908"/>
    <cellStyle name="Normal 5 3 6 6" xfId="30272"/>
    <cellStyle name="Normal 5 3 7" xfId="1616"/>
    <cellStyle name="Normal 5 3 7 2" xfId="4503"/>
    <cellStyle name="Normal 5 3 7 2 2" xfId="10544"/>
    <cellStyle name="Normal 5 3 7 2 2 2" xfId="27591"/>
    <cellStyle name="Normal 5 3 7 2 2 2 2" xfId="56452"/>
    <cellStyle name="Normal 5 3 7 2 2 3" xfId="39405"/>
    <cellStyle name="Normal 5 3 7 2 3" xfId="21613"/>
    <cellStyle name="Normal 5 3 7 2 3 2" xfId="50474"/>
    <cellStyle name="Normal 5 3 7 2 4" xfId="33364"/>
    <cellStyle name="Normal 5 3 7 3" xfId="7658"/>
    <cellStyle name="Normal 5 3 7 3 2" xfId="24705"/>
    <cellStyle name="Normal 5 3 7 3 2 2" xfId="53566"/>
    <cellStyle name="Normal 5 3 7 3 3" xfId="36519"/>
    <cellStyle name="Normal 5 3 7 4" xfId="14079"/>
    <cellStyle name="Normal 5 3 7 4 2" xfId="18933"/>
    <cellStyle name="Normal 5 3 7 4 2 2" xfId="47794"/>
    <cellStyle name="Normal 5 3 7 4 3" xfId="42940"/>
    <cellStyle name="Normal 5 3 7 5" xfId="16253"/>
    <cellStyle name="Normal 5 3 7 5 2" xfId="45114"/>
    <cellStyle name="Normal 5 3 7 6" xfId="30478"/>
    <cellStyle name="Normal 5 3 8" xfId="1822"/>
    <cellStyle name="Normal 5 3 8 2" xfId="4709"/>
    <cellStyle name="Normal 5 3 8 2 2" xfId="10750"/>
    <cellStyle name="Normal 5 3 8 2 2 2" xfId="27797"/>
    <cellStyle name="Normal 5 3 8 2 2 2 2" xfId="56658"/>
    <cellStyle name="Normal 5 3 8 2 2 3" xfId="39611"/>
    <cellStyle name="Normal 5 3 8 2 3" xfId="21819"/>
    <cellStyle name="Normal 5 3 8 2 3 2" xfId="50680"/>
    <cellStyle name="Normal 5 3 8 2 4" xfId="33570"/>
    <cellStyle name="Normal 5 3 8 3" xfId="7864"/>
    <cellStyle name="Normal 5 3 8 3 2" xfId="24911"/>
    <cellStyle name="Normal 5 3 8 3 2 2" xfId="53772"/>
    <cellStyle name="Normal 5 3 8 3 3" xfId="36725"/>
    <cellStyle name="Normal 5 3 8 4" xfId="12010"/>
    <cellStyle name="Normal 5 3 8 4 2" xfId="19139"/>
    <cellStyle name="Normal 5 3 8 4 2 2" xfId="48000"/>
    <cellStyle name="Normal 5 3 8 4 3" xfId="40871"/>
    <cellStyle name="Normal 5 3 8 5" xfId="16459"/>
    <cellStyle name="Normal 5 3 8 5 2" xfId="45320"/>
    <cellStyle name="Normal 5 3 8 6" xfId="30684"/>
    <cellStyle name="Normal 5 3 9" xfId="2028"/>
    <cellStyle name="Normal 5 3 9 2" xfId="4915"/>
    <cellStyle name="Normal 5 3 9 2 2" xfId="10956"/>
    <cellStyle name="Normal 5 3 9 2 2 2" xfId="28003"/>
    <cellStyle name="Normal 5 3 9 2 2 2 2" xfId="56864"/>
    <cellStyle name="Normal 5 3 9 2 2 3" xfId="39817"/>
    <cellStyle name="Normal 5 3 9 2 3" xfId="22025"/>
    <cellStyle name="Normal 5 3 9 2 3 2" xfId="50886"/>
    <cellStyle name="Normal 5 3 9 2 4" xfId="33776"/>
    <cellStyle name="Normal 5 3 9 3" xfId="8070"/>
    <cellStyle name="Normal 5 3 9 3 2" xfId="25117"/>
    <cellStyle name="Normal 5 3 9 3 2 2" xfId="53978"/>
    <cellStyle name="Normal 5 3 9 3 3" xfId="36931"/>
    <cellStyle name="Normal 5 3 9 4" xfId="12652"/>
    <cellStyle name="Normal 5 3 9 4 2" xfId="19345"/>
    <cellStyle name="Normal 5 3 9 4 2 2" xfId="48206"/>
    <cellStyle name="Normal 5 3 9 4 3" xfId="41513"/>
    <cellStyle name="Normal 5 3 9 5" xfId="16665"/>
    <cellStyle name="Normal 5 3 9 5 2" xfId="45526"/>
    <cellStyle name="Normal 5 3 9 6" xfId="30890"/>
    <cellStyle name="Normal 5 4" xfId="174"/>
    <cellStyle name="Normal 5 4 2" xfId="586"/>
    <cellStyle name="Normal 5 4 2 2" xfId="3473"/>
    <cellStyle name="Normal 5 4 2 2 2" xfId="9514"/>
    <cellStyle name="Normal 5 4 2 2 2 2" xfId="26561"/>
    <cellStyle name="Normal 5 4 2 2 2 2 2" xfId="55422"/>
    <cellStyle name="Normal 5 4 2 2 2 3" xfId="38375"/>
    <cellStyle name="Normal 5 4 2 2 3" xfId="20583"/>
    <cellStyle name="Normal 5 4 2 2 3 2" xfId="49444"/>
    <cellStyle name="Normal 5 4 2 2 4" xfId="32334"/>
    <cellStyle name="Normal 5 4 2 3" xfId="6628"/>
    <cellStyle name="Normal 5 4 2 3 2" xfId="23675"/>
    <cellStyle name="Normal 5 4 2 3 2 2" xfId="52536"/>
    <cellStyle name="Normal 5 4 2 3 3" xfId="35489"/>
    <cellStyle name="Normal 5 4 2 4" xfId="12302"/>
    <cellStyle name="Normal 5 4 2 4 2" xfId="17903"/>
    <cellStyle name="Normal 5 4 2 4 2 2" xfId="46764"/>
    <cellStyle name="Normal 5 4 2 4 3" xfId="41163"/>
    <cellStyle name="Normal 5 4 2 5" xfId="15223"/>
    <cellStyle name="Normal 5 4 2 5 2" xfId="44084"/>
    <cellStyle name="Normal 5 4 2 6" xfId="29448"/>
    <cellStyle name="Normal 5 4 3" xfId="2131"/>
    <cellStyle name="Normal 5 4 3 2" xfId="5018"/>
    <cellStyle name="Normal 5 4 3 2 2" xfId="11059"/>
    <cellStyle name="Normal 5 4 3 2 2 2" xfId="28106"/>
    <cellStyle name="Normal 5 4 3 2 2 2 2" xfId="56967"/>
    <cellStyle name="Normal 5 4 3 2 2 3" xfId="39920"/>
    <cellStyle name="Normal 5 4 3 2 3" xfId="22128"/>
    <cellStyle name="Normal 5 4 3 2 3 2" xfId="50989"/>
    <cellStyle name="Normal 5 4 3 2 4" xfId="33879"/>
    <cellStyle name="Normal 5 4 3 3" xfId="8173"/>
    <cellStyle name="Normal 5 4 3 3 2" xfId="25220"/>
    <cellStyle name="Normal 5 4 3 3 2 2" xfId="54081"/>
    <cellStyle name="Normal 5 4 3 3 3" xfId="37034"/>
    <cellStyle name="Normal 5 4 3 4" xfId="13578"/>
    <cellStyle name="Normal 5 4 3 4 2" xfId="19448"/>
    <cellStyle name="Normal 5 4 3 4 2 2" xfId="48309"/>
    <cellStyle name="Normal 5 4 3 4 3" xfId="42439"/>
    <cellStyle name="Normal 5 4 3 5" xfId="16768"/>
    <cellStyle name="Normal 5 4 3 5 2" xfId="45629"/>
    <cellStyle name="Normal 5 4 3 6" xfId="30993"/>
    <cellStyle name="Normal 5 4 4" xfId="3061"/>
    <cellStyle name="Normal 5 4 4 2" xfId="9102"/>
    <cellStyle name="Normal 5 4 4 2 2" xfId="26149"/>
    <cellStyle name="Normal 5 4 4 2 2 2" xfId="55010"/>
    <cellStyle name="Normal 5 4 4 2 3" xfId="37963"/>
    <cellStyle name="Normal 5 4 4 3" xfId="20171"/>
    <cellStyle name="Normal 5 4 4 3 2" xfId="49032"/>
    <cellStyle name="Normal 5 4 4 4" xfId="31922"/>
    <cellStyle name="Normal 5 4 5" xfId="6216"/>
    <cellStyle name="Normal 5 4 5 2" xfId="23263"/>
    <cellStyle name="Normal 5 4 5 2 2" xfId="52124"/>
    <cellStyle name="Normal 5 4 5 3" xfId="35077"/>
    <cellStyle name="Normal 5 4 6" xfId="13759"/>
    <cellStyle name="Normal 5 4 6 2" xfId="17594"/>
    <cellStyle name="Normal 5 4 6 2 2" xfId="46455"/>
    <cellStyle name="Normal 5 4 6 3" xfId="42620"/>
    <cellStyle name="Normal 5 4 7" xfId="14811"/>
    <cellStyle name="Normal 5 4 7 2" xfId="43672"/>
    <cellStyle name="Normal 5 4 8" xfId="29036"/>
    <cellStyle name="Normal 5 5" xfId="380"/>
    <cellStyle name="Normal 5 5 2" xfId="3267"/>
    <cellStyle name="Normal 5 5 2 2" xfId="9308"/>
    <cellStyle name="Normal 5 5 2 2 2" xfId="26355"/>
    <cellStyle name="Normal 5 5 2 2 2 2" xfId="55216"/>
    <cellStyle name="Normal 5 5 2 2 3" xfId="38169"/>
    <cellStyle name="Normal 5 5 2 3" xfId="20377"/>
    <cellStyle name="Normal 5 5 2 3 2" xfId="49238"/>
    <cellStyle name="Normal 5 5 2 4" xfId="32128"/>
    <cellStyle name="Normal 5 5 3" xfId="6422"/>
    <cellStyle name="Normal 5 5 3 2" xfId="23469"/>
    <cellStyle name="Normal 5 5 3 2 2" xfId="52330"/>
    <cellStyle name="Normal 5 5 3 3" xfId="35283"/>
    <cellStyle name="Normal 5 5 4" xfId="14259"/>
    <cellStyle name="Normal 5 5 4 2" xfId="17697"/>
    <cellStyle name="Normal 5 5 4 2 2" xfId="46558"/>
    <cellStyle name="Normal 5 5 4 3" xfId="43120"/>
    <cellStyle name="Normal 5 5 5" xfId="15017"/>
    <cellStyle name="Normal 5 5 5 2" xfId="43878"/>
    <cellStyle name="Normal 5 5 6" xfId="29242"/>
    <cellStyle name="Normal 5 6" xfId="689"/>
    <cellStyle name="Normal 5 6 2" xfId="3576"/>
    <cellStyle name="Normal 5 6 2 2" xfId="9617"/>
    <cellStyle name="Normal 5 6 2 2 2" xfId="26664"/>
    <cellStyle name="Normal 5 6 2 2 2 2" xfId="55525"/>
    <cellStyle name="Normal 5 6 2 2 3" xfId="38478"/>
    <cellStyle name="Normal 5 6 2 3" xfId="20686"/>
    <cellStyle name="Normal 5 6 2 3 2" xfId="49547"/>
    <cellStyle name="Normal 5 6 2 4" xfId="32437"/>
    <cellStyle name="Normal 5 6 3" xfId="6731"/>
    <cellStyle name="Normal 5 6 3 2" xfId="23778"/>
    <cellStyle name="Normal 5 6 3 2 2" xfId="52639"/>
    <cellStyle name="Normal 5 6 3 3" xfId="35592"/>
    <cellStyle name="Normal 5 6 4" xfId="12223"/>
    <cellStyle name="Normal 5 6 4 2" xfId="18006"/>
    <cellStyle name="Normal 5 6 4 2 2" xfId="46867"/>
    <cellStyle name="Normal 5 6 4 3" xfId="41084"/>
    <cellStyle name="Normal 5 6 5" xfId="15326"/>
    <cellStyle name="Normal 5 6 5 2" xfId="44187"/>
    <cellStyle name="Normal 5 6 6" xfId="29551"/>
    <cellStyle name="Normal 5 7" xfId="895"/>
    <cellStyle name="Normal 5 7 2" xfId="3782"/>
    <cellStyle name="Normal 5 7 2 2" xfId="9823"/>
    <cellStyle name="Normal 5 7 2 2 2" xfId="26870"/>
    <cellStyle name="Normal 5 7 2 2 2 2" xfId="55731"/>
    <cellStyle name="Normal 5 7 2 2 3" xfId="38684"/>
    <cellStyle name="Normal 5 7 2 3" xfId="20892"/>
    <cellStyle name="Normal 5 7 2 3 2" xfId="49753"/>
    <cellStyle name="Normal 5 7 2 4" xfId="32643"/>
    <cellStyle name="Normal 5 7 3" xfId="6937"/>
    <cellStyle name="Normal 5 7 3 2" xfId="23984"/>
    <cellStyle name="Normal 5 7 3 2 2" xfId="52845"/>
    <cellStyle name="Normal 5 7 3 3" xfId="35798"/>
    <cellStyle name="Normal 5 7 4" xfId="13800"/>
    <cellStyle name="Normal 5 7 4 2" xfId="18212"/>
    <cellStyle name="Normal 5 7 4 2 2" xfId="47073"/>
    <cellStyle name="Normal 5 7 4 3" xfId="42661"/>
    <cellStyle name="Normal 5 7 5" xfId="15532"/>
    <cellStyle name="Normal 5 7 5 2" xfId="44393"/>
    <cellStyle name="Normal 5 7 6" xfId="29757"/>
    <cellStyle name="Normal 5 8" xfId="1101"/>
    <cellStyle name="Normal 5 8 2" xfId="3988"/>
    <cellStyle name="Normal 5 8 2 2" xfId="10029"/>
    <cellStyle name="Normal 5 8 2 2 2" xfId="27076"/>
    <cellStyle name="Normal 5 8 2 2 2 2" xfId="55937"/>
    <cellStyle name="Normal 5 8 2 2 3" xfId="38890"/>
    <cellStyle name="Normal 5 8 2 3" xfId="21098"/>
    <cellStyle name="Normal 5 8 2 3 2" xfId="49959"/>
    <cellStyle name="Normal 5 8 2 4" xfId="32849"/>
    <cellStyle name="Normal 5 8 3" xfId="7143"/>
    <cellStyle name="Normal 5 8 3 2" xfId="24190"/>
    <cellStyle name="Normal 5 8 3 2 2" xfId="53051"/>
    <cellStyle name="Normal 5 8 3 3" xfId="36004"/>
    <cellStyle name="Normal 5 8 4" xfId="13625"/>
    <cellStyle name="Normal 5 8 4 2" xfId="18418"/>
    <cellStyle name="Normal 5 8 4 2 2" xfId="47279"/>
    <cellStyle name="Normal 5 8 4 3" xfId="42486"/>
    <cellStyle name="Normal 5 8 5" xfId="15738"/>
    <cellStyle name="Normal 5 8 5 2" xfId="44599"/>
    <cellStyle name="Normal 5 8 6" xfId="29963"/>
    <cellStyle name="Normal 5 9" xfId="1307"/>
    <cellStyle name="Normal 5 9 2" xfId="4194"/>
    <cellStyle name="Normal 5 9 2 2" xfId="10235"/>
    <cellStyle name="Normal 5 9 2 2 2" xfId="27282"/>
    <cellStyle name="Normal 5 9 2 2 2 2" xfId="56143"/>
    <cellStyle name="Normal 5 9 2 2 3" xfId="39096"/>
    <cellStyle name="Normal 5 9 2 3" xfId="21304"/>
    <cellStyle name="Normal 5 9 2 3 2" xfId="50165"/>
    <cellStyle name="Normal 5 9 2 4" xfId="33055"/>
    <cellStyle name="Normal 5 9 3" xfId="7349"/>
    <cellStyle name="Normal 5 9 3 2" xfId="24396"/>
    <cellStyle name="Normal 5 9 3 2 2" xfId="53257"/>
    <cellStyle name="Normal 5 9 3 3" xfId="36210"/>
    <cellStyle name="Normal 5 9 4" xfId="12520"/>
    <cellStyle name="Normal 5 9 4 2" xfId="18624"/>
    <cellStyle name="Normal 5 9 4 2 2" xfId="47485"/>
    <cellStyle name="Normal 5 9 4 3" xfId="41381"/>
    <cellStyle name="Normal 5 9 5" xfId="15944"/>
    <cellStyle name="Normal 5 9 5 2" xfId="44805"/>
    <cellStyle name="Normal 5 9 6" xfId="30169"/>
    <cellStyle name="Normal 6" xfId="41"/>
    <cellStyle name="Normal 7" xfId="42"/>
    <cellStyle name="Normal 7 10" xfId="1720"/>
    <cellStyle name="Normal 7 10 2" xfId="4607"/>
    <cellStyle name="Normal 7 10 2 2" xfId="10648"/>
    <cellStyle name="Normal 7 10 2 2 2" xfId="27695"/>
    <cellStyle name="Normal 7 10 2 2 2 2" xfId="56556"/>
    <cellStyle name="Normal 7 10 2 2 3" xfId="39509"/>
    <cellStyle name="Normal 7 10 2 3" xfId="21717"/>
    <cellStyle name="Normal 7 10 2 3 2" xfId="50578"/>
    <cellStyle name="Normal 7 10 2 4" xfId="33468"/>
    <cellStyle name="Normal 7 10 3" xfId="7762"/>
    <cellStyle name="Normal 7 10 3 2" xfId="24809"/>
    <cellStyle name="Normal 7 10 3 2 2" xfId="53670"/>
    <cellStyle name="Normal 7 10 3 3" xfId="36623"/>
    <cellStyle name="Normal 7 10 4" xfId="12350"/>
    <cellStyle name="Normal 7 10 4 2" xfId="19037"/>
    <cellStyle name="Normal 7 10 4 2 2" xfId="47898"/>
    <cellStyle name="Normal 7 10 4 3" xfId="41211"/>
    <cellStyle name="Normal 7 10 5" xfId="16357"/>
    <cellStyle name="Normal 7 10 5 2" xfId="45218"/>
    <cellStyle name="Normal 7 10 6" xfId="30582"/>
    <cellStyle name="Normal 7 11" xfId="1926"/>
    <cellStyle name="Normal 7 11 2" xfId="4813"/>
    <cellStyle name="Normal 7 11 2 2" xfId="10854"/>
    <cellStyle name="Normal 7 11 2 2 2" xfId="27901"/>
    <cellStyle name="Normal 7 11 2 2 2 2" xfId="56762"/>
    <cellStyle name="Normal 7 11 2 2 3" xfId="39715"/>
    <cellStyle name="Normal 7 11 2 3" xfId="21923"/>
    <cellStyle name="Normal 7 11 2 3 2" xfId="50784"/>
    <cellStyle name="Normal 7 11 2 4" xfId="33674"/>
    <cellStyle name="Normal 7 11 3" xfId="7968"/>
    <cellStyle name="Normal 7 11 3 2" xfId="25015"/>
    <cellStyle name="Normal 7 11 3 2 2" xfId="53876"/>
    <cellStyle name="Normal 7 11 3 3" xfId="36829"/>
    <cellStyle name="Normal 7 11 4" xfId="12371"/>
    <cellStyle name="Normal 7 11 4 2" xfId="19243"/>
    <cellStyle name="Normal 7 11 4 2 2" xfId="48104"/>
    <cellStyle name="Normal 7 11 4 3" xfId="41232"/>
    <cellStyle name="Normal 7 11 5" xfId="16563"/>
    <cellStyle name="Normal 7 11 5 2" xfId="45424"/>
    <cellStyle name="Normal 7 11 6" xfId="30788"/>
    <cellStyle name="Normal 7 12" xfId="2338"/>
    <cellStyle name="Normal 7 12 2" xfId="5225"/>
    <cellStyle name="Normal 7 12 2 2" xfId="11266"/>
    <cellStyle name="Normal 7 12 2 2 2" xfId="28313"/>
    <cellStyle name="Normal 7 12 2 2 2 2" xfId="57174"/>
    <cellStyle name="Normal 7 12 2 2 3" xfId="40127"/>
    <cellStyle name="Normal 7 12 2 3" xfId="22335"/>
    <cellStyle name="Normal 7 12 2 3 2" xfId="51196"/>
    <cellStyle name="Normal 7 12 2 4" xfId="34086"/>
    <cellStyle name="Normal 7 12 3" xfId="8380"/>
    <cellStyle name="Normal 7 12 3 2" xfId="25427"/>
    <cellStyle name="Normal 7 12 3 2 2" xfId="54288"/>
    <cellStyle name="Normal 7 12 3 3" xfId="37241"/>
    <cellStyle name="Normal 7 12 4" xfId="13802"/>
    <cellStyle name="Normal 7 12 4 2" xfId="19655"/>
    <cellStyle name="Normal 7 12 4 2 2" xfId="48516"/>
    <cellStyle name="Normal 7 12 4 3" xfId="42663"/>
    <cellStyle name="Normal 7 12 5" xfId="16975"/>
    <cellStyle name="Normal 7 12 5 2" xfId="45836"/>
    <cellStyle name="Normal 7 12 6" xfId="31200"/>
    <cellStyle name="Normal 7 13" xfId="2547"/>
    <cellStyle name="Normal 7 13 2" xfId="5433"/>
    <cellStyle name="Normal 7 13 2 2" xfId="11474"/>
    <cellStyle name="Normal 7 13 2 2 2" xfId="28521"/>
    <cellStyle name="Normal 7 13 2 2 2 2" xfId="57382"/>
    <cellStyle name="Normal 7 13 2 2 3" xfId="40335"/>
    <cellStyle name="Normal 7 13 2 3" xfId="22543"/>
    <cellStyle name="Normal 7 13 2 3 2" xfId="51404"/>
    <cellStyle name="Normal 7 13 2 4" xfId="34294"/>
    <cellStyle name="Normal 7 13 3" xfId="8588"/>
    <cellStyle name="Normal 7 13 3 2" xfId="25635"/>
    <cellStyle name="Normal 7 13 3 2 2" xfId="54496"/>
    <cellStyle name="Normal 7 13 3 3" xfId="37449"/>
    <cellStyle name="Normal 7 13 4" xfId="14469"/>
    <cellStyle name="Normal 7 13 4 2" xfId="19863"/>
    <cellStyle name="Normal 7 13 4 2 2" xfId="48724"/>
    <cellStyle name="Normal 7 13 4 3" xfId="43330"/>
    <cellStyle name="Normal 7 13 5" xfId="17183"/>
    <cellStyle name="Normal 7 13 5 2" xfId="46044"/>
    <cellStyle name="Normal 7 13 6" xfId="31408"/>
    <cellStyle name="Normal 7 14" xfId="2959"/>
    <cellStyle name="Normal 7 14 2" xfId="9000"/>
    <cellStyle name="Normal 7 14 2 2" xfId="26047"/>
    <cellStyle name="Normal 7 14 2 2 2" xfId="54908"/>
    <cellStyle name="Normal 7 14 2 3" xfId="37861"/>
    <cellStyle name="Normal 7 14 3" xfId="12095"/>
    <cellStyle name="Normal 7 14 3 2" xfId="20069"/>
    <cellStyle name="Normal 7 14 3 2 2" xfId="48930"/>
    <cellStyle name="Normal 7 14 3 3" xfId="40956"/>
    <cellStyle name="Normal 7 14 4" xfId="14709"/>
    <cellStyle name="Normal 7 14 4 2" xfId="43570"/>
    <cellStyle name="Normal 7 14 5" xfId="31820"/>
    <cellStyle name="Normal 7 15" xfId="2753"/>
    <cellStyle name="Normal 7 15 2" xfId="8794"/>
    <cellStyle name="Normal 7 15 2 2" xfId="25841"/>
    <cellStyle name="Normal 7 15 2 2 2" xfId="54702"/>
    <cellStyle name="Normal 7 15 2 3" xfId="37655"/>
    <cellStyle name="Normal 7 15 3" xfId="17389"/>
    <cellStyle name="Normal 7 15 3 2" xfId="46250"/>
    <cellStyle name="Normal 7 15 4" xfId="31614"/>
    <cellStyle name="Normal 7 16" xfId="5639"/>
    <cellStyle name="Normal 7 16 2" xfId="11680"/>
    <cellStyle name="Normal 7 16 2 2" xfId="28727"/>
    <cellStyle name="Normal 7 16 2 2 2" xfId="57588"/>
    <cellStyle name="Normal 7 16 2 3" xfId="40541"/>
    <cellStyle name="Normal 7 16 3" xfId="22749"/>
    <cellStyle name="Normal 7 16 3 2" xfId="51610"/>
    <cellStyle name="Normal 7 16 4" xfId="34500"/>
    <cellStyle name="Normal 7 17" xfId="5850"/>
    <cellStyle name="Normal 7 17 2" xfId="22955"/>
    <cellStyle name="Normal 7 17 2 2" xfId="51816"/>
    <cellStyle name="Normal 7 17 3" xfId="34711"/>
    <cellStyle name="Normal 7 18" xfId="6114"/>
    <cellStyle name="Normal 7 18 2" xfId="23161"/>
    <cellStyle name="Normal 7 18 2 2" xfId="52022"/>
    <cellStyle name="Normal 7 18 3" xfId="34975"/>
    <cellStyle name="Normal 7 19" xfId="14503"/>
    <cellStyle name="Normal 7 19 2" xfId="43364"/>
    <cellStyle name="Normal 7 2" xfId="278"/>
    <cellStyle name="Normal 7 2 10" xfId="2441"/>
    <cellStyle name="Normal 7 2 10 2" xfId="5328"/>
    <cellStyle name="Normal 7 2 10 2 2" xfId="11369"/>
    <cellStyle name="Normal 7 2 10 2 2 2" xfId="28416"/>
    <cellStyle name="Normal 7 2 10 2 2 2 2" xfId="57277"/>
    <cellStyle name="Normal 7 2 10 2 2 3" xfId="40230"/>
    <cellStyle name="Normal 7 2 10 2 3" xfId="22438"/>
    <cellStyle name="Normal 7 2 10 2 3 2" xfId="51299"/>
    <cellStyle name="Normal 7 2 10 2 4" xfId="34189"/>
    <cellStyle name="Normal 7 2 10 3" xfId="8483"/>
    <cellStyle name="Normal 7 2 10 3 2" xfId="25530"/>
    <cellStyle name="Normal 7 2 10 3 2 2" xfId="54391"/>
    <cellStyle name="Normal 7 2 10 3 3" xfId="37344"/>
    <cellStyle name="Normal 7 2 10 4" xfId="13832"/>
    <cellStyle name="Normal 7 2 10 4 2" xfId="19758"/>
    <cellStyle name="Normal 7 2 10 4 2 2" xfId="48619"/>
    <cellStyle name="Normal 7 2 10 4 3" xfId="42693"/>
    <cellStyle name="Normal 7 2 10 5" xfId="17078"/>
    <cellStyle name="Normal 7 2 10 5 2" xfId="45939"/>
    <cellStyle name="Normal 7 2 10 6" xfId="31303"/>
    <cellStyle name="Normal 7 2 11" xfId="2650"/>
    <cellStyle name="Normal 7 2 11 2" xfId="5536"/>
    <cellStyle name="Normal 7 2 11 2 2" xfId="11577"/>
    <cellStyle name="Normal 7 2 11 2 2 2" xfId="28624"/>
    <cellStyle name="Normal 7 2 11 2 2 2 2" xfId="57485"/>
    <cellStyle name="Normal 7 2 11 2 2 3" xfId="40438"/>
    <cellStyle name="Normal 7 2 11 2 3" xfId="22646"/>
    <cellStyle name="Normal 7 2 11 2 3 2" xfId="51507"/>
    <cellStyle name="Normal 7 2 11 2 4" xfId="34397"/>
    <cellStyle name="Normal 7 2 11 3" xfId="8691"/>
    <cellStyle name="Normal 7 2 11 3 2" xfId="25738"/>
    <cellStyle name="Normal 7 2 11 3 2 2" xfId="54599"/>
    <cellStyle name="Normal 7 2 11 3 3" xfId="37552"/>
    <cellStyle name="Normal 7 2 11 4" xfId="13773"/>
    <cellStyle name="Normal 7 2 11 4 2" xfId="19966"/>
    <cellStyle name="Normal 7 2 11 4 2 2" xfId="48827"/>
    <cellStyle name="Normal 7 2 11 4 3" xfId="42634"/>
    <cellStyle name="Normal 7 2 11 5" xfId="17286"/>
    <cellStyle name="Normal 7 2 11 5 2" xfId="46147"/>
    <cellStyle name="Normal 7 2 11 6" xfId="31511"/>
    <cellStyle name="Normal 7 2 12" xfId="3165"/>
    <cellStyle name="Normal 7 2 12 2" xfId="9206"/>
    <cellStyle name="Normal 7 2 12 2 2" xfId="26253"/>
    <cellStyle name="Normal 7 2 12 2 2 2" xfId="55114"/>
    <cellStyle name="Normal 7 2 12 2 3" xfId="38067"/>
    <cellStyle name="Normal 7 2 12 3" xfId="14003"/>
    <cellStyle name="Normal 7 2 12 3 2" xfId="20275"/>
    <cellStyle name="Normal 7 2 12 3 2 2" xfId="49136"/>
    <cellStyle name="Normal 7 2 12 3 3" xfId="42864"/>
    <cellStyle name="Normal 7 2 12 4" xfId="14915"/>
    <cellStyle name="Normal 7 2 12 4 2" xfId="43776"/>
    <cellStyle name="Normal 7 2 12 5" xfId="32026"/>
    <cellStyle name="Normal 7 2 13" xfId="2856"/>
    <cellStyle name="Normal 7 2 13 2" xfId="8897"/>
    <cellStyle name="Normal 7 2 13 2 2" xfId="25944"/>
    <cellStyle name="Normal 7 2 13 2 2 2" xfId="54805"/>
    <cellStyle name="Normal 7 2 13 2 3" xfId="37758"/>
    <cellStyle name="Normal 7 2 13 3" xfId="17492"/>
    <cellStyle name="Normal 7 2 13 3 2" xfId="46353"/>
    <cellStyle name="Normal 7 2 13 4" xfId="31717"/>
    <cellStyle name="Normal 7 2 14" xfId="5742"/>
    <cellStyle name="Normal 7 2 14 2" xfId="11783"/>
    <cellStyle name="Normal 7 2 14 2 2" xfId="28830"/>
    <cellStyle name="Normal 7 2 14 2 2 2" xfId="57691"/>
    <cellStyle name="Normal 7 2 14 2 3" xfId="40644"/>
    <cellStyle name="Normal 7 2 14 3" xfId="22852"/>
    <cellStyle name="Normal 7 2 14 3 2" xfId="51713"/>
    <cellStyle name="Normal 7 2 14 4" xfId="34603"/>
    <cellStyle name="Normal 7 2 15" xfId="5959"/>
    <cellStyle name="Normal 7 2 15 2" xfId="23058"/>
    <cellStyle name="Normal 7 2 15 2 2" xfId="51919"/>
    <cellStyle name="Normal 7 2 15 3" xfId="34820"/>
    <cellStyle name="Normal 7 2 16" xfId="6320"/>
    <cellStyle name="Normal 7 2 16 2" xfId="23367"/>
    <cellStyle name="Normal 7 2 16 2 2" xfId="52228"/>
    <cellStyle name="Normal 7 2 16 3" xfId="35181"/>
    <cellStyle name="Normal 7 2 17" xfId="14606"/>
    <cellStyle name="Normal 7 2 17 2" xfId="43467"/>
    <cellStyle name="Normal 7 2 18" xfId="29140"/>
    <cellStyle name="Normal 7 2 2" xfId="484"/>
    <cellStyle name="Normal 7 2 2 2" xfId="2235"/>
    <cellStyle name="Normal 7 2 2 2 2" xfId="5122"/>
    <cellStyle name="Normal 7 2 2 2 2 2" xfId="11163"/>
    <cellStyle name="Normal 7 2 2 2 2 2 2" xfId="28210"/>
    <cellStyle name="Normal 7 2 2 2 2 2 2 2" xfId="57071"/>
    <cellStyle name="Normal 7 2 2 2 2 2 3" xfId="40024"/>
    <cellStyle name="Normal 7 2 2 2 2 3" xfId="22232"/>
    <cellStyle name="Normal 7 2 2 2 2 3 2" xfId="51093"/>
    <cellStyle name="Normal 7 2 2 2 2 4" xfId="33983"/>
    <cellStyle name="Normal 7 2 2 2 3" xfId="8277"/>
    <cellStyle name="Normal 7 2 2 2 3 2" xfId="25324"/>
    <cellStyle name="Normal 7 2 2 2 3 2 2" xfId="54185"/>
    <cellStyle name="Normal 7 2 2 2 3 3" xfId="37138"/>
    <cellStyle name="Normal 7 2 2 2 4" xfId="13951"/>
    <cellStyle name="Normal 7 2 2 2 4 2" xfId="19552"/>
    <cellStyle name="Normal 7 2 2 2 4 2 2" xfId="48413"/>
    <cellStyle name="Normal 7 2 2 2 4 3" xfId="42812"/>
    <cellStyle name="Normal 7 2 2 2 5" xfId="16872"/>
    <cellStyle name="Normal 7 2 2 2 5 2" xfId="45733"/>
    <cellStyle name="Normal 7 2 2 2 6" xfId="31097"/>
    <cellStyle name="Normal 7 2 2 3" xfId="3371"/>
    <cellStyle name="Normal 7 2 2 3 2" xfId="9412"/>
    <cellStyle name="Normal 7 2 2 3 2 2" xfId="26459"/>
    <cellStyle name="Normal 7 2 2 3 2 2 2" xfId="55320"/>
    <cellStyle name="Normal 7 2 2 3 2 3" xfId="38273"/>
    <cellStyle name="Normal 7 2 2 3 3" xfId="20481"/>
    <cellStyle name="Normal 7 2 2 3 3 2" xfId="49342"/>
    <cellStyle name="Normal 7 2 2 3 4" xfId="32232"/>
    <cellStyle name="Normal 7 2 2 4" xfId="6526"/>
    <cellStyle name="Normal 7 2 2 4 2" xfId="23573"/>
    <cellStyle name="Normal 7 2 2 4 2 2" xfId="52434"/>
    <cellStyle name="Normal 7 2 2 4 3" xfId="35387"/>
    <cellStyle name="Normal 7 2 2 5" xfId="12982"/>
    <cellStyle name="Normal 7 2 2 5 2" xfId="17801"/>
    <cellStyle name="Normal 7 2 2 5 2 2" xfId="46662"/>
    <cellStyle name="Normal 7 2 2 5 3" xfId="41843"/>
    <cellStyle name="Normal 7 2 2 6" xfId="15121"/>
    <cellStyle name="Normal 7 2 2 6 2" xfId="43982"/>
    <cellStyle name="Normal 7 2 2 7" xfId="29346"/>
    <cellStyle name="Normal 7 2 3" xfId="793"/>
    <cellStyle name="Normal 7 2 3 2" xfId="3680"/>
    <cellStyle name="Normal 7 2 3 2 2" xfId="9721"/>
    <cellStyle name="Normal 7 2 3 2 2 2" xfId="26768"/>
    <cellStyle name="Normal 7 2 3 2 2 2 2" xfId="55629"/>
    <cellStyle name="Normal 7 2 3 2 2 3" xfId="38582"/>
    <cellStyle name="Normal 7 2 3 2 3" xfId="20790"/>
    <cellStyle name="Normal 7 2 3 2 3 2" xfId="49651"/>
    <cellStyle name="Normal 7 2 3 2 4" xfId="32541"/>
    <cellStyle name="Normal 7 2 3 3" xfId="6835"/>
    <cellStyle name="Normal 7 2 3 3 2" xfId="23882"/>
    <cellStyle name="Normal 7 2 3 3 2 2" xfId="52743"/>
    <cellStyle name="Normal 7 2 3 3 3" xfId="35696"/>
    <cellStyle name="Normal 7 2 3 4" xfId="12717"/>
    <cellStyle name="Normal 7 2 3 4 2" xfId="18110"/>
    <cellStyle name="Normal 7 2 3 4 2 2" xfId="46971"/>
    <cellStyle name="Normal 7 2 3 4 3" xfId="41578"/>
    <cellStyle name="Normal 7 2 3 5" xfId="15430"/>
    <cellStyle name="Normal 7 2 3 5 2" xfId="44291"/>
    <cellStyle name="Normal 7 2 3 6" xfId="29655"/>
    <cellStyle name="Normal 7 2 4" xfId="999"/>
    <cellStyle name="Normal 7 2 4 2" xfId="3886"/>
    <cellStyle name="Normal 7 2 4 2 2" xfId="9927"/>
    <cellStyle name="Normal 7 2 4 2 2 2" xfId="26974"/>
    <cellStyle name="Normal 7 2 4 2 2 2 2" xfId="55835"/>
    <cellStyle name="Normal 7 2 4 2 2 3" xfId="38788"/>
    <cellStyle name="Normal 7 2 4 2 3" xfId="20996"/>
    <cellStyle name="Normal 7 2 4 2 3 2" xfId="49857"/>
    <cellStyle name="Normal 7 2 4 2 4" xfId="32747"/>
    <cellStyle name="Normal 7 2 4 3" xfId="7041"/>
    <cellStyle name="Normal 7 2 4 3 2" xfId="24088"/>
    <cellStyle name="Normal 7 2 4 3 2 2" xfId="52949"/>
    <cellStyle name="Normal 7 2 4 3 3" xfId="35902"/>
    <cellStyle name="Normal 7 2 4 4" xfId="14391"/>
    <cellStyle name="Normal 7 2 4 4 2" xfId="18316"/>
    <cellStyle name="Normal 7 2 4 4 2 2" xfId="47177"/>
    <cellStyle name="Normal 7 2 4 4 3" xfId="43252"/>
    <cellStyle name="Normal 7 2 4 5" xfId="15636"/>
    <cellStyle name="Normal 7 2 4 5 2" xfId="44497"/>
    <cellStyle name="Normal 7 2 4 6" xfId="29861"/>
    <cellStyle name="Normal 7 2 5" xfId="1205"/>
    <cellStyle name="Normal 7 2 5 2" xfId="4092"/>
    <cellStyle name="Normal 7 2 5 2 2" xfId="10133"/>
    <cellStyle name="Normal 7 2 5 2 2 2" xfId="27180"/>
    <cellStyle name="Normal 7 2 5 2 2 2 2" xfId="56041"/>
    <cellStyle name="Normal 7 2 5 2 2 3" xfId="38994"/>
    <cellStyle name="Normal 7 2 5 2 3" xfId="21202"/>
    <cellStyle name="Normal 7 2 5 2 3 2" xfId="50063"/>
    <cellStyle name="Normal 7 2 5 2 4" xfId="32953"/>
    <cellStyle name="Normal 7 2 5 3" xfId="7247"/>
    <cellStyle name="Normal 7 2 5 3 2" xfId="24294"/>
    <cellStyle name="Normal 7 2 5 3 2 2" xfId="53155"/>
    <cellStyle name="Normal 7 2 5 3 3" xfId="36108"/>
    <cellStyle name="Normal 7 2 5 4" xfId="12435"/>
    <cellStyle name="Normal 7 2 5 4 2" xfId="18522"/>
    <cellStyle name="Normal 7 2 5 4 2 2" xfId="47383"/>
    <cellStyle name="Normal 7 2 5 4 3" xfId="41296"/>
    <cellStyle name="Normal 7 2 5 5" xfId="15842"/>
    <cellStyle name="Normal 7 2 5 5 2" xfId="44703"/>
    <cellStyle name="Normal 7 2 5 6" xfId="30067"/>
    <cellStyle name="Normal 7 2 6" xfId="1411"/>
    <cellStyle name="Normal 7 2 6 2" xfId="4298"/>
    <cellStyle name="Normal 7 2 6 2 2" xfId="10339"/>
    <cellStyle name="Normal 7 2 6 2 2 2" xfId="27386"/>
    <cellStyle name="Normal 7 2 6 2 2 2 2" xfId="56247"/>
    <cellStyle name="Normal 7 2 6 2 2 3" xfId="39200"/>
    <cellStyle name="Normal 7 2 6 2 3" xfId="21408"/>
    <cellStyle name="Normal 7 2 6 2 3 2" xfId="50269"/>
    <cellStyle name="Normal 7 2 6 2 4" xfId="33159"/>
    <cellStyle name="Normal 7 2 6 3" xfId="7453"/>
    <cellStyle name="Normal 7 2 6 3 2" xfId="24500"/>
    <cellStyle name="Normal 7 2 6 3 2 2" xfId="53361"/>
    <cellStyle name="Normal 7 2 6 3 3" xfId="36314"/>
    <cellStyle name="Normal 7 2 6 4" xfId="12391"/>
    <cellStyle name="Normal 7 2 6 4 2" xfId="18728"/>
    <cellStyle name="Normal 7 2 6 4 2 2" xfId="47589"/>
    <cellStyle name="Normal 7 2 6 4 3" xfId="41252"/>
    <cellStyle name="Normal 7 2 6 5" xfId="16048"/>
    <cellStyle name="Normal 7 2 6 5 2" xfId="44909"/>
    <cellStyle name="Normal 7 2 6 6" xfId="30273"/>
    <cellStyle name="Normal 7 2 7" xfId="1617"/>
    <cellStyle name="Normal 7 2 7 2" xfId="4504"/>
    <cellStyle name="Normal 7 2 7 2 2" xfId="10545"/>
    <cellStyle name="Normal 7 2 7 2 2 2" xfId="27592"/>
    <cellStyle name="Normal 7 2 7 2 2 2 2" xfId="56453"/>
    <cellStyle name="Normal 7 2 7 2 2 3" xfId="39406"/>
    <cellStyle name="Normal 7 2 7 2 3" xfId="21614"/>
    <cellStyle name="Normal 7 2 7 2 3 2" xfId="50475"/>
    <cellStyle name="Normal 7 2 7 2 4" xfId="33365"/>
    <cellStyle name="Normal 7 2 7 3" xfId="7659"/>
    <cellStyle name="Normal 7 2 7 3 2" xfId="24706"/>
    <cellStyle name="Normal 7 2 7 3 2 2" xfId="53567"/>
    <cellStyle name="Normal 7 2 7 3 3" xfId="36520"/>
    <cellStyle name="Normal 7 2 7 4" xfId="14186"/>
    <cellStyle name="Normal 7 2 7 4 2" xfId="18934"/>
    <cellStyle name="Normal 7 2 7 4 2 2" xfId="47795"/>
    <cellStyle name="Normal 7 2 7 4 3" xfId="43047"/>
    <cellStyle name="Normal 7 2 7 5" xfId="16254"/>
    <cellStyle name="Normal 7 2 7 5 2" xfId="45115"/>
    <cellStyle name="Normal 7 2 7 6" xfId="30479"/>
    <cellStyle name="Normal 7 2 8" xfId="1823"/>
    <cellStyle name="Normal 7 2 8 2" xfId="4710"/>
    <cellStyle name="Normal 7 2 8 2 2" xfId="10751"/>
    <cellStyle name="Normal 7 2 8 2 2 2" xfId="27798"/>
    <cellStyle name="Normal 7 2 8 2 2 2 2" xfId="56659"/>
    <cellStyle name="Normal 7 2 8 2 2 3" xfId="39612"/>
    <cellStyle name="Normal 7 2 8 2 3" xfId="21820"/>
    <cellStyle name="Normal 7 2 8 2 3 2" xfId="50681"/>
    <cellStyle name="Normal 7 2 8 2 4" xfId="33571"/>
    <cellStyle name="Normal 7 2 8 3" xfId="7865"/>
    <cellStyle name="Normal 7 2 8 3 2" xfId="24912"/>
    <cellStyle name="Normal 7 2 8 3 2 2" xfId="53773"/>
    <cellStyle name="Normal 7 2 8 3 3" xfId="36726"/>
    <cellStyle name="Normal 7 2 8 4" xfId="13305"/>
    <cellStyle name="Normal 7 2 8 4 2" xfId="19140"/>
    <cellStyle name="Normal 7 2 8 4 2 2" xfId="48001"/>
    <cellStyle name="Normal 7 2 8 4 3" xfId="42166"/>
    <cellStyle name="Normal 7 2 8 5" xfId="16460"/>
    <cellStyle name="Normal 7 2 8 5 2" xfId="45321"/>
    <cellStyle name="Normal 7 2 8 6" xfId="30685"/>
    <cellStyle name="Normal 7 2 9" xfId="2029"/>
    <cellStyle name="Normal 7 2 9 2" xfId="4916"/>
    <cellStyle name="Normal 7 2 9 2 2" xfId="10957"/>
    <cellStyle name="Normal 7 2 9 2 2 2" xfId="28004"/>
    <cellStyle name="Normal 7 2 9 2 2 2 2" xfId="56865"/>
    <cellStyle name="Normal 7 2 9 2 2 3" xfId="39818"/>
    <cellStyle name="Normal 7 2 9 2 3" xfId="22026"/>
    <cellStyle name="Normal 7 2 9 2 3 2" xfId="50887"/>
    <cellStyle name="Normal 7 2 9 2 4" xfId="33777"/>
    <cellStyle name="Normal 7 2 9 3" xfId="8071"/>
    <cellStyle name="Normal 7 2 9 3 2" xfId="25118"/>
    <cellStyle name="Normal 7 2 9 3 2 2" xfId="53979"/>
    <cellStyle name="Normal 7 2 9 3 3" xfId="36932"/>
    <cellStyle name="Normal 7 2 9 4" xfId="12288"/>
    <cellStyle name="Normal 7 2 9 4 2" xfId="19346"/>
    <cellStyle name="Normal 7 2 9 4 2 2" xfId="48207"/>
    <cellStyle name="Normal 7 2 9 4 3" xfId="41149"/>
    <cellStyle name="Normal 7 2 9 5" xfId="16666"/>
    <cellStyle name="Normal 7 2 9 5 2" xfId="45527"/>
    <cellStyle name="Normal 7 2 9 6" xfId="30891"/>
    <cellStyle name="Normal 7 20" xfId="28934"/>
    <cellStyle name="Normal 7 3" xfId="175"/>
    <cellStyle name="Normal 7 3 2" xfId="587"/>
    <cellStyle name="Normal 7 3 2 2" xfId="3474"/>
    <cellStyle name="Normal 7 3 2 2 2" xfId="9515"/>
    <cellStyle name="Normal 7 3 2 2 2 2" xfId="26562"/>
    <cellStyle name="Normal 7 3 2 2 2 2 2" xfId="55423"/>
    <cellStyle name="Normal 7 3 2 2 2 3" xfId="38376"/>
    <cellStyle name="Normal 7 3 2 2 3" xfId="20584"/>
    <cellStyle name="Normal 7 3 2 2 3 2" xfId="49445"/>
    <cellStyle name="Normal 7 3 2 2 4" xfId="32335"/>
    <cellStyle name="Normal 7 3 2 3" xfId="6629"/>
    <cellStyle name="Normal 7 3 2 3 2" xfId="23676"/>
    <cellStyle name="Normal 7 3 2 3 2 2" xfId="52537"/>
    <cellStyle name="Normal 7 3 2 3 3" xfId="35490"/>
    <cellStyle name="Normal 7 3 2 4" xfId="13059"/>
    <cellStyle name="Normal 7 3 2 4 2" xfId="17904"/>
    <cellStyle name="Normal 7 3 2 4 2 2" xfId="46765"/>
    <cellStyle name="Normal 7 3 2 4 3" xfId="41920"/>
    <cellStyle name="Normal 7 3 2 5" xfId="15224"/>
    <cellStyle name="Normal 7 3 2 5 2" xfId="44085"/>
    <cellStyle name="Normal 7 3 2 6" xfId="29449"/>
    <cellStyle name="Normal 7 3 3" xfId="2132"/>
    <cellStyle name="Normal 7 3 3 2" xfId="5019"/>
    <cellStyle name="Normal 7 3 3 2 2" xfId="11060"/>
    <cellStyle name="Normal 7 3 3 2 2 2" xfId="28107"/>
    <cellStyle name="Normal 7 3 3 2 2 2 2" xfId="56968"/>
    <cellStyle name="Normal 7 3 3 2 2 3" xfId="39921"/>
    <cellStyle name="Normal 7 3 3 2 3" xfId="22129"/>
    <cellStyle name="Normal 7 3 3 2 3 2" xfId="50990"/>
    <cellStyle name="Normal 7 3 3 2 4" xfId="33880"/>
    <cellStyle name="Normal 7 3 3 3" xfId="8174"/>
    <cellStyle name="Normal 7 3 3 3 2" xfId="25221"/>
    <cellStyle name="Normal 7 3 3 3 2 2" xfId="54082"/>
    <cellStyle name="Normal 7 3 3 3 3" xfId="37035"/>
    <cellStyle name="Normal 7 3 3 4" xfId="13287"/>
    <cellStyle name="Normal 7 3 3 4 2" xfId="19449"/>
    <cellStyle name="Normal 7 3 3 4 2 2" xfId="48310"/>
    <cellStyle name="Normal 7 3 3 4 3" xfId="42148"/>
    <cellStyle name="Normal 7 3 3 5" xfId="16769"/>
    <cellStyle name="Normal 7 3 3 5 2" xfId="45630"/>
    <cellStyle name="Normal 7 3 3 6" xfId="30994"/>
    <cellStyle name="Normal 7 3 4" xfId="3062"/>
    <cellStyle name="Normal 7 3 4 2" xfId="9103"/>
    <cellStyle name="Normal 7 3 4 2 2" xfId="26150"/>
    <cellStyle name="Normal 7 3 4 2 2 2" xfId="55011"/>
    <cellStyle name="Normal 7 3 4 2 3" xfId="37964"/>
    <cellStyle name="Normal 7 3 4 3" xfId="20172"/>
    <cellStyle name="Normal 7 3 4 3 2" xfId="49033"/>
    <cellStyle name="Normal 7 3 4 4" xfId="31923"/>
    <cellStyle name="Normal 7 3 5" xfId="6217"/>
    <cellStyle name="Normal 7 3 5 2" xfId="23264"/>
    <cellStyle name="Normal 7 3 5 2 2" xfId="52125"/>
    <cellStyle name="Normal 7 3 5 3" xfId="35078"/>
    <cellStyle name="Normal 7 3 6" xfId="14288"/>
    <cellStyle name="Normal 7 3 6 2" xfId="17595"/>
    <cellStyle name="Normal 7 3 6 2 2" xfId="46456"/>
    <cellStyle name="Normal 7 3 6 3" xfId="43149"/>
    <cellStyle name="Normal 7 3 7" xfId="14812"/>
    <cellStyle name="Normal 7 3 7 2" xfId="43673"/>
    <cellStyle name="Normal 7 3 8" xfId="29037"/>
    <cellStyle name="Normal 7 4" xfId="381"/>
    <cellStyle name="Normal 7 4 2" xfId="3268"/>
    <cellStyle name="Normal 7 4 2 2" xfId="9309"/>
    <cellStyle name="Normal 7 4 2 2 2" xfId="26356"/>
    <cellStyle name="Normal 7 4 2 2 2 2" xfId="55217"/>
    <cellStyle name="Normal 7 4 2 2 3" xfId="38170"/>
    <cellStyle name="Normal 7 4 2 3" xfId="20378"/>
    <cellStyle name="Normal 7 4 2 3 2" xfId="49239"/>
    <cellStyle name="Normal 7 4 2 4" xfId="32129"/>
    <cellStyle name="Normal 7 4 3" xfId="6423"/>
    <cellStyle name="Normal 7 4 3 2" xfId="23470"/>
    <cellStyle name="Normal 7 4 3 2 2" xfId="52331"/>
    <cellStyle name="Normal 7 4 3 3" xfId="35284"/>
    <cellStyle name="Normal 7 4 4" xfId="14217"/>
    <cellStyle name="Normal 7 4 4 2" xfId="17698"/>
    <cellStyle name="Normal 7 4 4 2 2" xfId="46559"/>
    <cellStyle name="Normal 7 4 4 3" xfId="43078"/>
    <cellStyle name="Normal 7 4 5" xfId="15018"/>
    <cellStyle name="Normal 7 4 5 2" xfId="43879"/>
    <cellStyle name="Normal 7 4 6" xfId="29243"/>
    <cellStyle name="Normal 7 5" xfId="690"/>
    <cellStyle name="Normal 7 5 2" xfId="3577"/>
    <cellStyle name="Normal 7 5 2 2" xfId="9618"/>
    <cellStyle name="Normal 7 5 2 2 2" xfId="26665"/>
    <cellStyle name="Normal 7 5 2 2 2 2" xfId="55526"/>
    <cellStyle name="Normal 7 5 2 2 3" xfId="38479"/>
    <cellStyle name="Normal 7 5 2 3" xfId="20687"/>
    <cellStyle name="Normal 7 5 2 3 2" xfId="49548"/>
    <cellStyle name="Normal 7 5 2 4" xfId="32438"/>
    <cellStyle name="Normal 7 5 3" xfId="6732"/>
    <cellStyle name="Normal 7 5 3 2" xfId="23779"/>
    <cellStyle name="Normal 7 5 3 2 2" xfId="52640"/>
    <cellStyle name="Normal 7 5 3 3" xfId="35593"/>
    <cellStyle name="Normal 7 5 4" xfId="13723"/>
    <cellStyle name="Normal 7 5 4 2" xfId="18007"/>
    <cellStyle name="Normal 7 5 4 2 2" xfId="46868"/>
    <cellStyle name="Normal 7 5 4 3" xfId="42584"/>
    <cellStyle name="Normal 7 5 5" xfId="15327"/>
    <cellStyle name="Normal 7 5 5 2" xfId="44188"/>
    <cellStyle name="Normal 7 5 6" xfId="29552"/>
    <cellStyle name="Normal 7 6" xfId="896"/>
    <cellStyle name="Normal 7 6 2" xfId="3783"/>
    <cellStyle name="Normal 7 6 2 2" xfId="9824"/>
    <cellStyle name="Normal 7 6 2 2 2" xfId="26871"/>
    <cellStyle name="Normal 7 6 2 2 2 2" xfId="55732"/>
    <cellStyle name="Normal 7 6 2 2 3" xfId="38685"/>
    <cellStyle name="Normal 7 6 2 3" xfId="20893"/>
    <cellStyle name="Normal 7 6 2 3 2" xfId="49754"/>
    <cellStyle name="Normal 7 6 2 4" xfId="32644"/>
    <cellStyle name="Normal 7 6 3" xfId="6938"/>
    <cellStyle name="Normal 7 6 3 2" xfId="23985"/>
    <cellStyle name="Normal 7 6 3 2 2" xfId="52846"/>
    <cellStyle name="Normal 7 6 3 3" xfId="35799"/>
    <cellStyle name="Normal 7 6 4" xfId="11920"/>
    <cellStyle name="Normal 7 6 4 2" xfId="18213"/>
    <cellStyle name="Normal 7 6 4 2 2" xfId="47074"/>
    <cellStyle name="Normal 7 6 4 3" xfId="40781"/>
    <cellStyle name="Normal 7 6 5" xfId="15533"/>
    <cellStyle name="Normal 7 6 5 2" xfId="44394"/>
    <cellStyle name="Normal 7 6 6" xfId="29758"/>
    <cellStyle name="Normal 7 7" xfId="1102"/>
    <cellStyle name="Normal 7 7 2" xfId="3989"/>
    <cellStyle name="Normal 7 7 2 2" xfId="10030"/>
    <cellStyle name="Normal 7 7 2 2 2" xfId="27077"/>
    <cellStyle name="Normal 7 7 2 2 2 2" xfId="55938"/>
    <cellStyle name="Normal 7 7 2 2 3" xfId="38891"/>
    <cellStyle name="Normal 7 7 2 3" xfId="21099"/>
    <cellStyle name="Normal 7 7 2 3 2" xfId="49960"/>
    <cellStyle name="Normal 7 7 2 4" xfId="32850"/>
    <cellStyle name="Normal 7 7 3" xfId="7144"/>
    <cellStyle name="Normal 7 7 3 2" xfId="24191"/>
    <cellStyle name="Normal 7 7 3 2 2" xfId="53052"/>
    <cellStyle name="Normal 7 7 3 3" xfId="36005"/>
    <cellStyle name="Normal 7 7 4" xfId="13404"/>
    <cellStyle name="Normal 7 7 4 2" xfId="18419"/>
    <cellStyle name="Normal 7 7 4 2 2" xfId="47280"/>
    <cellStyle name="Normal 7 7 4 3" xfId="42265"/>
    <cellStyle name="Normal 7 7 5" xfId="15739"/>
    <cellStyle name="Normal 7 7 5 2" xfId="44600"/>
    <cellStyle name="Normal 7 7 6" xfId="29964"/>
    <cellStyle name="Normal 7 8" xfId="1308"/>
    <cellStyle name="Normal 7 8 2" xfId="4195"/>
    <cellStyle name="Normal 7 8 2 2" xfId="10236"/>
    <cellStyle name="Normal 7 8 2 2 2" xfId="27283"/>
    <cellStyle name="Normal 7 8 2 2 2 2" xfId="56144"/>
    <cellStyle name="Normal 7 8 2 2 3" xfId="39097"/>
    <cellStyle name="Normal 7 8 2 3" xfId="21305"/>
    <cellStyle name="Normal 7 8 2 3 2" xfId="50166"/>
    <cellStyle name="Normal 7 8 2 4" xfId="33056"/>
    <cellStyle name="Normal 7 8 3" xfId="7350"/>
    <cellStyle name="Normal 7 8 3 2" xfId="24397"/>
    <cellStyle name="Normal 7 8 3 2 2" xfId="53258"/>
    <cellStyle name="Normal 7 8 3 3" xfId="36211"/>
    <cellStyle name="Normal 7 8 4" xfId="12338"/>
    <cellStyle name="Normal 7 8 4 2" xfId="18625"/>
    <cellStyle name="Normal 7 8 4 2 2" xfId="47486"/>
    <cellStyle name="Normal 7 8 4 3" xfId="41199"/>
    <cellStyle name="Normal 7 8 5" xfId="15945"/>
    <cellStyle name="Normal 7 8 5 2" xfId="44806"/>
    <cellStyle name="Normal 7 8 6" xfId="30170"/>
    <cellStyle name="Normal 7 9" xfId="1514"/>
    <cellStyle name="Normal 7 9 2" xfId="4401"/>
    <cellStyle name="Normal 7 9 2 2" xfId="10442"/>
    <cellStyle name="Normal 7 9 2 2 2" xfId="27489"/>
    <cellStyle name="Normal 7 9 2 2 2 2" xfId="56350"/>
    <cellStyle name="Normal 7 9 2 2 3" xfId="39303"/>
    <cellStyle name="Normal 7 9 2 3" xfId="21511"/>
    <cellStyle name="Normal 7 9 2 3 2" xfId="50372"/>
    <cellStyle name="Normal 7 9 2 4" xfId="33262"/>
    <cellStyle name="Normal 7 9 3" xfId="7556"/>
    <cellStyle name="Normal 7 9 3 2" xfId="24603"/>
    <cellStyle name="Normal 7 9 3 2 2" xfId="53464"/>
    <cellStyle name="Normal 7 9 3 3" xfId="36417"/>
    <cellStyle name="Normal 7 9 4" xfId="12364"/>
    <cellStyle name="Normal 7 9 4 2" xfId="18831"/>
    <cellStyle name="Normal 7 9 4 2 2" xfId="47692"/>
    <cellStyle name="Normal 7 9 4 3" xfId="41225"/>
    <cellStyle name="Normal 7 9 5" xfId="16151"/>
    <cellStyle name="Normal 7 9 5 2" xfId="45012"/>
    <cellStyle name="Normal 7 9 6" xfId="30376"/>
    <cellStyle name="Normal 8" xfId="43"/>
    <cellStyle name="Normal 8 10" xfId="1721"/>
    <cellStyle name="Normal 8 10 2" xfId="4608"/>
    <cellStyle name="Normal 8 10 2 2" xfId="10649"/>
    <cellStyle name="Normal 8 10 2 2 2" xfId="27696"/>
    <cellStyle name="Normal 8 10 2 2 2 2" xfId="56557"/>
    <cellStyle name="Normal 8 10 2 2 3" xfId="39510"/>
    <cellStyle name="Normal 8 10 2 3" xfId="21718"/>
    <cellStyle name="Normal 8 10 2 3 2" xfId="50579"/>
    <cellStyle name="Normal 8 10 2 4" xfId="33469"/>
    <cellStyle name="Normal 8 10 3" xfId="7763"/>
    <cellStyle name="Normal 8 10 3 2" xfId="24810"/>
    <cellStyle name="Normal 8 10 3 2 2" xfId="53671"/>
    <cellStyle name="Normal 8 10 3 3" xfId="36624"/>
    <cellStyle name="Normal 8 10 4" xfId="14327"/>
    <cellStyle name="Normal 8 10 4 2" xfId="19038"/>
    <cellStyle name="Normal 8 10 4 2 2" xfId="47899"/>
    <cellStyle name="Normal 8 10 4 3" xfId="43188"/>
    <cellStyle name="Normal 8 10 5" xfId="16358"/>
    <cellStyle name="Normal 8 10 5 2" xfId="45219"/>
    <cellStyle name="Normal 8 10 6" xfId="30583"/>
    <cellStyle name="Normal 8 11" xfId="1927"/>
    <cellStyle name="Normal 8 11 2" xfId="4814"/>
    <cellStyle name="Normal 8 11 2 2" xfId="10855"/>
    <cellStyle name="Normal 8 11 2 2 2" xfId="27902"/>
    <cellStyle name="Normal 8 11 2 2 2 2" xfId="56763"/>
    <cellStyle name="Normal 8 11 2 2 3" xfId="39716"/>
    <cellStyle name="Normal 8 11 2 3" xfId="21924"/>
    <cellStyle name="Normal 8 11 2 3 2" xfId="50785"/>
    <cellStyle name="Normal 8 11 2 4" xfId="33675"/>
    <cellStyle name="Normal 8 11 3" xfId="7969"/>
    <cellStyle name="Normal 8 11 3 2" xfId="25016"/>
    <cellStyle name="Normal 8 11 3 2 2" xfId="53877"/>
    <cellStyle name="Normal 8 11 3 3" xfId="36830"/>
    <cellStyle name="Normal 8 11 4" xfId="12987"/>
    <cellStyle name="Normal 8 11 4 2" xfId="19244"/>
    <cellStyle name="Normal 8 11 4 2 2" xfId="48105"/>
    <cellStyle name="Normal 8 11 4 3" xfId="41848"/>
    <cellStyle name="Normal 8 11 5" xfId="16564"/>
    <cellStyle name="Normal 8 11 5 2" xfId="45425"/>
    <cellStyle name="Normal 8 11 6" xfId="30789"/>
    <cellStyle name="Normal 8 12" xfId="2339"/>
    <cellStyle name="Normal 8 12 2" xfId="5226"/>
    <cellStyle name="Normal 8 12 2 2" xfId="11267"/>
    <cellStyle name="Normal 8 12 2 2 2" xfId="28314"/>
    <cellStyle name="Normal 8 12 2 2 2 2" xfId="57175"/>
    <cellStyle name="Normal 8 12 2 2 3" xfId="40128"/>
    <cellStyle name="Normal 8 12 2 3" xfId="22336"/>
    <cellStyle name="Normal 8 12 2 3 2" xfId="51197"/>
    <cellStyle name="Normal 8 12 2 4" xfId="34087"/>
    <cellStyle name="Normal 8 12 3" xfId="8381"/>
    <cellStyle name="Normal 8 12 3 2" xfId="25428"/>
    <cellStyle name="Normal 8 12 3 2 2" xfId="54289"/>
    <cellStyle name="Normal 8 12 3 3" xfId="37242"/>
    <cellStyle name="Normal 8 12 4" xfId="12788"/>
    <cellStyle name="Normal 8 12 4 2" xfId="19656"/>
    <cellStyle name="Normal 8 12 4 2 2" xfId="48517"/>
    <cellStyle name="Normal 8 12 4 3" xfId="41649"/>
    <cellStyle name="Normal 8 12 5" xfId="16976"/>
    <cellStyle name="Normal 8 12 5 2" xfId="45837"/>
    <cellStyle name="Normal 8 12 6" xfId="31201"/>
    <cellStyle name="Normal 8 13" xfId="2548"/>
    <cellStyle name="Normal 8 13 2" xfId="5434"/>
    <cellStyle name="Normal 8 13 2 2" xfId="11475"/>
    <cellStyle name="Normal 8 13 2 2 2" xfId="28522"/>
    <cellStyle name="Normal 8 13 2 2 2 2" xfId="57383"/>
    <cellStyle name="Normal 8 13 2 2 3" xfId="40336"/>
    <cellStyle name="Normal 8 13 2 3" xfId="22544"/>
    <cellStyle name="Normal 8 13 2 3 2" xfId="51405"/>
    <cellStyle name="Normal 8 13 2 4" xfId="34295"/>
    <cellStyle name="Normal 8 13 3" xfId="8589"/>
    <cellStyle name="Normal 8 13 3 2" xfId="25636"/>
    <cellStyle name="Normal 8 13 3 2 2" xfId="54497"/>
    <cellStyle name="Normal 8 13 3 3" xfId="37450"/>
    <cellStyle name="Normal 8 13 4" xfId="12351"/>
    <cellStyle name="Normal 8 13 4 2" xfId="19864"/>
    <cellStyle name="Normal 8 13 4 2 2" xfId="48725"/>
    <cellStyle name="Normal 8 13 4 3" xfId="41212"/>
    <cellStyle name="Normal 8 13 5" xfId="17184"/>
    <cellStyle name="Normal 8 13 5 2" xfId="46045"/>
    <cellStyle name="Normal 8 13 6" xfId="31409"/>
    <cellStyle name="Normal 8 14" xfId="2960"/>
    <cellStyle name="Normal 8 14 2" xfId="9001"/>
    <cellStyle name="Normal 8 14 2 2" xfId="26048"/>
    <cellStyle name="Normal 8 14 2 2 2" xfId="54909"/>
    <cellStyle name="Normal 8 14 2 3" xfId="37862"/>
    <cellStyle name="Normal 8 14 3" xfId="13194"/>
    <cellStyle name="Normal 8 14 3 2" xfId="20070"/>
    <cellStyle name="Normal 8 14 3 2 2" xfId="48931"/>
    <cellStyle name="Normal 8 14 3 3" xfId="42055"/>
    <cellStyle name="Normal 8 14 4" xfId="14710"/>
    <cellStyle name="Normal 8 14 4 2" xfId="43571"/>
    <cellStyle name="Normal 8 14 5" xfId="31821"/>
    <cellStyle name="Normal 8 15" xfId="2754"/>
    <cellStyle name="Normal 8 15 2" xfId="8795"/>
    <cellStyle name="Normal 8 15 2 2" xfId="25842"/>
    <cellStyle name="Normal 8 15 2 2 2" xfId="54703"/>
    <cellStyle name="Normal 8 15 2 3" xfId="37656"/>
    <cellStyle name="Normal 8 15 3" xfId="17390"/>
    <cellStyle name="Normal 8 15 3 2" xfId="46251"/>
    <cellStyle name="Normal 8 15 4" xfId="31615"/>
    <cellStyle name="Normal 8 16" xfId="5640"/>
    <cellStyle name="Normal 8 16 2" xfId="11681"/>
    <cellStyle name="Normal 8 16 2 2" xfId="28728"/>
    <cellStyle name="Normal 8 16 2 2 2" xfId="57589"/>
    <cellStyle name="Normal 8 16 2 3" xfId="40542"/>
    <cellStyle name="Normal 8 16 3" xfId="22750"/>
    <cellStyle name="Normal 8 16 3 2" xfId="51611"/>
    <cellStyle name="Normal 8 16 4" xfId="34501"/>
    <cellStyle name="Normal 8 17" xfId="5851"/>
    <cellStyle name="Normal 8 17 2" xfId="22956"/>
    <cellStyle name="Normal 8 17 2 2" xfId="51817"/>
    <cellStyle name="Normal 8 17 3" xfId="34712"/>
    <cellStyle name="Normal 8 18" xfId="6115"/>
    <cellStyle name="Normal 8 18 2" xfId="23162"/>
    <cellStyle name="Normal 8 18 2 2" xfId="52023"/>
    <cellStyle name="Normal 8 18 3" xfId="34976"/>
    <cellStyle name="Normal 8 19" xfId="14504"/>
    <cellStyle name="Normal 8 19 2" xfId="43365"/>
    <cellStyle name="Normal 8 2" xfId="279"/>
    <cellStyle name="Normal 8 2 10" xfId="2442"/>
    <cellStyle name="Normal 8 2 10 2" xfId="5329"/>
    <cellStyle name="Normal 8 2 10 2 2" xfId="11370"/>
    <cellStyle name="Normal 8 2 10 2 2 2" xfId="28417"/>
    <cellStyle name="Normal 8 2 10 2 2 2 2" xfId="57278"/>
    <cellStyle name="Normal 8 2 10 2 2 3" xfId="40231"/>
    <cellStyle name="Normal 8 2 10 2 3" xfId="22439"/>
    <cellStyle name="Normal 8 2 10 2 3 2" xfId="51300"/>
    <cellStyle name="Normal 8 2 10 2 4" xfId="34190"/>
    <cellStyle name="Normal 8 2 10 3" xfId="8484"/>
    <cellStyle name="Normal 8 2 10 3 2" xfId="25531"/>
    <cellStyle name="Normal 8 2 10 3 2 2" xfId="54392"/>
    <cellStyle name="Normal 8 2 10 3 3" xfId="37345"/>
    <cellStyle name="Normal 8 2 10 4" xfId="13139"/>
    <cellStyle name="Normal 8 2 10 4 2" xfId="19759"/>
    <cellStyle name="Normal 8 2 10 4 2 2" xfId="48620"/>
    <cellStyle name="Normal 8 2 10 4 3" xfId="42000"/>
    <cellStyle name="Normal 8 2 10 5" xfId="17079"/>
    <cellStyle name="Normal 8 2 10 5 2" xfId="45940"/>
    <cellStyle name="Normal 8 2 10 6" xfId="31304"/>
    <cellStyle name="Normal 8 2 11" xfId="2651"/>
    <cellStyle name="Normal 8 2 11 2" xfId="5537"/>
    <cellStyle name="Normal 8 2 11 2 2" xfId="11578"/>
    <cellStyle name="Normal 8 2 11 2 2 2" xfId="28625"/>
    <cellStyle name="Normal 8 2 11 2 2 2 2" xfId="57486"/>
    <cellStyle name="Normal 8 2 11 2 2 3" xfId="40439"/>
    <cellStyle name="Normal 8 2 11 2 3" xfId="22647"/>
    <cellStyle name="Normal 8 2 11 2 3 2" xfId="51508"/>
    <cellStyle name="Normal 8 2 11 2 4" xfId="34398"/>
    <cellStyle name="Normal 8 2 11 3" xfId="8692"/>
    <cellStyle name="Normal 8 2 11 3 2" xfId="25739"/>
    <cellStyle name="Normal 8 2 11 3 2 2" xfId="54600"/>
    <cellStyle name="Normal 8 2 11 3 3" xfId="37553"/>
    <cellStyle name="Normal 8 2 11 4" xfId="14123"/>
    <cellStyle name="Normal 8 2 11 4 2" xfId="19967"/>
    <cellStyle name="Normal 8 2 11 4 2 2" xfId="48828"/>
    <cellStyle name="Normal 8 2 11 4 3" xfId="42984"/>
    <cellStyle name="Normal 8 2 11 5" xfId="17287"/>
    <cellStyle name="Normal 8 2 11 5 2" xfId="46148"/>
    <cellStyle name="Normal 8 2 11 6" xfId="31512"/>
    <cellStyle name="Normal 8 2 12" xfId="3166"/>
    <cellStyle name="Normal 8 2 12 2" xfId="9207"/>
    <cellStyle name="Normal 8 2 12 2 2" xfId="26254"/>
    <cellStyle name="Normal 8 2 12 2 2 2" xfId="55115"/>
    <cellStyle name="Normal 8 2 12 2 3" xfId="38068"/>
    <cellStyle name="Normal 8 2 12 3" xfId="12498"/>
    <cellStyle name="Normal 8 2 12 3 2" xfId="20276"/>
    <cellStyle name="Normal 8 2 12 3 2 2" xfId="49137"/>
    <cellStyle name="Normal 8 2 12 3 3" xfId="41359"/>
    <cellStyle name="Normal 8 2 12 4" xfId="14916"/>
    <cellStyle name="Normal 8 2 12 4 2" xfId="43777"/>
    <cellStyle name="Normal 8 2 12 5" xfId="32027"/>
    <cellStyle name="Normal 8 2 13" xfId="2857"/>
    <cellStyle name="Normal 8 2 13 2" xfId="8898"/>
    <cellStyle name="Normal 8 2 13 2 2" xfId="25945"/>
    <cellStyle name="Normal 8 2 13 2 2 2" xfId="54806"/>
    <cellStyle name="Normal 8 2 13 2 3" xfId="37759"/>
    <cellStyle name="Normal 8 2 13 3" xfId="17493"/>
    <cellStyle name="Normal 8 2 13 3 2" xfId="46354"/>
    <cellStyle name="Normal 8 2 13 4" xfId="31718"/>
    <cellStyle name="Normal 8 2 14" xfId="5743"/>
    <cellStyle name="Normal 8 2 14 2" xfId="11784"/>
    <cellStyle name="Normal 8 2 14 2 2" xfId="28831"/>
    <cellStyle name="Normal 8 2 14 2 2 2" xfId="57692"/>
    <cellStyle name="Normal 8 2 14 2 3" xfId="40645"/>
    <cellStyle name="Normal 8 2 14 3" xfId="22853"/>
    <cellStyle name="Normal 8 2 14 3 2" xfId="51714"/>
    <cellStyle name="Normal 8 2 14 4" xfId="34604"/>
    <cellStyle name="Normal 8 2 15" xfId="5960"/>
    <cellStyle name="Normal 8 2 15 2" xfId="23059"/>
    <cellStyle name="Normal 8 2 15 2 2" xfId="51920"/>
    <cellStyle name="Normal 8 2 15 3" xfId="34821"/>
    <cellStyle name="Normal 8 2 16" xfId="6321"/>
    <cellStyle name="Normal 8 2 16 2" xfId="23368"/>
    <cellStyle name="Normal 8 2 16 2 2" xfId="52229"/>
    <cellStyle name="Normal 8 2 16 3" xfId="35182"/>
    <cellStyle name="Normal 8 2 17" xfId="14607"/>
    <cellStyle name="Normal 8 2 17 2" xfId="43468"/>
    <cellStyle name="Normal 8 2 18" xfId="29141"/>
    <cellStyle name="Normal 8 2 2" xfId="485"/>
    <cellStyle name="Normal 8 2 2 2" xfId="2236"/>
    <cellStyle name="Normal 8 2 2 2 2" xfId="5123"/>
    <cellStyle name="Normal 8 2 2 2 2 2" xfId="11164"/>
    <cellStyle name="Normal 8 2 2 2 2 2 2" xfId="28211"/>
    <cellStyle name="Normal 8 2 2 2 2 2 2 2" xfId="57072"/>
    <cellStyle name="Normal 8 2 2 2 2 2 3" xfId="40025"/>
    <cellStyle name="Normal 8 2 2 2 2 3" xfId="22233"/>
    <cellStyle name="Normal 8 2 2 2 2 3 2" xfId="51094"/>
    <cellStyle name="Normal 8 2 2 2 2 4" xfId="33984"/>
    <cellStyle name="Normal 8 2 2 2 3" xfId="8278"/>
    <cellStyle name="Normal 8 2 2 2 3 2" xfId="25325"/>
    <cellStyle name="Normal 8 2 2 2 3 2 2" xfId="54186"/>
    <cellStyle name="Normal 8 2 2 2 3 3" xfId="37139"/>
    <cellStyle name="Normal 8 2 2 2 4" xfId="12304"/>
    <cellStyle name="Normal 8 2 2 2 4 2" xfId="19553"/>
    <cellStyle name="Normal 8 2 2 2 4 2 2" xfId="48414"/>
    <cellStyle name="Normal 8 2 2 2 4 3" xfId="41165"/>
    <cellStyle name="Normal 8 2 2 2 5" xfId="16873"/>
    <cellStyle name="Normal 8 2 2 2 5 2" xfId="45734"/>
    <cellStyle name="Normal 8 2 2 2 6" xfId="31098"/>
    <cellStyle name="Normal 8 2 2 3" xfId="3372"/>
    <cellStyle name="Normal 8 2 2 3 2" xfId="9413"/>
    <cellStyle name="Normal 8 2 2 3 2 2" xfId="26460"/>
    <cellStyle name="Normal 8 2 2 3 2 2 2" xfId="55321"/>
    <cellStyle name="Normal 8 2 2 3 2 3" xfId="38274"/>
    <cellStyle name="Normal 8 2 2 3 3" xfId="20482"/>
    <cellStyle name="Normal 8 2 2 3 3 2" xfId="49343"/>
    <cellStyle name="Normal 8 2 2 3 4" xfId="32233"/>
    <cellStyle name="Normal 8 2 2 4" xfId="6527"/>
    <cellStyle name="Normal 8 2 2 4 2" xfId="23574"/>
    <cellStyle name="Normal 8 2 2 4 2 2" xfId="52435"/>
    <cellStyle name="Normal 8 2 2 4 3" xfId="35388"/>
    <cellStyle name="Normal 8 2 2 5" xfId="12196"/>
    <cellStyle name="Normal 8 2 2 5 2" xfId="17802"/>
    <cellStyle name="Normal 8 2 2 5 2 2" xfId="46663"/>
    <cellStyle name="Normal 8 2 2 5 3" xfId="41057"/>
    <cellStyle name="Normal 8 2 2 6" xfId="15122"/>
    <cellStyle name="Normal 8 2 2 6 2" xfId="43983"/>
    <cellStyle name="Normal 8 2 2 7" xfId="29347"/>
    <cellStyle name="Normal 8 2 3" xfId="794"/>
    <cellStyle name="Normal 8 2 3 2" xfId="3681"/>
    <cellStyle name="Normal 8 2 3 2 2" xfId="9722"/>
    <cellStyle name="Normal 8 2 3 2 2 2" xfId="26769"/>
    <cellStyle name="Normal 8 2 3 2 2 2 2" xfId="55630"/>
    <cellStyle name="Normal 8 2 3 2 2 3" xfId="38583"/>
    <cellStyle name="Normal 8 2 3 2 3" xfId="20791"/>
    <cellStyle name="Normal 8 2 3 2 3 2" xfId="49652"/>
    <cellStyle name="Normal 8 2 3 2 4" xfId="32542"/>
    <cellStyle name="Normal 8 2 3 3" xfId="6836"/>
    <cellStyle name="Normal 8 2 3 3 2" xfId="23883"/>
    <cellStyle name="Normal 8 2 3 3 2 2" xfId="52744"/>
    <cellStyle name="Normal 8 2 3 3 3" xfId="35697"/>
    <cellStyle name="Normal 8 2 3 4" xfId="13029"/>
    <cellStyle name="Normal 8 2 3 4 2" xfId="18111"/>
    <cellStyle name="Normal 8 2 3 4 2 2" xfId="46972"/>
    <cellStyle name="Normal 8 2 3 4 3" xfId="41890"/>
    <cellStyle name="Normal 8 2 3 5" xfId="15431"/>
    <cellStyle name="Normal 8 2 3 5 2" xfId="44292"/>
    <cellStyle name="Normal 8 2 3 6" xfId="29656"/>
    <cellStyle name="Normal 8 2 4" xfId="1000"/>
    <cellStyle name="Normal 8 2 4 2" xfId="3887"/>
    <cellStyle name="Normal 8 2 4 2 2" xfId="9928"/>
    <cellStyle name="Normal 8 2 4 2 2 2" xfId="26975"/>
    <cellStyle name="Normal 8 2 4 2 2 2 2" xfId="55836"/>
    <cellStyle name="Normal 8 2 4 2 2 3" xfId="38789"/>
    <cellStyle name="Normal 8 2 4 2 3" xfId="20997"/>
    <cellStyle name="Normal 8 2 4 2 3 2" xfId="49858"/>
    <cellStyle name="Normal 8 2 4 2 4" xfId="32748"/>
    <cellStyle name="Normal 8 2 4 3" xfId="7042"/>
    <cellStyle name="Normal 8 2 4 3 2" xfId="24089"/>
    <cellStyle name="Normal 8 2 4 3 2 2" xfId="52950"/>
    <cellStyle name="Normal 8 2 4 3 3" xfId="35903"/>
    <cellStyle name="Normal 8 2 4 4" xfId="13484"/>
    <cellStyle name="Normal 8 2 4 4 2" xfId="18317"/>
    <cellStyle name="Normal 8 2 4 4 2 2" xfId="47178"/>
    <cellStyle name="Normal 8 2 4 4 3" xfId="42345"/>
    <cellStyle name="Normal 8 2 4 5" xfId="15637"/>
    <cellStyle name="Normal 8 2 4 5 2" xfId="44498"/>
    <cellStyle name="Normal 8 2 4 6" xfId="29862"/>
    <cellStyle name="Normal 8 2 5" xfId="1206"/>
    <cellStyle name="Normal 8 2 5 2" xfId="4093"/>
    <cellStyle name="Normal 8 2 5 2 2" xfId="10134"/>
    <cellStyle name="Normal 8 2 5 2 2 2" xfId="27181"/>
    <cellStyle name="Normal 8 2 5 2 2 2 2" xfId="56042"/>
    <cellStyle name="Normal 8 2 5 2 2 3" xfId="38995"/>
    <cellStyle name="Normal 8 2 5 2 3" xfId="21203"/>
    <cellStyle name="Normal 8 2 5 2 3 2" xfId="50064"/>
    <cellStyle name="Normal 8 2 5 2 4" xfId="32954"/>
    <cellStyle name="Normal 8 2 5 3" xfId="7248"/>
    <cellStyle name="Normal 8 2 5 3 2" xfId="24295"/>
    <cellStyle name="Normal 8 2 5 3 2 2" xfId="53156"/>
    <cellStyle name="Normal 8 2 5 3 3" xfId="36109"/>
    <cellStyle name="Normal 8 2 5 4" xfId="14234"/>
    <cellStyle name="Normal 8 2 5 4 2" xfId="18523"/>
    <cellStyle name="Normal 8 2 5 4 2 2" xfId="47384"/>
    <cellStyle name="Normal 8 2 5 4 3" xfId="43095"/>
    <cellStyle name="Normal 8 2 5 5" xfId="15843"/>
    <cellStyle name="Normal 8 2 5 5 2" xfId="44704"/>
    <cellStyle name="Normal 8 2 5 6" xfId="30068"/>
    <cellStyle name="Normal 8 2 6" xfId="1412"/>
    <cellStyle name="Normal 8 2 6 2" xfId="4299"/>
    <cellStyle name="Normal 8 2 6 2 2" xfId="10340"/>
    <cellStyle name="Normal 8 2 6 2 2 2" xfId="27387"/>
    <cellStyle name="Normal 8 2 6 2 2 2 2" xfId="56248"/>
    <cellStyle name="Normal 8 2 6 2 2 3" xfId="39201"/>
    <cellStyle name="Normal 8 2 6 2 3" xfId="21409"/>
    <cellStyle name="Normal 8 2 6 2 3 2" xfId="50270"/>
    <cellStyle name="Normal 8 2 6 2 4" xfId="33160"/>
    <cellStyle name="Normal 8 2 6 3" xfId="7454"/>
    <cellStyle name="Normal 8 2 6 3 2" xfId="24501"/>
    <cellStyle name="Normal 8 2 6 3 2 2" xfId="53362"/>
    <cellStyle name="Normal 8 2 6 3 3" xfId="36315"/>
    <cellStyle name="Normal 8 2 6 4" xfId="12625"/>
    <cellStyle name="Normal 8 2 6 4 2" xfId="18729"/>
    <cellStyle name="Normal 8 2 6 4 2 2" xfId="47590"/>
    <cellStyle name="Normal 8 2 6 4 3" xfId="41486"/>
    <cellStyle name="Normal 8 2 6 5" xfId="16049"/>
    <cellStyle name="Normal 8 2 6 5 2" xfId="44910"/>
    <cellStyle name="Normal 8 2 6 6" xfId="30274"/>
    <cellStyle name="Normal 8 2 7" xfId="1618"/>
    <cellStyle name="Normal 8 2 7 2" xfId="4505"/>
    <cellStyle name="Normal 8 2 7 2 2" xfId="10546"/>
    <cellStyle name="Normal 8 2 7 2 2 2" xfId="27593"/>
    <cellStyle name="Normal 8 2 7 2 2 2 2" xfId="56454"/>
    <cellStyle name="Normal 8 2 7 2 2 3" xfId="39407"/>
    <cellStyle name="Normal 8 2 7 2 3" xfId="21615"/>
    <cellStyle name="Normal 8 2 7 2 3 2" xfId="50476"/>
    <cellStyle name="Normal 8 2 7 2 4" xfId="33366"/>
    <cellStyle name="Normal 8 2 7 3" xfId="7660"/>
    <cellStyle name="Normal 8 2 7 3 2" xfId="24707"/>
    <cellStyle name="Normal 8 2 7 3 2 2" xfId="53568"/>
    <cellStyle name="Normal 8 2 7 3 3" xfId="36521"/>
    <cellStyle name="Normal 8 2 7 4" xfId="13980"/>
    <cellStyle name="Normal 8 2 7 4 2" xfId="18935"/>
    <cellStyle name="Normal 8 2 7 4 2 2" xfId="47796"/>
    <cellStyle name="Normal 8 2 7 4 3" xfId="42841"/>
    <cellStyle name="Normal 8 2 7 5" xfId="16255"/>
    <cellStyle name="Normal 8 2 7 5 2" xfId="45116"/>
    <cellStyle name="Normal 8 2 7 6" xfId="30480"/>
    <cellStyle name="Normal 8 2 8" xfId="1824"/>
    <cellStyle name="Normal 8 2 8 2" xfId="4711"/>
    <cellStyle name="Normal 8 2 8 2 2" xfId="10752"/>
    <cellStyle name="Normal 8 2 8 2 2 2" xfId="27799"/>
    <cellStyle name="Normal 8 2 8 2 2 2 2" xfId="56660"/>
    <cellStyle name="Normal 8 2 8 2 2 3" xfId="39613"/>
    <cellStyle name="Normal 8 2 8 2 3" xfId="21821"/>
    <cellStyle name="Normal 8 2 8 2 3 2" xfId="50682"/>
    <cellStyle name="Normal 8 2 8 2 4" xfId="33572"/>
    <cellStyle name="Normal 8 2 8 3" xfId="7866"/>
    <cellStyle name="Normal 8 2 8 3 2" xfId="24913"/>
    <cellStyle name="Normal 8 2 8 3 2 2" xfId="53774"/>
    <cellStyle name="Normal 8 2 8 3 3" xfId="36727"/>
    <cellStyle name="Normal 8 2 8 4" xfId="12516"/>
    <cellStyle name="Normal 8 2 8 4 2" xfId="19141"/>
    <cellStyle name="Normal 8 2 8 4 2 2" xfId="48002"/>
    <cellStyle name="Normal 8 2 8 4 3" xfId="41377"/>
    <cellStyle name="Normal 8 2 8 5" xfId="16461"/>
    <cellStyle name="Normal 8 2 8 5 2" xfId="45322"/>
    <cellStyle name="Normal 8 2 8 6" xfId="30686"/>
    <cellStyle name="Normal 8 2 9" xfId="2030"/>
    <cellStyle name="Normal 8 2 9 2" xfId="4917"/>
    <cellStyle name="Normal 8 2 9 2 2" xfId="10958"/>
    <cellStyle name="Normal 8 2 9 2 2 2" xfId="28005"/>
    <cellStyle name="Normal 8 2 9 2 2 2 2" xfId="56866"/>
    <cellStyle name="Normal 8 2 9 2 2 3" xfId="39819"/>
    <cellStyle name="Normal 8 2 9 2 3" xfId="22027"/>
    <cellStyle name="Normal 8 2 9 2 3 2" xfId="50888"/>
    <cellStyle name="Normal 8 2 9 2 4" xfId="33778"/>
    <cellStyle name="Normal 8 2 9 3" xfId="8072"/>
    <cellStyle name="Normal 8 2 9 3 2" xfId="25119"/>
    <cellStyle name="Normal 8 2 9 3 2 2" xfId="53980"/>
    <cellStyle name="Normal 8 2 9 3 3" xfId="36933"/>
    <cellStyle name="Normal 8 2 9 4" xfId="14004"/>
    <cellStyle name="Normal 8 2 9 4 2" xfId="19347"/>
    <cellStyle name="Normal 8 2 9 4 2 2" xfId="48208"/>
    <cellStyle name="Normal 8 2 9 4 3" xfId="42865"/>
    <cellStyle name="Normal 8 2 9 5" xfId="16667"/>
    <cellStyle name="Normal 8 2 9 5 2" xfId="45528"/>
    <cellStyle name="Normal 8 2 9 6" xfId="30892"/>
    <cellStyle name="Normal 8 20" xfId="28935"/>
    <cellStyle name="Normal 8 3" xfId="176"/>
    <cellStyle name="Normal 8 3 2" xfId="588"/>
    <cellStyle name="Normal 8 3 2 2" xfId="3475"/>
    <cellStyle name="Normal 8 3 2 2 2" xfId="9516"/>
    <cellStyle name="Normal 8 3 2 2 2 2" xfId="26563"/>
    <cellStyle name="Normal 8 3 2 2 2 2 2" xfId="55424"/>
    <cellStyle name="Normal 8 3 2 2 2 3" xfId="38377"/>
    <cellStyle name="Normal 8 3 2 2 3" xfId="20585"/>
    <cellStyle name="Normal 8 3 2 2 3 2" xfId="49446"/>
    <cellStyle name="Normal 8 3 2 2 4" xfId="32336"/>
    <cellStyle name="Normal 8 3 2 3" xfId="6630"/>
    <cellStyle name="Normal 8 3 2 3 2" xfId="23677"/>
    <cellStyle name="Normal 8 3 2 3 2 2" xfId="52538"/>
    <cellStyle name="Normal 8 3 2 3 3" xfId="35491"/>
    <cellStyle name="Normal 8 3 2 4" xfId="13469"/>
    <cellStyle name="Normal 8 3 2 4 2" xfId="17905"/>
    <cellStyle name="Normal 8 3 2 4 2 2" xfId="46766"/>
    <cellStyle name="Normal 8 3 2 4 3" xfId="42330"/>
    <cellStyle name="Normal 8 3 2 5" xfId="15225"/>
    <cellStyle name="Normal 8 3 2 5 2" xfId="44086"/>
    <cellStyle name="Normal 8 3 2 6" xfId="29450"/>
    <cellStyle name="Normal 8 3 3" xfId="2133"/>
    <cellStyle name="Normal 8 3 3 2" xfId="5020"/>
    <cellStyle name="Normal 8 3 3 2 2" xfId="11061"/>
    <cellStyle name="Normal 8 3 3 2 2 2" xfId="28108"/>
    <cellStyle name="Normal 8 3 3 2 2 2 2" xfId="56969"/>
    <cellStyle name="Normal 8 3 3 2 2 3" xfId="39922"/>
    <cellStyle name="Normal 8 3 3 2 3" xfId="22130"/>
    <cellStyle name="Normal 8 3 3 2 3 2" xfId="50991"/>
    <cellStyle name="Normal 8 3 3 2 4" xfId="33881"/>
    <cellStyle name="Normal 8 3 3 3" xfId="8175"/>
    <cellStyle name="Normal 8 3 3 3 2" xfId="25222"/>
    <cellStyle name="Normal 8 3 3 3 2 2" xfId="54083"/>
    <cellStyle name="Normal 8 3 3 3 3" xfId="37036"/>
    <cellStyle name="Normal 8 3 3 4" xfId="12833"/>
    <cellStyle name="Normal 8 3 3 4 2" xfId="19450"/>
    <cellStyle name="Normal 8 3 3 4 2 2" xfId="48311"/>
    <cellStyle name="Normal 8 3 3 4 3" xfId="41694"/>
    <cellStyle name="Normal 8 3 3 5" xfId="16770"/>
    <cellStyle name="Normal 8 3 3 5 2" xfId="45631"/>
    <cellStyle name="Normal 8 3 3 6" xfId="30995"/>
    <cellStyle name="Normal 8 3 4" xfId="3063"/>
    <cellStyle name="Normal 8 3 4 2" xfId="9104"/>
    <cellStyle name="Normal 8 3 4 2 2" xfId="26151"/>
    <cellStyle name="Normal 8 3 4 2 2 2" xfId="55012"/>
    <cellStyle name="Normal 8 3 4 2 3" xfId="37965"/>
    <cellStyle name="Normal 8 3 4 3" xfId="20173"/>
    <cellStyle name="Normal 8 3 4 3 2" xfId="49034"/>
    <cellStyle name="Normal 8 3 4 4" xfId="31924"/>
    <cellStyle name="Normal 8 3 5" xfId="6218"/>
    <cellStyle name="Normal 8 3 5 2" xfId="23265"/>
    <cellStyle name="Normal 8 3 5 2 2" xfId="52126"/>
    <cellStyle name="Normal 8 3 5 3" xfId="35079"/>
    <cellStyle name="Normal 8 3 6" xfId="13829"/>
    <cellStyle name="Normal 8 3 6 2" xfId="17596"/>
    <cellStyle name="Normal 8 3 6 2 2" xfId="46457"/>
    <cellStyle name="Normal 8 3 6 3" xfId="42690"/>
    <cellStyle name="Normal 8 3 7" xfId="14813"/>
    <cellStyle name="Normal 8 3 7 2" xfId="43674"/>
    <cellStyle name="Normal 8 3 8" xfId="29038"/>
    <cellStyle name="Normal 8 4" xfId="382"/>
    <cellStyle name="Normal 8 4 2" xfId="3269"/>
    <cellStyle name="Normal 8 4 2 2" xfId="9310"/>
    <cellStyle name="Normal 8 4 2 2 2" xfId="26357"/>
    <cellStyle name="Normal 8 4 2 2 2 2" xfId="55218"/>
    <cellStyle name="Normal 8 4 2 2 3" xfId="38171"/>
    <cellStyle name="Normal 8 4 2 3" xfId="20379"/>
    <cellStyle name="Normal 8 4 2 3 2" xfId="49240"/>
    <cellStyle name="Normal 8 4 2 4" xfId="32130"/>
    <cellStyle name="Normal 8 4 3" xfId="6424"/>
    <cellStyle name="Normal 8 4 3 2" xfId="23471"/>
    <cellStyle name="Normal 8 4 3 2 2" xfId="52332"/>
    <cellStyle name="Normal 8 4 3 3" xfId="35285"/>
    <cellStyle name="Normal 8 4 4" xfId="12512"/>
    <cellStyle name="Normal 8 4 4 2" xfId="17699"/>
    <cellStyle name="Normal 8 4 4 2 2" xfId="46560"/>
    <cellStyle name="Normal 8 4 4 3" xfId="41373"/>
    <cellStyle name="Normal 8 4 5" xfId="15019"/>
    <cellStyle name="Normal 8 4 5 2" xfId="43880"/>
    <cellStyle name="Normal 8 4 6" xfId="29244"/>
    <cellStyle name="Normal 8 5" xfId="691"/>
    <cellStyle name="Normal 8 5 2" xfId="3578"/>
    <cellStyle name="Normal 8 5 2 2" xfId="9619"/>
    <cellStyle name="Normal 8 5 2 2 2" xfId="26666"/>
    <cellStyle name="Normal 8 5 2 2 2 2" xfId="55527"/>
    <cellStyle name="Normal 8 5 2 2 3" xfId="38480"/>
    <cellStyle name="Normal 8 5 2 3" xfId="20688"/>
    <cellStyle name="Normal 8 5 2 3 2" xfId="49549"/>
    <cellStyle name="Normal 8 5 2 4" xfId="32439"/>
    <cellStyle name="Normal 8 5 3" xfId="6733"/>
    <cellStyle name="Normal 8 5 3 2" xfId="23780"/>
    <cellStyle name="Normal 8 5 3 2 2" xfId="52641"/>
    <cellStyle name="Normal 8 5 3 3" xfId="35594"/>
    <cellStyle name="Normal 8 5 4" xfId="13624"/>
    <cellStyle name="Normal 8 5 4 2" xfId="18008"/>
    <cellStyle name="Normal 8 5 4 2 2" xfId="46869"/>
    <cellStyle name="Normal 8 5 4 3" xfId="42485"/>
    <cellStyle name="Normal 8 5 5" xfId="15328"/>
    <cellStyle name="Normal 8 5 5 2" xfId="44189"/>
    <cellStyle name="Normal 8 5 6" xfId="29553"/>
    <cellStyle name="Normal 8 6" xfId="897"/>
    <cellStyle name="Normal 8 6 2" xfId="3784"/>
    <cellStyle name="Normal 8 6 2 2" xfId="9825"/>
    <cellStyle name="Normal 8 6 2 2 2" xfId="26872"/>
    <cellStyle name="Normal 8 6 2 2 2 2" xfId="55733"/>
    <cellStyle name="Normal 8 6 2 2 3" xfId="38686"/>
    <cellStyle name="Normal 8 6 2 3" xfId="20894"/>
    <cellStyle name="Normal 8 6 2 3 2" xfId="49755"/>
    <cellStyle name="Normal 8 6 2 4" xfId="32645"/>
    <cellStyle name="Normal 8 6 3" xfId="6939"/>
    <cellStyle name="Normal 8 6 3 2" xfId="23986"/>
    <cellStyle name="Normal 8 6 3 2 2" xfId="52847"/>
    <cellStyle name="Normal 8 6 3 3" xfId="35800"/>
    <cellStyle name="Normal 8 6 4" xfId="13269"/>
    <cellStyle name="Normal 8 6 4 2" xfId="18214"/>
    <cellStyle name="Normal 8 6 4 2 2" xfId="47075"/>
    <cellStyle name="Normal 8 6 4 3" xfId="42130"/>
    <cellStyle name="Normal 8 6 5" xfId="15534"/>
    <cellStyle name="Normal 8 6 5 2" xfId="44395"/>
    <cellStyle name="Normal 8 6 6" xfId="29759"/>
    <cellStyle name="Normal 8 7" xfId="1103"/>
    <cellStyle name="Normal 8 7 2" xfId="3990"/>
    <cellStyle name="Normal 8 7 2 2" xfId="10031"/>
    <cellStyle name="Normal 8 7 2 2 2" xfId="27078"/>
    <cellStyle name="Normal 8 7 2 2 2 2" xfId="55939"/>
    <cellStyle name="Normal 8 7 2 2 3" xfId="38892"/>
    <cellStyle name="Normal 8 7 2 3" xfId="21100"/>
    <cellStyle name="Normal 8 7 2 3 2" xfId="49961"/>
    <cellStyle name="Normal 8 7 2 4" xfId="32851"/>
    <cellStyle name="Normal 8 7 3" xfId="7145"/>
    <cellStyle name="Normal 8 7 3 2" xfId="24192"/>
    <cellStyle name="Normal 8 7 3 2 2" xfId="53053"/>
    <cellStyle name="Normal 8 7 3 3" xfId="36006"/>
    <cellStyle name="Normal 8 7 4" xfId="14072"/>
    <cellStyle name="Normal 8 7 4 2" xfId="18420"/>
    <cellStyle name="Normal 8 7 4 2 2" xfId="47281"/>
    <cellStyle name="Normal 8 7 4 3" xfId="42933"/>
    <cellStyle name="Normal 8 7 5" xfId="15740"/>
    <cellStyle name="Normal 8 7 5 2" xfId="44601"/>
    <cellStyle name="Normal 8 7 6" xfId="29965"/>
    <cellStyle name="Normal 8 8" xfId="1309"/>
    <cellStyle name="Normal 8 8 2" xfId="4196"/>
    <cellStyle name="Normal 8 8 2 2" xfId="10237"/>
    <cellStyle name="Normal 8 8 2 2 2" xfId="27284"/>
    <cellStyle name="Normal 8 8 2 2 2 2" xfId="56145"/>
    <cellStyle name="Normal 8 8 2 2 3" xfId="39098"/>
    <cellStyle name="Normal 8 8 2 3" xfId="21306"/>
    <cellStyle name="Normal 8 8 2 3 2" xfId="50167"/>
    <cellStyle name="Normal 8 8 2 4" xfId="33057"/>
    <cellStyle name="Normal 8 8 3" xfId="7351"/>
    <cellStyle name="Normal 8 8 3 2" xfId="24398"/>
    <cellStyle name="Normal 8 8 3 2 2" xfId="53259"/>
    <cellStyle name="Normal 8 8 3 3" xfId="36212"/>
    <cellStyle name="Normal 8 8 4" xfId="13506"/>
    <cellStyle name="Normal 8 8 4 2" xfId="18626"/>
    <cellStyle name="Normal 8 8 4 2 2" xfId="47487"/>
    <cellStyle name="Normal 8 8 4 3" xfId="42367"/>
    <cellStyle name="Normal 8 8 5" xfId="15946"/>
    <cellStyle name="Normal 8 8 5 2" xfId="44807"/>
    <cellStyle name="Normal 8 8 6" xfId="30171"/>
    <cellStyle name="Normal 8 9" xfId="1515"/>
    <cellStyle name="Normal 8 9 2" xfId="4402"/>
    <cellStyle name="Normal 8 9 2 2" xfId="10443"/>
    <cellStyle name="Normal 8 9 2 2 2" xfId="27490"/>
    <cellStyle name="Normal 8 9 2 2 2 2" xfId="56351"/>
    <cellStyle name="Normal 8 9 2 2 3" xfId="39304"/>
    <cellStyle name="Normal 8 9 2 3" xfId="21512"/>
    <cellStyle name="Normal 8 9 2 3 2" xfId="50373"/>
    <cellStyle name="Normal 8 9 2 4" xfId="33263"/>
    <cellStyle name="Normal 8 9 3" xfId="7557"/>
    <cellStyle name="Normal 8 9 3 2" xfId="24604"/>
    <cellStyle name="Normal 8 9 3 2 2" xfId="53465"/>
    <cellStyle name="Normal 8 9 3 3" xfId="36418"/>
    <cellStyle name="Normal 8 9 4" xfId="13221"/>
    <cellStyle name="Normal 8 9 4 2" xfId="18832"/>
    <cellStyle name="Normal 8 9 4 2 2" xfId="47693"/>
    <cellStyle name="Normal 8 9 4 3" xfId="42082"/>
    <cellStyle name="Normal 8 9 5" xfId="16152"/>
    <cellStyle name="Normal 8 9 5 2" xfId="45013"/>
    <cellStyle name="Normal 8 9 6" xfId="30377"/>
    <cellStyle name="Normal 9" xfId="44"/>
    <cellStyle name="Normal 9 10" xfId="1722"/>
    <cellStyle name="Normal 9 10 2" xfId="4609"/>
    <cellStyle name="Normal 9 10 2 2" xfId="10650"/>
    <cellStyle name="Normal 9 10 2 2 2" xfId="27697"/>
    <cellStyle name="Normal 9 10 2 2 2 2" xfId="56558"/>
    <cellStyle name="Normal 9 10 2 2 3" xfId="39511"/>
    <cellStyle name="Normal 9 10 2 3" xfId="21719"/>
    <cellStyle name="Normal 9 10 2 3 2" xfId="50580"/>
    <cellStyle name="Normal 9 10 2 4" xfId="33470"/>
    <cellStyle name="Normal 9 10 3" xfId="7764"/>
    <cellStyle name="Normal 9 10 3 2" xfId="24811"/>
    <cellStyle name="Normal 9 10 3 2 2" xfId="53672"/>
    <cellStyle name="Normal 9 10 3 3" xfId="36625"/>
    <cellStyle name="Normal 9 10 4" xfId="12705"/>
    <cellStyle name="Normal 9 10 4 2" xfId="19039"/>
    <cellStyle name="Normal 9 10 4 2 2" xfId="47900"/>
    <cellStyle name="Normal 9 10 4 3" xfId="41566"/>
    <cellStyle name="Normal 9 10 5" xfId="16359"/>
    <cellStyle name="Normal 9 10 5 2" xfId="45220"/>
    <cellStyle name="Normal 9 10 6" xfId="30584"/>
    <cellStyle name="Normal 9 11" xfId="1928"/>
    <cellStyle name="Normal 9 11 2" xfId="4815"/>
    <cellStyle name="Normal 9 11 2 2" xfId="10856"/>
    <cellStyle name="Normal 9 11 2 2 2" xfId="27903"/>
    <cellStyle name="Normal 9 11 2 2 2 2" xfId="56764"/>
    <cellStyle name="Normal 9 11 2 2 3" xfId="39717"/>
    <cellStyle name="Normal 9 11 2 3" xfId="21925"/>
    <cellStyle name="Normal 9 11 2 3 2" xfId="50786"/>
    <cellStyle name="Normal 9 11 2 4" xfId="33676"/>
    <cellStyle name="Normal 9 11 3" xfId="7970"/>
    <cellStyle name="Normal 9 11 3 2" xfId="25017"/>
    <cellStyle name="Normal 9 11 3 2 2" xfId="53878"/>
    <cellStyle name="Normal 9 11 3 3" xfId="36831"/>
    <cellStyle name="Normal 9 11 4" xfId="14364"/>
    <cellStyle name="Normal 9 11 4 2" xfId="19245"/>
    <cellStyle name="Normal 9 11 4 2 2" xfId="48106"/>
    <cellStyle name="Normal 9 11 4 3" xfId="43225"/>
    <cellStyle name="Normal 9 11 5" xfId="16565"/>
    <cellStyle name="Normal 9 11 5 2" xfId="45426"/>
    <cellStyle name="Normal 9 11 6" xfId="30790"/>
    <cellStyle name="Normal 9 12" xfId="2340"/>
    <cellStyle name="Normal 9 12 2" xfId="5227"/>
    <cellStyle name="Normal 9 12 2 2" xfId="11268"/>
    <cellStyle name="Normal 9 12 2 2 2" xfId="28315"/>
    <cellStyle name="Normal 9 12 2 2 2 2" xfId="57176"/>
    <cellStyle name="Normal 9 12 2 2 3" xfId="40129"/>
    <cellStyle name="Normal 9 12 2 3" xfId="22337"/>
    <cellStyle name="Normal 9 12 2 3 2" xfId="51198"/>
    <cellStyle name="Normal 9 12 2 4" xfId="34088"/>
    <cellStyle name="Normal 9 12 3" xfId="8382"/>
    <cellStyle name="Normal 9 12 3 2" xfId="25429"/>
    <cellStyle name="Normal 9 12 3 2 2" xfId="54290"/>
    <cellStyle name="Normal 9 12 3 3" xfId="37243"/>
    <cellStyle name="Normal 9 12 4" xfId="13218"/>
    <cellStyle name="Normal 9 12 4 2" xfId="19657"/>
    <cellStyle name="Normal 9 12 4 2 2" xfId="48518"/>
    <cellStyle name="Normal 9 12 4 3" xfId="42079"/>
    <cellStyle name="Normal 9 12 5" xfId="16977"/>
    <cellStyle name="Normal 9 12 5 2" xfId="45838"/>
    <cellStyle name="Normal 9 12 6" xfId="31202"/>
    <cellStyle name="Normal 9 13" xfId="2549"/>
    <cellStyle name="Normal 9 13 2" xfId="5435"/>
    <cellStyle name="Normal 9 13 2 2" xfId="11476"/>
    <cellStyle name="Normal 9 13 2 2 2" xfId="28523"/>
    <cellStyle name="Normal 9 13 2 2 2 2" xfId="57384"/>
    <cellStyle name="Normal 9 13 2 2 3" xfId="40337"/>
    <cellStyle name="Normal 9 13 2 3" xfId="22545"/>
    <cellStyle name="Normal 9 13 2 3 2" xfId="51406"/>
    <cellStyle name="Normal 9 13 2 4" xfId="34296"/>
    <cellStyle name="Normal 9 13 3" xfId="8590"/>
    <cellStyle name="Normal 9 13 3 2" xfId="25637"/>
    <cellStyle name="Normal 9 13 3 2 2" xfId="54498"/>
    <cellStyle name="Normal 9 13 3 3" xfId="37451"/>
    <cellStyle name="Normal 9 13 4" xfId="12439"/>
    <cellStyle name="Normal 9 13 4 2" xfId="19865"/>
    <cellStyle name="Normal 9 13 4 2 2" xfId="48726"/>
    <cellStyle name="Normal 9 13 4 3" xfId="41300"/>
    <cellStyle name="Normal 9 13 5" xfId="17185"/>
    <cellStyle name="Normal 9 13 5 2" xfId="46046"/>
    <cellStyle name="Normal 9 13 6" xfId="31410"/>
    <cellStyle name="Normal 9 14" xfId="2961"/>
    <cellStyle name="Normal 9 14 2" xfId="9002"/>
    <cellStyle name="Normal 9 14 2 2" xfId="26049"/>
    <cellStyle name="Normal 9 14 2 2 2" xfId="54910"/>
    <cellStyle name="Normal 9 14 2 3" xfId="37863"/>
    <cellStyle name="Normal 9 14 3" xfId="13991"/>
    <cellStyle name="Normal 9 14 3 2" xfId="20071"/>
    <cellStyle name="Normal 9 14 3 2 2" xfId="48932"/>
    <cellStyle name="Normal 9 14 3 3" xfId="42852"/>
    <cellStyle name="Normal 9 14 4" xfId="14711"/>
    <cellStyle name="Normal 9 14 4 2" xfId="43572"/>
    <cellStyle name="Normal 9 14 5" xfId="31822"/>
    <cellStyle name="Normal 9 15" xfId="2755"/>
    <cellStyle name="Normal 9 15 2" xfId="8796"/>
    <cellStyle name="Normal 9 15 2 2" xfId="25843"/>
    <cellStyle name="Normal 9 15 2 2 2" xfId="54704"/>
    <cellStyle name="Normal 9 15 2 3" xfId="37657"/>
    <cellStyle name="Normal 9 15 3" xfId="17391"/>
    <cellStyle name="Normal 9 15 3 2" xfId="46252"/>
    <cellStyle name="Normal 9 15 4" xfId="31616"/>
    <cellStyle name="Normal 9 16" xfId="5641"/>
    <cellStyle name="Normal 9 16 2" xfId="11682"/>
    <cellStyle name="Normal 9 16 2 2" xfId="28729"/>
    <cellStyle name="Normal 9 16 2 2 2" xfId="57590"/>
    <cellStyle name="Normal 9 16 2 3" xfId="40543"/>
    <cellStyle name="Normal 9 16 3" xfId="22751"/>
    <cellStyle name="Normal 9 16 3 2" xfId="51612"/>
    <cellStyle name="Normal 9 16 4" xfId="34502"/>
    <cellStyle name="Normal 9 17" xfId="5852"/>
    <cellStyle name="Normal 9 17 2" xfId="22957"/>
    <cellStyle name="Normal 9 17 2 2" xfId="51818"/>
    <cellStyle name="Normal 9 17 3" xfId="34713"/>
    <cellStyle name="Normal 9 18" xfId="6116"/>
    <cellStyle name="Normal 9 18 2" xfId="23163"/>
    <cellStyle name="Normal 9 18 2 2" xfId="52024"/>
    <cellStyle name="Normal 9 18 3" xfId="34977"/>
    <cellStyle name="Normal 9 19" xfId="14505"/>
    <cellStyle name="Normal 9 19 2" xfId="43366"/>
    <cellStyle name="Normal 9 2" xfId="280"/>
    <cellStyle name="Normal 9 2 10" xfId="2443"/>
    <cellStyle name="Normal 9 2 10 2" xfId="5330"/>
    <cellStyle name="Normal 9 2 10 2 2" xfId="11371"/>
    <cellStyle name="Normal 9 2 10 2 2 2" xfId="28418"/>
    <cellStyle name="Normal 9 2 10 2 2 2 2" xfId="57279"/>
    <cellStyle name="Normal 9 2 10 2 2 3" xfId="40232"/>
    <cellStyle name="Normal 9 2 10 2 3" xfId="22440"/>
    <cellStyle name="Normal 9 2 10 2 3 2" xfId="51301"/>
    <cellStyle name="Normal 9 2 10 2 4" xfId="34191"/>
    <cellStyle name="Normal 9 2 10 3" xfId="8485"/>
    <cellStyle name="Normal 9 2 10 3 2" xfId="25532"/>
    <cellStyle name="Normal 9 2 10 3 2 2" xfId="54393"/>
    <cellStyle name="Normal 9 2 10 3 3" xfId="37346"/>
    <cellStyle name="Normal 9 2 10 4" xfId="13902"/>
    <cellStyle name="Normal 9 2 10 4 2" xfId="19760"/>
    <cellStyle name="Normal 9 2 10 4 2 2" xfId="48621"/>
    <cellStyle name="Normal 9 2 10 4 3" xfId="42763"/>
    <cellStyle name="Normal 9 2 10 5" xfId="17080"/>
    <cellStyle name="Normal 9 2 10 5 2" xfId="45941"/>
    <cellStyle name="Normal 9 2 10 6" xfId="31305"/>
    <cellStyle name="Normal 9 2 11" xfId="2652"/>
    <cellStyle name="Normal 9 2 11 2" xfId="5538"/>
    <cellStyle name="Normal 9 2 11 2 2" xfId="11579"/>
    <cellStyle name="Normal 9 2 11 2 2 2" xfId="28626"/>
    <cellStyle name="Normal 9 2 11 2 2 2 2" xfId="57487"/>
    <cellStyle name="Normal 9 2 11 2 2 3" xfId="40440"/>
    <cellStyle name="Normal 9 2 11 2 3" xfId="22648"/>
    <cellStyle name="Normal 9 2 11 2 3 2" xfId="51509"/>
    <cellStyle name="Normal 9 2 11 2 4" xfId="34399"/>
    <cellStyle name="Normal 9 2 11 3" xfId="8693"/>
    <cellStyle name="Normal 9 2 11 3 2" xfId="25740"/>
    <cellStyle name="Normal 9 2 11 3 2 2" xfId="54601"/>
    <cellStyle name="Normal 9 2 11 3 3" xfId="37554"/>
    <cellStyle name="Normal 9 2 11 4" xfId="13633"/>
    <cellStyle name="Normal 9 2 11 4 2" xfId="19968"/>
    <cellStyle name="Normal 9 2 11 4 2 2" xfId="48829"/>
    <cellStyle name="Normal 9 2 11 4 3" xfId="42494"/>
    <cellStyle name="Normal 9 2 11 5" xfId="17288"/>
    <cellStyle name="Normal 9 2 11 5 2" xfId="46149"/>
    <cellStyle name="Normal 9 2 11 6" xfId="31513"/>
    <cellStyle name="Normal 9 2 12" xfId="3167"/>
    <cellStyle name="Normal 9 2 12 2" xfId="9208"/>
    <cellStyle name="Normal 9 2 12 2 2" xfId="26255"/>
    <cellStyle name="Normal 9 2 12 2 2 2" xfId="55116"/>
    <cellStyle name="Normal 9 2 12 2 3" xfId="38069"/>
    <cellStyle name="Normal 9 2 12 3" xfId="13947"/>
    <cellStyle name="Normal 9 2 12 3 2" xfId="20277"/>
    <cellStyle name="Normal 9 2 12 3 2 2" xfId="49138"/>
    <cellStyle name="Normal 9 2 12 3 3" xfId="42808"/>
    <cellStyle name="Normal 9 2 12 4" xfId="14917"/>
    <cellStyle name="Normal 9 2 12 4 2" xfId="43778"/>
    <cellStyle name="Normal 9 2 12 5" xfId="32028"/>
    <cellStyle name="Normal 9 2 13" xfId="2858"/>
    <cellStyle name="Normal 9 2 13 2" xfId="8899"/>
    <cellStyle name="Normal 9 2 13 2 2" xfId="25946"/>
    <cellStyle name="Normal 9 2 13 2 2 2" xfId="54807"/>
    <cellStyle name="Normal 9 2 13 2 3" xfId="37760"/>
    <cellStyle name="Normal 9 2 13 3" xfId="17494"/>
    <cellStyle name="Normal 9 2 13 3 2" xfId="46355"/>
    <cellStyle name="Normal 9 2 13 4" xfId="31719"/>
    <cellStyle name="Normal 9 2 14" xfId="5744"/>
    <cellStyle name="Normal 9 2 14 2" xfId="11785"/>
    <cellStyle name="Normal 9 2 14 2 2" xfId="28832"/>
    <cellStyle name="Normal 9 2 14 2 2 2" xfId="57693"/>
    <cellStyle name="Normal 9 2 14 2 3" xfId="40646"/>
    <cellStyle name="Normal 9 2 14 3" xfId="22854"/>
    <cellStyle name="Normal 9 2 14 3 2" xfId="51715"/>
    <cellStyle name="Normal 9 2 14 4" xfId="34605"/>
    <cellStyle name="Normal 9 2 15" xfId="5961"/>
    <cellStyle name="Normal 9 2 15 2" xfId="23060"/>
    <cellStyle name="Normal 9 2 15 2 2" xfId="51921"/>
    <cellStyle name="Normal 9 2 15 3" xfId="34822"/>
    <cellStyle name="Normal 9 2 16" xfId="6322"/>
    <cellStyle name="Normal 9 2 16 2" xfId="23369"/>
    <cellStyle name="Normal 9 2 16 2 2" xfId="52230"/>
    <cellStyle name="Normal 9 2 16 3" xfId="35183"/>
    <cellStyle name="Normal 9 2 17" xfId="14608"/>
    <cellStyle name="Normal 9 2 17 2" xfId="43469"/>
    <cellStyle name="Normal 9 2 18" xfId="29142"/>
    <cellStyle name="Normal 9 2 2" xfId="486"/>
    <cellStyle name="Normal 9 2 2 2" xfId="2237"/>
    <cellStyle name="Normal 9 2 2 2 2" xfId="5124"/>
    <cellStyle name="Normal 9 2 2 2 2 2" xfId="11165"/>
    <cellStyle name="Normal 9 2 2 2 2 2 2" xfId="28212"/>
    <cellStyle name="Normal 9 2 2 2 2 2 2 2" xfId="57073"/>
    <cellStyle name="Normal 9 2 2 2 2 2 3" xfId="40026"/>
    <cellStyle name="Normal 9 2 2 2 2 3" xfId="22234"/>
    <cellStyle name="Normal 9 2 2 2 2 3 2" xfId="51095"/>
    <cellStyle name="Normal 9 2 2 2 2 4" xfId="33985"/>
    <cellStyle name="Normal 9 2 2 2 3" xfId="8279"/>
    <cellStyle name="Normal 9 2 2 2 3 2" xfId="25326"/>
    <cellStyle name="Normal 9 2 2 2 3 2 2" xfId="54187"/>
    <cellStyle name="Normal 9 2 2 2 3 3" xfId="37140"/>
    <cellStyle name="Normal 9 2 2 2 4" xfId="14284"/>
    <cellStyle name="Normal 9 2 2 2 4 2" xfId="19554"/>
    <cellStyle name="Normal 9 2 2 2 4 2 2" xfId="48415"/>
    <cellStyle name="Normal 9 2 2 2 4 3" xfId="43145"/>
    <cellStyle name="Normal 9 2 2 2 5" xfId="16874"/>
    <cellStyle name="Normal 9 2 2 2 5 2" xfId="45735"/>
    <cellStyle name="Normal 9 2 2 2 6" xfId="31099"/>
    <cellStyle name="Normal 9 2 2 3" xfId="3373"/>
    <cellStyle name="Normal 9 2 2 3 2" xfId="9414"/>
    <cellStyle name="Normal 9 2 2 3 2 2" xfId="26461"/>
    <cellStyle name="Normal 9 2 2 3 2 2 2" xfId="55322"/>
    <cellStyle name="Normal 9 2 2 3 2 3" xfId="38275"/>
    <cellStyle name="Normal 9 2 2 3 3" xfId="20483"/>
    <cellStyle name="Normal 9 2 2 3 3 2" xfId="49344"/>
    <cellStyle name="Normal 9 2 2 3 4" xfId="32234"/>
    <cellStyle name="Normal 9 2 2 4" xfId="6528"/>
    <cellStyle name="Normal 9 2 2 4 2" xfId="23575"/>
    <cellStyle name="Normal 9 2 2 4 2 2" xfId="52436"/>
    <cellStyle name="Normal 9 2 2 4 3" xfId="35389"/>
    <cellStyle name="Normal 9 2 2 5" xfId="14148"/>
    <cellStyle name="Normal 9 2 2 5 2" xfId="17803"/>
    <cellStyle name="Normal 9 2 2 5 2 2" xfId="46664"/>
    <cellStyle name="Normal 9 2 2 5 3" xfId="43009"/>
    <cellStyle name="Normal 9 2 2 6" xfId="15123"/>
    <cellStyle name="Normal 9 2 2 6 2" xfId="43984"/>
    <cellStyle name="Normal 9 2 2 7" xfId="29348"/>
    <cellStyle name="Normal 9 2 3" xfId="795"/>
    <cellStyle name="Normal 9 2 3 2" xfId="3682"/>
    <cellStyle name="Normal 9 2 3 2 2" xfId="9723"/>
    <cellStyle name="Normal 9 2 3 2 2 2" xfId="26770"/>
    <cellStyle name="Normal 9 2 3 2 2 2 2" xfId="55631"/>
    <cellStyle name="Normal 9 2 3 2 2 3" xfId="38584"/>
    <cellStyle name="Normal 9 2 3 2 3" xfId="20792"/>
    <cellStyle name="Normal 9 2 3 2 3 2" xfId="49653"/>
    <cellStyle name="Normal 9 2 3 2 4" xfId="32543"/>
    <cellStyle name="Normal 9 2 3 3" xfId="6837"/>
    <cellStyle name="Normal 9 2 3 3 2" xfId="23884"/>
    <cellStyle name="Normal 9 2 3 3 2 2" xfId="52745"/>
    <cellStyle name="Normal 9 2 3 3 3" xfId="35698"/>
    <cellStyle name="Normal 9 2 3 4" xfId="5856"/>
    <cellStyle name="Normal 9 2 3 4 2" xfId="18112"/>
    <cellStyle name="Normal 9 2 3 4 2 2" xfId="46973"/>
    <cellStyle name="Normal 9 2 3 4 3" xfId="34717"/>
    <cellStyle name="Normal 9 2 3 5" xfId="15432"/>
    <cellStyle name="Normal 9 2 3 5 2" xfId="44293"/>
    <cellStyle name="Normal 9 2 3 6" xfId="29657"/>
    <cellStyle name="Normal 9 2 4" xfId="1001"/>
    <cellStyle name="Normal 9 2 4 2" xfId="3888"/>
    <cellStyle name="Normal 9 2 4 2 2" xfId="9929"/>
    <cellStyle name="Normal 9 2 4 2 2 2" xfId="26976"/>
    <cellStyle name="Normal 9 2 4 2 2 2 2" xfId="55837"/>
    <cellStyle name="Normal 9 2 4 2 2 3" xfId="38790"/>
    <cellStyle name="Normal 9 2 4 2 3" xfId="20998"/>
    <cellStyle name="Normal 9 2 4 2 3 2" xfId="49859"/>
    <cellStyle name="Normal 9 2 4 2 4" xfId="32749"/>
    <cellStyle name="Normal 9 2 4 3" xfId="7043"/>
    <cellStyle name="Normal 9 2 4 3 2" xfId="24090"/>
    <cellStyle name="Normal 9 2 4 3 2 2" xfId="52951"/>
    <cellStyle name="Normal 9 2 4 3 3" xfId="35904"/>
    <cellStyle name="Normal 9 2 4 4" xfId="13752"/>
    <cellStyle name="Normal 9 2 4 4 2" xfId="18318"/>
    <cellStyle name="Normal 9 2 4 4 2 2" xfId="47179"/>
    <cellStyle name="Normal 9 2 4 4 3" xfId="42613"/>
    <cellStyle name="Normal 9 2 4 5" xfId="15638"/>
    <cellStyle name="Normal 9 2 4 5 2" xfId="44499"/>
    <cellStyle name="Normal 9 2 4 6" xfId="29863"/>
    <cellStyle name="Normal 9 2 5" xfId="1207"/>
    <cellStyle name="Normal 9 2 5 2" xfId="4094"/>
    <cellStyle name="Normal 9 2 5 2 2" xfId="10135"/>
    <cellStyle name="Normal 9 2 5 2 2 2" xfId="27182"/>
    <cellStyle name="Normal 9 2 5 2 2 2 2" xfId="56043"/>
    <cellStyle name="Normal 9 2 5 2 2 3" xfId="38996"/>
    <cellStyle name="Normal 9 2 5 2 3" xfId="21204"/>
    <cellStyle name="Normal 9 2 5 2 3 2" xfId="50065"/>
    <cellStyle name="Normal 9 2 5 2 4" xfId="32955"/>
    <cellStyle name="Normal 9 2 5 3" xfId="7249"/>
    <cellStyle name="Normal 9 2 5 3 2" xfId="24296"/>
    <cellStyle name="Normal 9 2 5 3 2 2" xfId="53157"/>
    <cellStyle name="Normal 9 2 5 3 3" xfId="36110"/>
    <cellStyle name="Normal 9 2 5 4" xfId="14360"/>
    <cellStyle name="Normal 9 2 5 4 2" xfId="18524"/>
    <cellStyle name="Normal 9 2 5 4 2 2" xfId="47385"/>
    <cellStyle name="Normal 9 2 5 4 3" xfId="43221"/>
    <cellStyle name="Normal 9 2 5 5" xfId="15844"/>
    <cellStyle name="Normal 9 2 5 5 2" xfId="44705"/>
    <cellStyle name="Normal 9 2 5 6" xfId="30069"/>
    <cellStyle name="Normal 9 2 6" xfId="1413"/>
    <cellStyle name="Normal 9 2 6 2" xfId="4300"/>
    <cellStyle name="Normal 9 2 6 2 2" xfId="10341"/>
    <cellStyle name="Normal 9 2 6 2 2 2" xfId="27388"/>
    <cellStyle name="Normal 9 2 6 2 2 2 2" xfId="56249"/>
    <cellStyle name="Normal 9 2 6 2 2 3" xfId="39202"/>
    <cellStyle name="Normal 9 2 6 2 3" xfId="21410"/>
    <cellStyle name="Normal 9 2 6 2 3 2" xfId="50271"/>
    <cellStyle name="Normal 9 2 6 2 4" xfId="33161"/>
    <cellStyle name="Normal 9 2 6 3" xfId="7455"/>
    <cellStyle name="Normal 9 2 6 3 2" xfId="24502"/>
    <cellStyle name="Normal 9 2 6 3 2 2" xfId="53363"/>
    <cellStyle name="Normal 9 2 6 3 3" xfId="36316"/>
    <cellStyle name="Normal 9 2 6 4" xfId="14169"/>
    <cellStyle name="Normal 9 2 6 4 2" xfId="18730"/>
    <cellStyle name="Normal 9 2 6 4 2 2" xfId="47591"/>
    <cellStyle name="Normal 9 2 6 4 3" xfId="43030"/>
    <cellStyle name="Normal 9 2 6 5" xfId="16050"/>
    <cellStyle name="Normal 9 2 6 5 2" xfId="44911"/>
    <cellStyle name="Normal 9 2 6 6" xfId="30275"/>
    <cellStyle name="Normal 9 2 7" xfId="1619"/>
    <cellStyle name="Normal 9 2 7 2" xfId="4506"/>
    <cellStyle name="Normal 9 2 7 2 2" xfId="10547"/>
    <cellStyle name="Normal 9 2 7 2 2 2" xfId="27594"/>
    <cellStyle name="Normal 9 2 7 2 2 2 2" xfId="56455"/>
    <cellStyle name="Normal 9 2 7 2 2 3" xfId="39408"/>
    <cellStyle name="Normal 9 2 7 2 3" xfId="21616"/>
    <cellStyle name="Normal 9 2 7 2 3 2" xfId="50477"/>
    <cellStyle name="Normal 9 2 7 2 4" xfId="33367"/>
    <cellStyle name="Normal 9 2 7 3" xfId="7661"/>
    <cellStyle name="Normal 9 2 7 3 2" xfId="24708"/>
    <cellStyle name="Normal 9 2 7 3 2 2" xfId="53569"/>
    <cellStyle name="Normal 9 2 7 3 3" xfId="36522"/>
    <cellStyle name="Normal 9 2 7 4" xfId="13347"/>
    <cellStyle name="Normal 9 2 7 4 2" xfId="18936"/>
    <cellStyle name="Normal 9 2 7 4 2 2" xfId="47797"/>
    <cellStyle name="Normal 9 2 7 4 3" xfId="42208"/>
    <cellStyle name="Normal 9 2 7 5" xfId="16256"/>
    <cellStyle name="Normal 9 2 7 5 2" xfId="45117"/>
    <cellStyle name="Normal 9 2 7 6" xfId="30481"/>
    <cellStyle name="Normal 9 2 8" xfId="1825"/>
    <cellStyle name="Normal 9 2 8 2" xfId="4712"/>
    <cellStyle name="Normal 9 2 8 2 2" xfId="10753"/>
    <cellStyle name="Normal 9 2 8 2 2 2" xfId="27800"/>
    <cellStyle name="Normal 9 2 8 2 2 2 2" xfId="56661"/>
    <cellStyle name="Normal 9 2 8 2 2 3" xfId="39614"/>
    <cellStyle name="Normal 9 2 8 2 3" xfId="21822"/>
    <cellStyle name="Normal 9 2 8 2 3 2" xfId="50683"/>
    <cellStyle name="Normal 9 2 8 2 4" xfId="33573"/>
    <cellStyle name="Normal 9 2 8 3" xfId="7867"/>
    <cellStyle name="Normal 9 2 8 3 2" xfId="24914"/>
    <cellStyle name="Normal 9 2 8 3 2 2" xfId="53775"/>
    <cellStyle name="Normal 9 2 8 3 3" xfId="36728"/>
    <cellStyle name="Normal 9 2 8 4" xfId="12335"/>
    <cellStyle name="Normal 9 2 8 4 2" xfId="19142"/>
    <cellStyle name="Normal 9 2 8 4 2 2" xfId="48003"/>
    <cellStyle name="Normal 9 2 8 4 3" xfId="41196"/>
    <cellStyle name="Normal 9 2 8 5" xfId="16462"/>
    <cellStyle name="Normal 9 2 8 5 2" xfId="45323"/>
    <cellStyle name="Normal 9 2 8 6" xfId="30687"/>
    <cellStyle name="Normal 9 2 9" xfId="2031"/>
    <cellStyle name="Normal 9 2 9 2" xfId="4918"/>
    <cellStyle name="Normal 9 2 9 2 2" xfId="10959"/>
    <cellStyle name="Normal 9 2 9 2 2 2" xfId="28006"/>
    <cellStyle name="Normal 9 2 9 2 2 2 2" xfId="56867"/>
    <cellStyle name="Normal 9 2 9 2 2 3" xfId="39820"/>
    <cellStyle name="Normal 9 2 9 2 3" xfId="22028"/>
    <cellStyle name="Normal 9 2 9 2 3 2" xfId="50889"/>
    <cellStyle name="Normal 9 2 9 2 4" xfId="33779"/>
    <cellStyle name="Normal 9 2 9 3" xfId="8073"/>
    <cellStyle name="Normal 9 2 9 3 2" xfId="25120"/>
    <cellStyle name="Normal 9 2 9 3 2 2" xfId="53981"/>
    <cellStyle name="Normal 9 2 9 3 3" xfId="36934"/>
    <cellStyle name="Normal 9 2 9 4" xfId="14318"/>
    <cellStyle name="Normal 9 2 9 4 2" xfId="19348"/>
    <cellStyle name="Normal 9 2 9 4 2 2" xfId="48209"/>
    <cellStyle name="Normal 9 2 9 4 3" xfId="43179"/>
    <cellStyle name="Normal 9 2 9 5" xfId="16668"/>
    <cellStyle name="Normal 9 2 9 5 2" xfId="45529"/>
    <cellStyle name="Normal 9 2 9 6" xfId="30893"/>
    <cellStyle name="Normal 9 20" xfId="28936"/>
    <cellStyle name="Normal 9 3" xfId="177"/>
    <cellStyle name="Normal 9 3 2" xfId="589"/>
    <cellStyle name="Normal 9 3 2 2" xfId="3476"/>
    <cellStyle name="Normal 9 3 2 2 2" xfId="9517"/>
    <cellStyle name="Normal 9 3 2 2 2 2" xfId="26564"/>
    <cellStyle name="Normal 9 3 2 2 2 2 2" xfId="55425"/>
    <cellStyle name="Normal 9 3 2 2 2 3" xfId="38378"/>
    <cellStyle name="Normal 9 3 2 2 3" xfId="20586"/>
    <cellStyle name="Normal 9 3 2 2 3 2" xfId="49447"/>
    <cellStyle name="Normal 9 3 2 2 4" xfId="32337"/>
    <cellStyle name="Normal 9 3 2 3" xfId="6631"/>
    <cellStyle name="Normal 9 3 2 3 2" xfId="23678"/>
    <cellStyle name="Normal 9 3 2 3 2 2" xfId="52539"/>
    <cellStyle name="Normal 9 3 2 3 3" xfId="35492"/>
    <cellStyle name="Normal 9 3 2 4" xfId="13006"/>
    <cellStyle name="Normal 9 3 2 4 2" xfId="17906"/>
    <cellStyle name="Normal 9 3 2 4 2 2" xfId="46767"/>
    <cellStyle name="Normal 9 3 2 4 3" xfId="41867"/>
    <cellStyle name="Normal 9 3 2 5" xfId="15226"/>
    <cellStyle name="Normal 9 3 2 5 2" xfId="44087"/>
    <cellStyle name="Normal 9 3 2 6" xfId="29451"/>
    <cellStyle name="Normal 9 3 3" xfId="2134"/>
    <cellStyle name="Normal 9 3 3 2" xfId="5021"/>
    <cellStyle name="Normal 9 3 3 2 2" xfId="11062"/>
    <cellStyle name="Normal 9 3 3 2 2 2" xfId="28109"/>
    <cellStyle name="Normal 9 3 3 2 2 2 2" xfId="56970"/>
    <cellStyle name="Normal 9 3 3 2 2 3" xfId="39923"/>
    <cellStyle name="Normal 9 3 3 2 3" xfId="22131"/>
    <cellStyle name="Normal 9 3 3 2 3 2" xfId="50992"/>
    <cellStyle name="Normal 9 3 3 2 4" xfId="33882"/>
    <cellStyle name="Normal 9 3 3 3" xfId="8176"/>
    <cellStyle name="Normal 9 3 3 3 2" xfId="25223"/>
    <cellStyle name="Normal 9 3 3 3 2 2" xfId="54084"/>
    <cellStyle name="Normal 9 3 3 3 3" xfId="37037"/>
    <cellStyle name="Normal 9 3 3 4" xfId="14258"/>
    <cellStyle name="Normal 9 3 3 4 2" xfId="19451"/>
    <cellStyle name="Normal 9 3 3 4 2 2" xfId="48312"/>
    <cellStyle name="Normal 9 3 3 4 3" xfId="43119"/>
    <cellStyle name="Normal 9 3 3 5" xfId="16771"/>
    <cellStyle name="Normal 9 3 3 5 2" xfId="45632"/>
    <cellStyle name="Normal 9 3 3 6" xfId="30996"/>
    <cellStyle name="Normal 9 3 4" xfId="3064"/>
    <cellStyle name="Normal 9 3 4 2" xfId="9105"/>
    <cellStyle name="Normal 9 3 4 2 2" xfId="26152"/>
    <cellStyle name="Normal 9 3 4 2 2 2" xfId="55013"/>
    <cellStyle name="Normal 9 3 4 2 3" xfId="37966"/>
    <cellStyle name="Normal 9 3 4 3" xfId="20174"/>
    <cellStyle name="Normal 9 3 4 3 2" xfId="49035"/>
    <cellStyle name="Normal 9 3 4 4" xfId="31925"/>
    <cellStyle name="Normal 9 3 5" xfId="6219"/>
    <cellStyle name="Normal 9 3 5 2" xfId="23266"/>
    <cellStyle name="Normal 9 3 5 2 2" xfId="52127"/>
    <cellStyle name="Normal 9 3 5 3" xfId="35080"/>
    <cellStyle name="Normal 9 3 6" xfId="12068"/>
    <cellStyle name="Normal 9 3 6 2" xfId="17597"/>
    <cellStyle name="Normal 9 3 6 2 2" xfId="46458"/>
    <cellStyle name="Normal 9 3 6 3" xfId="40929"/>
    <cellStyle name="Normal 9 3 7" xfId="14814"/>
    <cellStyle name="Normal 9 3 7 2" xfId="43675"/>
    <cellStyle name="Normal 9 3 8" xfId="29039"/>
    <cellStyle name="Normal 9 4" xfId="383"/>
    <cellStyle name="Normal 9 4 2" xfId="3270"/>
    <cellStyle name="Normal 9 4 2 2" xfId="9311"/>
    <cellStyle name="Normal 9 4 2 2 2" xfId="26358"/>
    <cellStyle name="Normal 9 4 2 2 2 2" xfId="55219"/>
    <cellStyle name="Normal 9 4 2 2 3" xfId="38172"/>
    <cellStyle name="Normal 9 4 2 3" xfId="20380"/>
    <cellStyle name="Normal 9 4 2 3 2" xfId="49241"/>
    <cellStyle name="Normal 9 4 2 4" xfId="32131"/>
    <cellStyle name="Normal 9 4 3" xfId="6425"/>
    <cellStyle name="Normal 9 4 3 2" xfId="23472"/>
    <cellStyle name="Normal 9 4 3 2 2" xfId="52333"/>
    <cellStyle name="Normal 9 4 3 3" xfId="35286"/>
    <cellStyle name="Normal 9 4 4" xfId="6085"/>
    <cellStyle name="Normal 9 4 4 2" xfId="17700"/>
    <cellStyle name="Normal 9 4 4 2 2" xfId="46561"/>
    <cellStyle name="Normal 9 4 4 3" xfId="34946"/>
    <cellStyle name="Normal 9 4 5" xfId="15020"/>
    <cellStyle name="Normal 9 4 5 2" xfId="43881"/>
    <cellStyle name="Normal 9 4 6" xfId="29245"/>
    <cellStyle name="Normal 9 5" xfId="692"/>
    <cellStyle name="Normal 9 5 2" xfId="3579"/>
    <cellStyle name="Normal 9 5 2 2" xfId="9620"/>
    <cellStyle name="Normal 9 5 2 2 2" xfId="26667"/>
    <cellStyle name="Normal 9 5 2 2 2 2" xfId="55528"/>
    <cellStyle name="Normal 9 5 2 2 3" xfId="38481"/>
    <cellStyle name="Normal 9 5 2 3" xfId="20689"/>
    <cellStyle name="Normal 9 5 2 3 2" xfId="49550"/>
    <cellStyle name="Normal 9 5 2 4" xfId="32440"/>
    <cellStyle name="Normal 9 5 3" xfId="6734"/>
    <cellStyle name="Normal 9 5 3 2" xfId="23781"/>
    <cellStyle name="Normal 9 5 3 2 2" xfId="52642"/>
    <cellStyle name="Normal 9 5 3 3" xfId="35595"/>
    <cellStyle name="Normal 9 5 4" xfId="13720"/>
    <cellStyle name="Normal 9 5 4 2" xfId="18009"/>
    <cellStyle name="Normal 9 5 4 2 2" xfId="46870"/>
    <cellStyle name="Normal 9 5 4 3" xfId="42581"/>
    <cellStyle name="Normal 9 5 5" xfId="15329"/>
    <cellStyle name="Normal 9 5 5 2" xfId="44190"/>
    <cellStyle name="Normal 9 5 6" xfId="29554"/>
    <cellStyle name="Normal 9 6" xfId="898"/>
    <cellStyle name="Normal 9 6 2" xfId="3785"/>
    <cellStyle name="Normal 9 6 2 2" xfId="9826"/>
    <cellStyle name="Normal 9 6 2 2 2" xfId="26873"/>
    <cellStyle name="Normal 9 6 2 2 2 2" xfId="55734"/>
    <cellStyle name="Normal 9 6 2 2 3" xfId="38687"/>
    <cellStyle name="Normal 9 6 2 3" xfId="20895"/>
    <cellStyle name="Normal 9 6 2 3 2" xfId="49756"/>
    <cellStyle name="Normal 9 6 2 4" xfId="32646"/>
    <cellStyle name="Normal 9 6 3" xfId="6940"/>
    <cellStyle name="Normal 9 6 3 2" xfId="23987"/>
    <cellStyle name="Normal 9 6 3 2 2" xfId="52848"/>
    <cellStyle name="Normal 9 6 3 3" xfId="35801"/>
    <cellStyle name="Normal 9 6 4" xfId="13572"/>
    <cellStyle name="Normal 9 6 4 2" xfId="18215"/>
    <cellStyle name="Normal 9 6 4 2 2" xfId="47076"/>
    <cellStyle name="Normal 9 6 4 3" xfId="42433"/>
    <cellStyle name="Normal 9 6 5" xfId="15535"/>
    <cellStyle name="Normal 9 6 5 2" xfId="44396"/>
    <cellStyle name="Normal 9 6 6" xfId="29760"/>
    <cellStyle name="Normal 9 7" xfId="1104"/>
    <cellStyle name="Normal 9 7 2" xfId="3991"/>
    <cellStyle name="Normal 9 7 2 2" xfId="10032"/>
    <cellStyle name="Normal 9 7 2 2 2" xfId="27079"/>
    <cellStyle name="Normal 9 7 2 2 2 2" xfId="55940"/>
    <cellStyle name="Normal 9 7 2 2 3" xfId="38893"/>
    <cellStyle name="Normal 9 7 2 3" xfId="21101"/>
    <cellStyle name="Normal 9 7 2 3 2" xfId="49962"/>
    <cellStyle name="Normal 9 7 2 4" xfId="32852"/>
    <cellStyle name="Normal 9 7 3" xfId="7146"/>
    <cellStyle name="Normal 9 7 3 2" xfId="24193"/>
    <cellStyle name="Normal 9 7 3 2 2" xfId="53054"/>
    <cellStyle name="Normal 9 7 3 3" xfId="36007"/>
    <cellStyle name="Normal 9 7 4" xfId="13100"/>
    <cellStyle name="Normal 9 7 4 2" xfId="18421"/>
    <cellStyle name="Normal 9 7 4 2 2" xfId="47282"/>
    <cellStyle name="Normal 9 7 4 3" xfId="41961"/>
    <cellStyle name="Normal 9 7 5" xfId="15741"/>
    <cellStyle name="Normal 9 7 5 2" xfId="44602"/>
    <cellStyle name="Normal 9 7 6" xfId="29966"/>
    <cellStyle name="Normal 9 8" xfId="1310"/>
    <cellStyle name="Normal 9 8 2" xfId="4197"/>
    <cellStyle name="Normal 9 8 2 2" xfId="10238"/>
    <cellStyle name="Normal 9 8 2 2 2" xfId="27285"/>
    <cellStyle name="Normal 9 8 2 2 2 2" xfId="56146"/>
    <cellStyle name="Normal 9 8 2 2 3" xfId="39099"/>
    <cellStyle name="Normal 9 8 2 3" xfId="21307"/>
    <cellStyle name="Normal 9 8 2 3 2" xfId="50168"/>
    <cellStyle name="Normal 9 8 2 4" xfId="33058"/>
    <cellStyle name="Normal 9 8 3" xfId="7352"/>
    <cellStyle name="Normal 9 8 3 2" xfId="24399"/>
    <cellStyle name="Normal 9 8 3 2 2" xfId="53260"/>
    <cellStyle name="Normal 9 8 3 3" xfId="36213"/>
    <cellStyle name="Normal 9 8 4" xfId="13985"/>
    <cellStyle name="Normal 9 8 4 2" xfId="18627"/>
    <cellStyle name="Normal 9 8 4 2 2" xfId="47488"/>
    <cellStyle name="Normal 9 8 4 3" xfId="42846"/>
    <cellStyle name="Normal 9 8 5" xfId="15947"/>
    <cellStyle name="Normal 9 8 5 2" xfId="44808"/>
    <cellStyle name="Normal 9 8 6" xfId="30172"/>
    <cellStyle name="Normal 9 9" xfId="1516"/>
    <cellStyle name="Normal 9 9 2" xfId="4403"/>
    <cellStyle name="Normal 9 9 2 2" xfId="10444"/>
    <cellStyle name="Normal 9 9 2 2 2" xfId="27491"/>
    <cellStyle name="Normal 9 9 2 2 2 2" xfId="56352"/>
    <cellStyle name="Normal 9 9 2 2 3" xfId="39305"/>
    <cellStyle name="Normal 9 9 2 3" xfId="21513"/>
    <cellStyle name="Normal 9 9 2 3 2" xfId="50374"/>
    <cellStyle name="Normal 9 9 2 4" xfId="33264"/>
    <cellStyle name="Normal 9 9 3" xfId="7558"/>
    <cellStyle name="Normal 9 9 3 2" xfId="24605"/>
    <cellStyle name="Normal 9 9 3 2 2" xfId="53466"/>
    <cellStyle name="Normal 9 9 3 3" xfId="36419"/>
    <cellStyle name="Normal 9 9 4" xfId="13906"/>
    <cellStyle name="Normal 9 9 4 2" xfId="18833"/>
    <cellStyle name="Normal 9 9 4 2 2" xfId="47694"/>
    <cellStyle name="Normal 9 9 4 3" xfId="42767"/>
    <cellStyle name="Normal 9 9 5" xfId="16153"/>
    <cellStyle name="Normal 9 9 5 2" xfId="45014"/>
    <cellStyle name="Normal 9 9 6" xfId="30378"/>
    <cellStyle name="Note 2" xfId="90"/>
    <cellStyle name="Note 2 10" xfId="1326"/>
    <cellStyle name="Note 2 10 2" xfId="4213"/>
    <cellStyle name="Note 2 10 2 2" xfId="10254"/>
    <cellStyle name="Note 2 10 2 2 2" xfId="27301"/>
    <cellStyle name="Note 2 10 2 2 2 2" xfId="56162"/>
    <cellStyle name="Note 2 10 2 2 3" xfId="39115"/>
    <cellStyle name="Note 2 10 2 3" xfId="21323"/>
    <cellStyle name="Note 2 10 2 3 2" xfId="50184"/>
    <cellStyle name="Note 2 10 2 4" xfId="33074"/>
    <cellStyle name="Note 2 10 3" xfId="7368"/>
    <cellStyle name="Note 2 10 3 2" xfId="24415"/>
    <cellStyle name="Note 2 10 3 2 2" xfId="53276"/>
    <cellStyle name="Note 2 10 3 3" xfId="36229"/>
    <cellStyle name="Note 2 10 4" xfId="12490"/>
    <cellStyle name="Note 2 10 4 2" xfId="18643"/>
    <cellStyle name="Note 2 10 4 2 2" xfId="47504"/>
    <cellStyle name="Note 2 10 4 3" xfId="41351"/>
    <cellStyle name="Note 2 10 5" xfId="15963"/>
    <cellStyle name="Note 2 10 5 2" xfId="44824"/>
    <cellStyle name="Note 2 10 6" xfId="30188"/>
    <cellStyle name="Note 2 11" xfId="1532"/>
    <cellStyle name="Note 2 11 2" xfId="4419"/>
    <cellStyle name="Note 2 11 2 2" xfId="10460"/>
    <cellStyle name="Note 2 11 2 2 2" xfId="27507"/>
    <cellStyle name="Note 2 11 2 2 2 2" xfId="56368"/>
    <cellStyle name="Note 2 11 2 2 3" xfId="39321"/>
    <cellStyle name="Note 2 11 2 3" xfId="21529"/>
    <cellStyle name="Note 2 11 2 3 2" xfId="50390"/>
    <cellStyle name="Note 2 11 2 4" xfId="33280"/>
    <cellStyle name="Note 2 11 3" xfId="7574"/>
    <cellStyle name="Note 2 11 3 2" xfId="24621"/>
    <cellStyle name="Note 2 11 3 2 2" xfId="53482"/>
    <cellStyle name="Note 2 11 3 3" xfId="36435"/>
    <cellStyle name="Note 2 11 4" xfId="11952"/>
    <cellStyle name="Note 2 11 4 2" xfId="18849"/>
    <cellStyle name="Note 2 11 4 2 2" xfId="47710"/>
    <cellStyle name="Note 2 11 4 3" xfId="40813"/>
    <cellStyle name="Note 2 11 5" xfId="16169"/>
    <cellStyle name="Note 2 11 5 2" xfId="45030"/>
    <cellStyle name="Note 2 11 6" xfId="30394"/>
    <cellStyle name="Note 2 12" xfId="1738"/>
    <cellStyle name="Note 2 12 2" xfId="4625"/>
    <cellStyle name="Note 2 12 2 2" xfId="10666"/>
    <cellStyle name="Note 2 12 2 2 2" xfId="27713"/>
    <cellStyle name="Note 2 12 2 2 2 2" xfId="56574"/>
    <cellStyle name="Note 2 12 2 2 3" xfId="39527"/>
    <cellStyle name="Note 2 12 2 3" xfId="21735"/>
    <cellStyle name="Note 2 12 2 3 2" xfId="50596"/>
    <cellStyle name="Note 2 12 2 4" xfId="33486"/>
    <cellStyle name="Note 2 12 3" xfId="7780"/>
    <cellStyle name="Note 2 12 3 2" xfId="24827"/>
    <cellStyle name="Note 2 12 3 2 2" xfId="53688"/>
    <cellStyle name="Note 2 12 3 3" xfId="36641"/>
    <cellStyle name="Note 2 12 4" xfId="12207"/>
    <cellStyle name="Note 2 12 4 2" xfId="19055"/>
    <cellStyle name="Note 2 12 4 2 2" xfId="47916"/>
    <cellStyle name="Note 2 12 4 3" xfId="41068"/>
    <cellStyle name="Note 2 12 5" xfId="16375"/>
    <cellStyle name="Note 2 12 5 2" xfId="45236"/>
    <cellStyle name="Note 2 12 6" xfId="30600"/>
    <cellStyle name="Note 2 13" xfId="1944"/>
    <cellStyle name="Note 2 13 2" xfId="4831"/>
    <cellStyle name="Note 2 13 2 2" xfId="10872"/>
    <cellStyle name="Note 2 13 2 2 2" xfId="27919"/>
    <cellStyle name="Note 2 13 2 2 2 2" xfId="56780"/>
    <cellStyle name="Note 2 13 2 2 3" xfId="39733"/>
    <cellStyle name="Note 2 13 2 3" xfId="21941"/>
    <cellStyle name="Note 2 13 2 3 2" xfId="50802"/>
    <cellStyle name="Note 2 13 2 4" xfId="33692"/>
    <cellStyle name="Note 2 13 3" xfId="7986"/>
    <cellStyle name="Note 2 13 3 2" xfId="25033"/>
    <cellStyle name="Note 2 13 3 2 2" xfId="53894"/>
    <cellStyle name="Note 2 13 3 3" xfId="36847"/>
    <cellStyle name="Note 2 13 4" xfId="13364"/>
    <cellStyle name="Note 2 13 4 2" xfId="19261"/>
    <cellStyle name="Note 2 13 4 2 2" xfId="48122"/>
    <cellStyle name="Note 2 13 4 3" xfId="42225"/>
    <cellStyle name="Note 2 13 5" xfId="16581"/>
    <cellStyle name="Note 2 13 5 2" xfId="45442"/>
    <cellStyle name="Note 2 13 6" xfId="30806"/>
    <cellStyle name="Note 2 14" xfId="2356"/>
    <cellStyle name="Note 2 14 2" xfId="5243"/>
    <cellStyle name="Note 2 14 2 2" xfId="11284"/>
    <cellStyle name="Note 2 14 2 2 2" xfId="28331"/>
    <cellStyle name="Note 2 14 2 2 2 2" xfId="57192"/>
    <cellStyle name="Note 2 14 2 2 3" xfId="40145"/>
    <cellStyle name="Note 2 14 2 3" xfId="22353"/>
    <cellStyle name="Note 2 14 2 3 2" xfId="51214"/>
    <cellStyle name="Note 2 14 2 4" xfId="34104"/>
    <cellStyle name="Note 2 14 3" xfId="8398"/>
    <cellStyle name="Note 2 14 3 2" xfId="25445"/>
    <cellStyle name="Note 2 14 3 2 2" xfId="54306"/>
    <cellStyle name="Note 2 14 3 3" xfId="37259"/>
    <cellStyle name="Note 2 14 4" xfId="12438"/>
    <cellStyle name="Note 2 14 4 2" xfId="19673"/>
    <cellStyle name="Note 2 14 4 2 2" xfId="48534"/>
    <cellStyle name="Note 2 14 4 3" xfId="41299"/>
    <cellStyle name="Note 2 14 5" xfId="16993"/>
    <cellStyle name="Note 2 14 5 2" xfId="45854"/>
    <cellStyle name="Note 2 14 6" xfId="31218"/>
    <cellStyle name="Note 2 15" xfId="2565"/>
    <cellStyle name="Note 2 15 2" xfId="5451"/>
    <cellStyle name="Note 2 15 2 2" xfId="11492"/>
    <cellStyle name="Note 2 15 2 2 2" xfId="28539"/>
    <cellStyle name="Note 2 15 2 2 2 2" xfId="57400"/>
    <cellStyle name="Note 2 15 2 2 3" xfId="40353"/>
    <cellStyle name="Note 2 15 2 3" xfId="22561"/>
    <cellStyle name="Note 2 15 2 3 2" xfId="51422"/>
    <cellStyle name="Note 2 15 2 4" xfId="34312"/>
    <cellStyle name="Note 2 15 3" xfId="8606"/>
    <cellStyle name="Note 2 15 3 2" xfId="25653"/>
    <cellStyle name="Note 2 15 3 2 2" xfId="54514"/>
    <cellStyle name="Note 2 15 3 3" xfId="37467"/>
    <cellStyle name="Note 2 15 4" xfId="12745"/>
    <cellStyle name="Note 2 15 4 2" xfId="19881"/>
    <cellStyle name="Note 2 15 4 2 2" xfId="48742"/>
    <cellStyle name="Note 2 15 4 3" xfId="41606"/>
    <cellStyle name="Note 2 15 5" xfId="17201"/>
    <cellStyle name="Note 2 15 5 2" xfId="46062"/>
    <cellStyle name="Note 2 15 6" xfId="31426"/>
    <cellStyle name="Note 2 16" xfId="2977"/>
    <cellStyle name="Note 2 16 2" xfId="9018"/>
    <cellStyle name="Note 2 16 2 2" xfId="26065"/>
    <cellStyle name="Note 2 16 2 2 2" xfId="54926"/>
    <cellStyle name="Note 2 16 2 3" xfId="37879"/>
    <cellStyle name="Note 2 16 3" xfId="12564"/>
    <cellStyle name="Note 2 16 3 2" xfId="20087"/>
    <cellStyle name="Note 2 16 3 2 2" xfId="48948"/>
    <cellStyle name="Note 2 16 3 3" xfId="41425"/>
    <cellStyle name="Note 2 16 4" xfId="14727"/>
    <cellStyle name="Note 2 16 4 2" xfId="43588"/>
    <cellStyle name="Note 2 16 5" xfId="31838"/>
    <cellStyle name="Note 2 17" xfId="2771"/>
    <cellStyle name="Note 2 17 2" xfId="8812"/>
    <cellStyle name="Note 2 17 2 2" xfId="25859"/>
    <cellStyle name="Note 2 17 2 2 2" xfId="54720"/>
    <cellStyle name="Note 2 17 2 3" xfId="37673"/>
    <cellStyle name="Note 2 17 3" xfId="17407"/>
    <cellStyle name="Note 2 17 3 2" xfId="46268"/>
    <cellStyle name="Note 2 17 4" xfId="31632"/>
    <cellStyle name="Note 2 18" xfId="5657"/>
    <cellStyle name="Note 2 18 2" xfId="11698"/>
    <cellStyle name="Note 2 18 2 2" xfId="28745"/>
    <cellStyle name="Note 2 18 2 2 2" xfId="57606"/>
    <cellStyle name="Note 2 18 2 3" xfId="40559"/>
    <cellStyle name="Note 2 18 3" xfId="22767"/>
    <cellStyle name="Note 2 18 3 2" xfId="51628"/>
    <cellStyle name="Note 2 18 4" xfId="34518"/>
    <cellStyle name="Note 2 19" xfId="5874"/>
    <cellStyle name="Note 2 19 2" xfId="22973"/>
    <cellStyle name="Note 2 19 2 2" xfId="51834"/>
    <cellStyle name="Note 2 19 3" xfId="34735"/>
    <cellStyle name="Note 2 2" xfId="116"/>
    <cellStyle name="Note 2 2 10" xfId="1764"/>
    <cellStyle name="Note 2 2 10 2" xfId="4651"/>
    <cellStyle name="Note 2 2 10 2 2" xfId="10692"/>
    <cellStyle name="Note 2 2 10 2 2 2" xfId="27739"/>
    <cellStyle name="Note 2 2 10 2 2 2 2" xfId="56600"/>
    <cellStyle name="Note 2 2 10 2 2 3" xfId="39553"/>
    <cellStyle name="Note 2 2 10 2 3" xfId="21761"/>
    <cellStyle name="Note 2 2 10 2 3 2" xfId="50622"/>
    <cellStyle name="Note 2 2 10 2 4" xfId="33512"/>
    <cellStyle name="Note 2 2 10 3" xfId="7806"/>
    <cellStyle name="Note 2 2 10 3 2" xfId="24853"/>
    <cellStyle name="Note 2 2 10 3 2 2" xfId="53714"/>
    <cellStyle name="Note 2 2 10 3 3" xfId="36667"/>
    <cellStyle name="Note 2 2 10 4" xfId="12558"/>
    <cellStyle name="Note 2 2 10 4 2" xfId="19081"/>
    <cellStyle name="Note 2 2 10 4 2 2" xfId="47942"/>
    <cellStyle name="Note 2 2 10 4 3" xfId="41419"/>
    <cellStyle name="Note 2 2 10 5" xfId="16401"/>
    <cellStyle name="Note 2 2 10 5 2" xfId="45262"/>
    <cellStyle name="Note 2 2 10 6" xfId="30626"/>
    <cellStyle name="Note 2 2 11" xfId="1970"/>
    <cellStyle name="Note 2 2 11 2" xfId="4857"/>
    <cellStyle name="Note 2 2 11 2 2" xfId="10898"/>
    <cellStyle name="Note 2 2 11 2 2 2" xfId="27945"/>
    <cellStyle name="Note 2 2 11 2 2 2 2" xfId="56806"/>
    <cellStyle name="Note 2 2 11 2 2 3" xfId="39759"/>
    <cellStyle name="Note 2 2 11 2 3" xfId="21967"/>
    <cellStyle name="Note 2 2 11 2 3 2" xfId="50828"/>
    <cellStyle name="Note 2 2 11 2 4" xfId="33718"/>
    <cellStyle name="Note 2 2 11 3" xfId="8012"/>
    <cellStyle name="Note 2 2 11 3 2" xfId="25059"/>
    <cellStyle name="Note 2 2 11 3 2 2" xfId="53920"/>
    <cellStyle name="Note 2 2 11 3 3" xfId="36873"/>
    <cellStyle name="Note 2 2 11 4" xfId="13712"/>
    <cellStyle name="Note 2 2 11 4 2" xfId="19287"/>
    <cellStyle name="Note 2 2 11 4 2 2" xfId="48148"/>
    <cellStyle name="Note 2 2 11 4 3" xfId="42573"/>
    <cellStyle name="Note 2 2 11 5" xfId="16607"/>
    <cellStyle name="Note 2 2 11 5 2" xfId="45468"/>
    <cellStyle name="Note 2 2 11 6" xfId="30832"/>
    <cellStyle name="Note 2 2 12" xfId="2382"/>
    <cellStyle name="Note 2 2 12 2" xfId="5269"/>
    <cellStyle name="Note 2 2 12 2 2" xfId="11310"/>
    <cellStyle name="Note 2 2 12 2 2 2" xfId="28357"/>
    <cellStyle name="Note 2 2 12 2 2 2 2" xfId="57218"/>
    <cellStyle name="Note 2 2 12 2 2 3" xfId="40171"/>
    <cellStyle name="Note 2 2 12 2 3" xfId="22379"/>
    <cellStyle name="Note 2 2 12 2 3 2" xfId="51240"/>
    <cellStyle name="Note 2 2 12 2 4" xfId="34130"/>
    <cellStyle name="Note 2 2 12 3" xfId="8424"/>
    <cellStyle name="Note 2 2 12 3 2" xfId="25471"/>
    <cellStyle name="Note 2 2 12 3 2 2" xfId="54332"/>
    <cellStyle name="Note 2 2 12 3 3" xfId="37285"/>
    <cellStyle name="Note 2 2 12 4" xfId="11955"/>
    <cellStyle name="Note 2 2 12 4 2" xfId="19699"/>
    <cellStyle name="Note 2 2 12 4 2 2" xfId="48560"/>
    <cellStyle name="Note 2 2 12 4 3" xfId="40816"/>
    <cellStyle name="Note 2 2 12 5" xfId="17019"/>
    <cellStyle name="Note 2 2 12 5 2" xfId="45880"/>
    <cellStyle name="Note 2 2 12 6" xfId="31244"/>
    <cellStyle name="Note 2 2 13" xfId="2591"/>
    <cellStyle name="Note 2 2 13 2" xfId="5477"/>
    <cellStyle name="Note 2 2 13 2 2" xfId="11518"/>
    <cellStyle name="Note 2 2 13 2 2 2" xfId="28565"/>
    <cellStyle name="Note 2 2 13 2 2 2 2" xfId="57426"/>
    <cellStyle name="Note 2 2 13 2 2 3" xfId="40379"/>
    <cellStyle name="Note 2 2 13 2 3" xfId="22587"/>
    <cellStyle name="Note 2 2 13 2 3 2" xfId="51448"/>
    <cellStyle name="Note 2 2 13 2 4" xfId="34338"/>
    <cellStyle name="Note 2 2 13 3" xfId="8632"/>
    <cellStyle name="Note 2 2 13 3 2" xfId="25679"/>
    <cellStyle name="Note 2 2 13 3 2 2" xfId="54540"/>
    <cellStyle name="Note 2 2 13 3 3" xfId="37493"/>
    <cellStyle name="Note 2 2 13 4" xfId="13603"/>
    <cellStyle name="Note 2 2 13 4 2" xfId="19907"/>
    <cellStyle name="Note 2 2 13 4 2 2" xfId="48768"/>
    <cellStyle name="Note 2 2 13 4 3" xfId="42464"/>
    <cellStyle name="Note 2 2 13 5" xfId="17227"/>
    <cellStyle name="Note 2 2 13 5 2" xfId="46088"/>
    <cellStyle name="Note 2 2 13 6" xfId="31452"/>
    <cellStyle name="Note 2 2 14" xfId="3003"/>
    <cellStyle name="Note 2 2 14 2" xfId="9044"/>
    <cellStyle name="Note 2 2 14 2 2" xfId="26091"/>
    <cellStyle name="Note 2 2 14 2 2 2" xfId="54952"/>
    <cellStyle name="Note 2 2 14 2 3" xfId="37905"/>
    <cellStyle name="Note 2 2 14 3" xfId="14047"/>
    <cellStyle name="Note 2 2 14 3 2" xfId="20113"/>
    <cellStyle name="Note 2 2 14 3 2 2" xfId="48974"/>
    <cellStyle name="Note 2 2 14 3 3" xfId="42908"/>
    <cellStyle name="Note 2 2 14 4" xfId="14753"/>
    <cellStyle name="Note 2 2 14 4 2" xfId="43614"/>
    <cellStyle name="Note 2 2 14 5" xfId="31864"/>
    <cellStyle name="Note 2 2 15" xfId="2797"/>
    <cellStyle name="Note 2 2 15 2" xfId="8838"/>
    <cellStyle name="Note 2 2 15 2 2" xfId="25885"/>
    <cellStyle name="Note 2 2 15 2 2 2" xfId="54746"/>
    <cellStyle name="Note 2 2 15 2 3" xfId="37699"/>
    <cellStyle name="Note 2 2 15 3" xfId="17433"/>
    <cellStyle name="Note 2 2 15 3 2" xfId="46294"/>
    <cellStyle name="Note 2 2 15 4" xfId="31658"/>
    <cellStyle name="Note 2 2 16" xfId="5683"/>
    <cellStyle name="Note 2 2 16 2" xfId="11724"/>
    <cellStyle name="Note 2 2 16 2 2" xfId="28771"/>
    <cellStyle name="Note 2 2 16 2 2 2" xfId="57632"/>
    <cellStyle name="Note 2 2 16 2 3" xfId="40585"/>
    <cellStyle name="Note 2 2 16 3" xfId="22793"/>
    <cellStyle name="Note 2 2 16 3 2" xfId="51654"/>
    <cellStyle name="Note 2 2 16 4" xfId="34544"/>
    <cellStyle name="Note 2 2 17" xfId="5900"/>
    <cellStyle name="Note 2 2 17 2" xfId="22999"/>
    <cellStyle name="Note 2 2 17 2 2" xfId="51860"/>
    <cellStyle name="Note 2 2 17 3" xfId="34761"/>
    <cellStyle name="Note 2 2 18" xfId="6158"/>
    <cellStyle name="Note 2 2 18 2" xfId="23205"/>
    <cellStyle name="Note 2 2 18 2 2" xfId="52066"/>
    <cellStyle name="Note 2 2 18 3" xfId="35019"/>
    <cellStyle name="Note 2 2 19" xfId="14547"/>
    <cellStyle name="Note 2 2 19 2" xfId="43408"/>
    <cellStyle name="Note 2 2 2" xfId="322"/>
    <cellStyle name="Note 2 2 2 10" xfId="2485"/>
    <cellStyle name="Note 2 2 2 10 2" xfId="5372"/>
    <cellStyle name="Note 2 2 2 10 2 2" xfId="11413"/>
    <cellStyle name="Note 2 2 2 10 2 2 2" xfId="28460"/>
    <cellStyle name="Note 2 2 2 10 2 2 2 2" xfId="57321"/>
    <cellStyle name="Note 2 2 2 10 2 2 3" xfId="40274"/>
    <cellStyle name="Note 2 2 2 10 2 3" xfId="22482"/>
    <cellStyle name="Note 2 2 2 10 2 3 2" xfId="51343"/>
    <cellStyle name="Note 2 2 2 10 2 4" xfId="34233"/>
    <cellStyle name="Note 2 2 2 10 3" xfId="8527"/>
    <cellStyle name="Note 2 2 2 10 3 2" xfId="25574"/>
    <cellStyle name="Note 2 2 2 10 3 2 2" xfId="54435"/>
    <cellStyle name="Note 2 2 2 10 3 3" xfId="37388"/>
    <cellStyle name="Note 2 2 2 10 4" xfId="12098"/>
    <cellStyle name="Note 2 2 2 10 4 2" xfId="19802"/>
    <cellStyle name="Note 2 2 2 10 4 2 2" xfId="48663"/>
    <cellStyle name="Note 2 2 2 10 4 3" xfId="40959"/>
    <cellStyle name="Note 2 2 2 10 5" xfId="17122"/>
    <cellStyle name="Note 2 2 2 10 5 2" xfId="45983"/>
    <cellStyle name="Note 2 2 2 10 6" xfId="31347"/>
    <cellStyle name="Note 2 2 2 11" xfId="2694"/>
    <cellStyle name="Note 2 2 2 11 2" xfId="5580"/>
    <cellStyle name="Note 2 2 2 11 2 2" xfId="11621"/>
    <cellStyle name="Note 2 2 2 11 2 2 2" xfId="28668"/>
    <cellStyle name="Note 2 2 2 11 2 2 2 2" xfId="57529"/>
    <cellStyle name="Note 2 2 2 11 2 2 3" xfId="40482"/>
    <cellStyle name="Note 2 2 2 11 2 3" xfId="22690"/>
    <cellStyle name="Note 2 2 2 11 2 3 2" xfId="51551"/>
    <cellStyle name="Note 2 2 2 11 2 4" xfId="34441"/>
    <cellStyle name="Note 2 2 2 11 3" xfId="8735"/>
    <cellStyle name="Note 2 2 2 11 3 2" xfId="25782"/>
    <cellStyle name="Note 2 2 2 11 3 2 2" xfId="54643"/>
    <cellStyle name="Note 2 2 2 11 3 3" xfId="37596"/>
    <cellStyle name="Note 2 2 2 11 4" xfId="12188"/>
    <cellStyle name="Note 2 2 2 11 4 2" xfId="20010"/>
    <cellStyle name="Note 2 2 2 11 4 2 2" xfId="48871"/>
    <cellStyle name="Note 2 2 2 11 4 3" xfId="41049"/>
    <cellStyle name="Note 2 2 2 11 5" xfId="17330"/>
    <cellStyle name="Note 2 2 2 11 5 2" xfId="46191"/>
    <cellStyle name="Note 2 2 2 11 6" xfId="31555"/>
    <cellStyle name="Note 2 2 2 12" xfId="3209"/>
    <cellStyle name="Note 2 2 2 12 2" xfId="9250"/>
    <cellStyle name="Note 2 2 2 12 2 2" xfId="26297"/>
    <cellStyle name="Note 2 2 2 12 2 2 2" xfId="55158"/>
    <cellStyle name="Note 2 2 2 12 2 3" xfId="38111"/>
    <cellStyle name="Note 2 2 2 12 3" xfId="14362"/>
    <cellStyle name="Note 2 2 2 12 3 2" xfId="20319"/>
    <cellStyle name="Note 2 2 2 12 3 2 2" xfId="49180"/>
    <cellStyle name="Note 2 2 2 12 3 3" xfId="43223"/>
    <cellStyle name="Note 2 2 2 12 4" xfId="14959"/>
    <cellStyle name="Note 2 2 2 12 4 2" xfId="43820"/>
    <cellStyle name="Note 2 2 2 12 5" xfId="32070"/>
    <cellStyle name="Note 2 2 2 13" xfId="2900"/>
    <cellStyle name="Note 2 2 2 13 2" xfId="8941"/>
    <cellStyle name="Note 2 2 2 13 2 2" xfId="25988"/>
    <cellStyle name="Note 2 2 2 13 2 2 2" xfId="54849"/>
    <cellStyle name="Note 2 2 2 13 2 3" xfId="37802"/>
    <cellStyle name="Note 2 2 2 13 3" xfId="17536"/>
    <cellStyle name="Note 2 2 2 13 3 2" xfId="46397"/>
    <cellStyle name="Note 2 2 2 13 4" xfId="31761"/>
    <cellStyle name="Note 2 2 2 14" xfId="5786"/>
    <cellStyle name="Note 2 2 2 14 2" xfId="11827"/>
    <cellStyle name="Note 2 2 2 14 2 2" xfId="28874"/>
    <cellStyle name="Note 2 2 2 14 2 2 2" xfId="57735"/>
    <cellStyle name="Note 2 2 2 14 2 3" xfId="40688"/>
    <cellStyle name="Note 2 2 2 14 3" xfId="22896"/>
    <cellStyle name="Note 2 2 2 14 3 2" xfId="51757"/>
    <cellStyle name="Note 2 2 2 14 4" xfId="34647"/>
    <cellStyle name="Note 2 2 2 15" xfId="6003"/>
    <cellStyle name="Note 2 2 2 15 2" xfId="23102"/>
    <cellStyle name="Note 2 2 2 15 2 2" xfId="51963"/>
    <cellStyle name="Note 2 2 2 15 3" xfId="34864"/>
    <cellStyle name="Note 2 2 2 16" xfId="6364"/>
    <cellStyle name="Note 2 2 2 16 2" xfId="23411"/>
    <cellStyle name="Note 2 2 2 16 2 2" xfId="52272"/>
    <cellStyle name="Note 2 2 2 16 3" xfId="35225"/>
    <cellStyle name="Note 2 2 2 17" xfId="14650"/>
    <cellStyle name="Note 2 2 2 17 2" xfId="43511"/>
    <cellStyle name="Note 2 2 2 18" xfId="29184"/>
    <cellStyle name="Note 2 2 2 2" xfId="528"/>
    <cellStyle name="Note 2 2 2 2 2" xfId="2279"/>
    <cellStyle name="Note 2 2 2 2 2 2" xfId="5166"/>
    <cellStyle name="Note 2 2 2 2 2 2 2" xfId="11207"/>
    <cellStyle name="Note 2 2 2 2 2 2 2 2" xfId="28254"/>
    <cellStyle name="Note 2 2 2 2 2 2 2 2 2" xfId="57115"/>
    <cellStyle name="Note 2 2 2 2 2 2 2 3" xfId="40068"/>
    <cellStyle name="Note 2 2 2 2 2 2 3" xfId="22276"/>
    <cellStyle name="Note 2 2 2 2 2 2 3 2" xfId="51137"/>
    <cellStyle name="Note 2 2 2 2 2 2 4" xfId="34027"/>
    <cellStyle name="Note 2 2 2 2 2 3" xfId="8321"/>
    <cellStyle name="Note 2 2 2 2 2 3 2" xfId="25368"/>
    <cellStyle name="Note 2 2 2 2 2 3 2 2" xfId="54229"/>
    <cellStyle name="Note 2 2 2 2 2 3 3" xfId="37182"/>
    <cellStyle name="Note 2 2 2 2 2 4" xfId="6074"/>
    <cellStyle name="Note 2 2 2 2 2 4 2" xfId="19596"/>
    <cellStyle name="Note 2 2 2 2 2 4 2 2" xfId="48457"/>
    <cellStyle name="Note 2 2 2 2 2 4 3" xfId="34935"/>
    <cellStyle name="Note 2 2 2 2 2 5" xfId="16916"/>
    <cellStyle name="Note 2 2 2 2 2 5 2" xfId="45777"/>
    <cellStyle name="Note 2 2 2 2 2 6" xfId="31141"/>
    <cellStyle name="Note 2 2 2 2 3" xfId="3415"/>
    <cellStyle name="Note 2 2 2 2 3 2" xfId="9456"/>
    <cellStyle name="Note 2 2 2 2 3 2 2" xfId="26503"/>
    <cellStyle name="Note 2 2 2 2 3 2 2 2" xfId="55364"/>
    <cellStyle name="Note 2 2 2 2 3 2 3" xfId="38317"/>
    <cellStyle name="Note 2 2 2 2 3 3" xfId="20525"/>
    <cellStyle name="Note 2 2 2 2 3 3 2" xfId="49386"/>
    <cellStyle name="Note 2 2 2 2 3 4" xfId="32276"/>
    <cellStyle name="Note 2 2 2 2 4" xfId="6570"/>
    <cellStyle name="Note 2 2 2 2 4 2" xfId="23617"/>
    <cellStyle name="Note 2 2 2 2 4 2 2" xfId="52478"/>
    <cellStyle name="Note 2 2 2 2 4 3" xfId="35431"/>
    <cellStyle name="Note 2 2 2 2 5" xfId="13762"/>
    <cellStyle name="Note 2 2 2 2 5 2" xfId="17845"/>
    <cellStyle name="Note 2 2 2 2 5 2 2" xfId="46706"/>
    <cellStyle name="Note 2 2 2 2 5 3" xfId="42623"/>
    <cellStyle name="Note 2 2 2 2 6" xfId="15165"/>
    <cellStyle name="Note 2 2 2 2 6 2" xfId="44026"/>
    <cellStyle name="Note 2 2 2 2 7" xfId="29390"/>
    <cellStyle name="Note 2 2 2 3" xfId="837"/>
    <cellStyle name="Note 2 2 2 3 2" xfId="3724"/>
    <cellStyle name="Note 2 2 2 3 2 2" xfId="9765"/>
    <cellStyle name="Note 2 2 2 3 2 2 2" xfId="26812"/>
    <cellStyle name="Note 2 2 2 3 2 2 2 2" xfId="55673"/>
    <cellStyle name="Note 2 2 2 3 2 2 3" xfId="38626"/>
    <cellStyle name="Note 2 2 2 3 2 3" xfId="20834"/>
    <cellStyle name="Note 2 2 2 3 2 3 2" xfId="49695"/>
    <cellStyle name="Note 2 2 2 3 2 4" xfId="32585"/>
    <cellStyle name="Note 2 2 2 3 3" xfId="6879"/>
    <cellStyle name="Note 2 2 2 3 3 2" xfId="23926"/>
    <cellStyle name="Note 2 2 2 3 3 2 2" xfId="52787"/>
    <cellStyle name="Note 2 2 2 3 3 3" xfId="35740"/>
    <cellStyle name="Note 2 2 2 3 4" xfId="14472"/>
    <cellStyle name="Note 2 2 2 3 4 2" xfId="18154"/>
    <cellStyle name="Note 2 2 2 3 4 2 2" xfId="47015"/>
    <cellStyle name="Note 2 2 2 3 4 3" xfId="43333"/>
    <cellStyle name="Note 2 2 2 3 5" xfId="15474"/>
    <cellStyle name="Note 2 2 2 3 5 2" xfId="44335"/>
    <cellStyle name="Note 2 2 2 3 6" xfId="29699"/>
    <cellStyle name="Note 2 2 2 4" xfId="1043"/>
    <cellStyle name="Note 2 2 2 4 2" xfId="3930"/>
    <cellStyle name="Note 2 2 2 4 2 2" xfId="9971"/>
    <cellStyle name="Note 2 2 2 4 2 2 2" xfId="27018"/>
    <cellStyle name="Note 2 2 2 4 2 2 2 2" xfId="55879"/>
    <cellStyle name="Note 2 2 2 4 2 2 3" xfId="38832"/>
    <cellStyle name="Note 2 2 2 4 2 3" xfId="21040"/>
    <cellStyle name="Note 2 2 2 4 2 3 2" xfId="49901"/>
    <cellStyle name="Note 2 2 2 4 2 4" xfId="32791"/>
    <cellStyle name="Note 2 2 2 4 3" xfId="7085"/>
    <cellStyle name="Note 2 2 2 4 3 2" xfId="24132"/>
    <cellStyle name="Note 2 2 2 4 3 2 2" xfId="52993"/>
    <cellStyle name="Note 2 2 2 4 3 3" xfId="35946"/>
    <cellStyle name="Note 2 2 2 4 4" xfId="12202"/>
    <cellStyle name="Note 2 2 2 4 4 2" xfId="18360"/>
    <cellStyle name="Note 2 2 2 4 4 2 2" xfId="47221"/>
    <cellStyle name="Note 2 2 2 4 4 3" xfId="41063"/>
    <cellStyle name="Note 2 2 2 4 5" xfId="15680"/>
    <cellStyle name="Note 2 2 2 4 5 2" xfId="44541"/>
    <cellStyle name="Note 2 2 2 4 6" xfId="29905"/>
    <cellStyle name="Note 2 2 2 5" xfId="1249"/>
    <cellStyle name="Note 2 2 2 5 2" xfId="4136"/>
    <cellStyle name="Note 2 2 2 5 2 2" xfId="10177"/>
    <cellStyle name="Note 2 2 2 5 2 2 2" xfId="27224"/>
    <cellStyle name="Note 2 2 2 5 2 2 2 2" xfId="56085"/>
    <cellStyle name="Note 2 2 2 5 2 2 3" xfId="39038"/>
    <cellStyle name="Note 2 2 2 5 2 3" xfId="21246"/>
    <cellStyle name="Note 2 2 2 5 2 3 2" xfId="50107"/>
    <cellStyle name="Note 2 2 2 5 2 4" xfId="32997"/>
    <cellStyle name="Note 2 2 2 5 3" xfId="7291"/>
    <cellStyle name="Note 2 2 2 5 3 2" xfId="24338"/>
    <cellStyle name="Note 2 2 2 5 3 2 2" xfId="53199"/>
    <cellStyle name="Note 2 2 2 5 3 3" xfId="36152"/>
    <cellStyle name="Note 2 2 2 5 4" xfId="12404"/>
    <cellStyle name="Note 2 2 2 5 4 2" xfId="18566"/>
    <cellStyle name="Note 2 2 2 5 4 2 2" xfId="47427"/>
    <cellStyle name="Note 2 2 2 5 4 3" xfId="41265"/>
    <cellStyle name="Note 2 2 2 5 5" xfId="15886"/>
    <cellStyle name="Note 2 2 2 5 5 2" xfId="44747"/>
    <cellStyle name="Note 2 2 2 5 6" xfId="30111"/>
    <cellStyle name="Note 2 2 2 6" xfId="1455"/>
    <cellStyle name="Note 2 2 2 6 2" xfId="4342"/>
    <cellStyle name="Note 2 2 2 6 2 2" xfId="10383"/>
    <cellStyle name="Note 2 2 2 6 2 2 2" xfId="27430"/>
    <cellStyle name="Note 2 2 2 6 2 2 2 2" xfId="56291"/>
    <cellStyle name="Note 2 2 2 6 2 2 3" xfId="39244"/>
    <cellStyle name="Note 2 2 2 6 2 3" xfId="21452"/>
    <cellStyle name="Note 2 2 2 6 2 3 2" xfId="50313"/>
    <cellStyle name="Note 2 2 2 6 2 4" xfId="33203"/>
    <cellStyle name="Note 2 2 2 6 3" xfId="7497"/>
    <cellStyle name="Note 2 2 2 6 3 2" xfId="24544"/>
    <cellStyle name="Note 2 2 2 6 3 2 2" xfId="53405"/>
    <cellStyle name="Note 2 2 2 6 3 3" xfId="36358"/>
    <cellStyle name="Note 2 2 2 6 4" xfId="14256"/>
    <cellStyle name="Note 2 2 2 6 4 2" xfId="18772"/>
    <cellStyle name="Note 2 2 2 6 4 2 2" xfId="47633"/>
    <cellStyle name="Note 2 2 2 6 4 3" xfId="43117"/>
    <cellStyle name="Note 2 2 2 6 5" xfId="16092"/>
    <cellStyle name="Note 2 2 2 6 5 2" xfId="44953"/>
    <cellStyle name="Note 2 2 2 6 6" xfId="30317"/>
    <cellStyle name="Note 2 2 2 7" xfId="1661"/>
    <cellStyle name="Note 2 2 2 7 2" xfId="4548"/>
    <cellStyle name="Note 2 2 2 7 2 2" xfId="10589"/>
    <cellStyle name="Note 2 2 2 7 2 2 2" xfId="27636"/>
    <cellStyle name="Note 2 2 2 7 2 2 2 2" xfId="56497"/>
    <cellStyle name="Note 2 2 2 7 2 2 3" xfId="39450"/>
    <cellStyle name="Note 2 2 2 7 2 3" xfId="21658"/>
    <cellStyle name="Note 2 2 2 7 2 3 2" xfId="50519"/>
    <cellStyle name="Note 2 2 2 7 2 4" xfId="33409"/>
    <cellStyle name="Note 2 2 2 7 3" xfId="7703"/>
    <cellStyle name="Note 2 2 2 7 3 2" xfId="24750"/>
    <cellStyle name="Note 2 2 2 7 3 2 2" xfId="53611"/>
    <cellStyle name="Note 2 2 2 7 3 3" xfId="36564"/>
    <cellStyle name="Note 2 2 2 7 4" xfId="11968"/>
    <cellStyle name="Note 2 2 2 7 4 2" xfId="18978"/>
    <cellStyle name="Note 2 2 2 7 4 2 2" xfId="47839"/>
    <cellStyle name="Note 2 2 2 7 4 3" xfId="40829"/>
    <cellStyle name="Note 2 2 2 7 5" xfId="16298"/>
    <cellStyle name="Note 2 2 2 7 5 2" xfId="45159"/>
    <cellStyle name="Note 2 2 2 7 6" xfId="30523"/>
    <cellStyle name="Note 2 2 2 8" xfId="1867"/>
    <cellStyle name="Note 2 2 2 8 2" xfId="4754"/>
    <cellStyle name="Note 2 2 2 8 2 2" xfId="10795"/>
    <cellStyle name="Note 2 2 2 8 2 2 2" xfId="27842"/>
    <cellStyle name="Note 2 2 2 8 2 2 2 2" xfId="56703"/>
    <cellStyle name="Note 2 2 2 8 2 2 3" xfId="39656"/>
    <cellStyle name="Note 2 2 2 8 2 3" xfId="21864"/>
    <cellStyle name="Note 2 2 2 8 2 3 2" xfId="50725"/>
    <cellStyle name="Note 2 2 2 8 2 4" xfId="33615"/>
    <cellStyle name="Note 2 2 2 8 3" xfId="7909"/>
    <cellStyle name="Note 2 2 2 8 3 2" xfId="24956"/>
    <cellStyle name="Note 2 2 2 8 3 2 2" xfId="53817"/>
    <cellStyle name="Note 2 2 2 8 3 3" xfId="36770"/>
    <cellStyle name="Note 2 2 2 8 4" xfId="12714"/>
    <cellStyle name="Note 2 2 2 8 4 2" xfId="19184"/>
    <cellStyle name="Note 2 2 2 8 4 2 2" xfId="48045"/>
    <cellStyle name="Note 2 2 2 8 4 3" xfId="41575"/>
    <cellStyle name="Note 2 2 2 8 5" xfId="16504"/>
    <cellStyle name="Note 2 2 2 8 5 2" xfId="45365"/>
    <cellStyle name="Note 2 2 2 8 6" xfId="30729"/>
    <cellStyle name="Note 2 2 2 9" xfId="2073"/>
    <cellStyle name="Note 2 2 2 9 2" xfId="4960"/>
    <cellStyle name="Note 2 2 2 9 2 2" xfId="11001"/>
    <cellStyle name="Note 2 2 2 9 2 2 2" xfId="28048"/>
    <cellStyle name="Note 2 2 2 9 2 2 2 2" xfId="56909"/>
    <cellStyle name="Note 2 2 2 9 2 2 3" xfId="39862"/>
    <cellStyle name="Note 2 2 2 9 2 3" xfId="22070"/>
    <cellStyle name="Note 2 2 2 9 2 3 2" xfId="50931"/>
    <cellStyle name="Note 2 2 2 9 2 4" xfId="33821"/>
    <cellStyle name="Note 2 2 2 9 3" xfId="8115"/>
    <cellStyle name="Note 2 2 2 9 3 2" xfId="25162"/>
    <cellStyle name="Note 2 2 2 9 3 2 2" xfId="54023"/>
    <cellStyle name="Note 2 2 2 9 3 3" xfId="36976"/>
    <cellStyle name="Note 2 2 2 9 4" xfId="12355"/>
    <cellStyle name="Note 2 2 2 9 4 2" xfId="19390"/>
    <cellStyle name="Note 2 2 2 9 4 2 2" xfId="48251"/>
    <cellStyle name="Note 2 2 2 9 4 3" xfId="41216"/>
    <cellStyle name="Note 2 2 2 9 5" xfId="16710"/>
    <cellStyle name="Note 2 2 2 9 5 2" xfId="45571"/>
    <cellStyle name="Note 2 2 2 9 6" xfId="30935"/>
    <cellStyle name="Note 2 2 20" xfId="28978"/>
    <cellStyle name="Note 2 2 3" xfId="219"/>
    <cellStyle name="Note 2 2 3 2" xfId="631"/>
    <cellStyle name="Note 2 2 3 2 2" xfId="3518"/>
    <cellStyle name="Note 2 2 3 2 2 2" xfId="9559"/>
    <cellStyle name="Note 2 2 3 2 2 2 2" xfId="26606"/>
    <cellStyle name="Note 2 2 3 2 2 2 2 2" xfId="55467"/>
    <cellStyle name="Note 2 2 3 2 2 2 3" xfId="38420"/>
    <cellStyle name="Note 2 2 3 2 2 3" xfId="20628"/>
    <cellStyle name="Note 2 2 3 2 2 3 2" xfId="49489"/>
    <cellStyle name="Note 2 2 3 2 2 4" xfId="32379"/>
    <cellStyle name="Note 2 2 3 2 3" xfId="6673"/>
    <cellStyle name="Note 2 2 3 2 3 2" xfId="23720"/>
    <cellStyle name="Note 2 2 3 2 3 2 2" xfId="52581"/>
    <cellStyle name="Note 2 2 3 2 3 3" xfId="35534"/>
    <cellStyle name="Note 2 2 3 2 4" xfId="14069"/>
    <cellStyle name="Note 2 2 3 2 4 2" xfId="17948"/>
    <cellStyle name="Note 2 2 3 2 4 2 2" xfId="46809"/>
    <cellStyle name="Note 2 2 3 2 4 3" xfId="42930"/>
    <cellStyle name="Note 2 2 3 2 5" xfId="15268"/>
    <cellStyle name="Note 2 2 3 2 5 2" xfId="44129"/>
    <cellStyle name="Note 2 2 3 2 6" xfId="29493"/>
    <cellStyle name="Note 2 2 3 3" xfId="2176"/>
    <cellStyle name="Note 2 2 3 3 2" xfId="5063"/>
    <cellStyle name="Note 2 2 3 3 2 2" xfId="11104"/>
    <cellStyle name="Note 2 2 3 3 2 2 2" xfId="28151"/>
    <cellStyle name="Note 2 2 3 3 2 2 2 2" xfId="57012"/>
    <cellStyle name="Note 2 2 3 3 2 2 3" xfId="39965"/>
    <cellStyle name="Note 2 2 3 3 2 3" xfId="22173"/>
    <cellStyle name="Note 2 2 3 3 2 3 2" xfId="51034"/>
    <cellStyle name="Note 2 2 3 3 2 4" xfId="33924"/>
    <cellStyle name="Note 2 2 3 3 3" xfId="8218"/>
    <cellStyle name="Note 2 2 3 3 3 2" xfId="25265"/>
    <cellStyle name="Note 2 2 3 3 3 2 2" xfId="54126"/>
    <cellStyle name="Note 2 2 3 3 3 3" xfId="37079"/>
    <cellStyle name="Note 2 2 3 3 4" xfId="11947"/>
    <cellStyle name="Note 2 2 3 3 4 2" xfId="19493"/>
    <cellStyle name="Note 2 2 3 3 4 2 2" xfId="48354"/>
    <cellStyle name="Note 2 2 3 3 4 3" xfId="40808"/>
    <cellStyle name="Note 2 2 3 3 5" xfId="16813"/>
    <cellStyle name="Note 2 2 3 3 5 2" xfId="45674"/>
    <cellStyle name="Note 2 2 3 3 6" xfId="31038"/>
    <cellStyle name="Note 2 2 3 4" xfId="3106"/>
    <cellStyle name="Note 2 2 3 4 2" xfId="9147"/>
    <cellStyle name="Note 2 2 3 4 2 2" xfId="26194"/>
    <cellStyle name="Note 2 2 3 4 2 2 2" xfId="55055"/>
    <cellStyle name="Note 2 2 3 4 2 3" xfId="38008"/>
    <cellStyle name="Note 2 2 3 4 3" xfId="20216"/>
    <cellStyle name="Note 2 2 3 4 3 2" xfId="49077"/>
    <cellStyle name="Note 2 2 3 4 4" xfId="31967"/>
    <cellStyle name="Note 2 2 3 5" xfId="6261"/>
    <cellStyle name="Note 2 2 3 5 2" xfId="23308"/>
    <cellStyle name="Note 2 2 3 5 2 2" xfId="52169"/>
    <cellStyle name="Note 2 2 3 5 3" xfId="35122"/>
    <cellStyle name="Note 2 2 3 6" xfId="12774"/>
    <cellStyle name="Note 2 2 3 6 2" xfId="17639"/>
    <cellStyle name="Note 2 2 3 6 2 2" xfId="46500"/>
    <cellStyle name="Note 2 2 3 6 3" xfId="41635"/>
    <cellStyle name="Note 2 2 3 7" xfId="14856"/>
    <cellStyle name="Note 2 2 3 7 2" xfId="43717"/>
    <cellStyle name="Note 2 2 3 8" xfId="29081"/>
    <cellStyle name="Note 2 2 4" xfId="425"/>
    <cellStyle name="Note 2 2 4 2" xfId="3312"/>
    <cellStyle name="Note 2 2 4 2 2" xfId="9353"/>
    <cellStyle name="Note 2 2 4 2 2 2" xfId="26400"/>
    <cellStyle name="Note 2 2 4 2 2 2 2" xfId="55261"/>
    <cellStyle name="Note 2 2 4 2 2 3" xfId="38214"/>
    <cellStyle name="Note 2 2 4 2 3" xfId="20422"/>
    <cellStyle name="Note 2 2 4 2 3 2" xfId="49283"/>
    <cellStyle name="Note 2 2 4 2 4" xfId="32173"/>
    <cellStyle name="Note 2 2 4 3" xfId="6467"/>
    <cellStyle name="Note 2 2 4 3 2" xfId="23514"/>
    <cellStyle name="Note 2 2 4 3 2 2" xfId="52375"/>
    <cellStyle name="Note 2 2 4 3 3" xfId="35328"/>
    <cellStyle name="Note 2 2 4 4" xfId="12191"/>
    <cellStyle name="Note 2 2 4 4 2" xfId="17742"/>
    <cellStyle name="Note 2 2 4 4 2 2" xfId="46603"/>
    <cellStyle name="Note 2 2 4 4 3" xfId="41052"/>
    <cellStyle name="Note 2 2 4 5" xfId="15062"/>
    <cellStyle name="Note 2 2 4 5 2" xfId="43923"/>
    <cellStyle name="Note 2 2 4 6" xfId="29287"/>
    <cellStyle name="Note 2 2 5" xfId="734"/>
    <cellStyle name="Note 2 2 5 2" xfId="3621"/>
    <cellStyle name="Note 2 2 5 2 2" xfId="9662"/>
    <cellStyle name="Note 2 2 5 2 2 2" xfId="26709"/>
    <cellStyle name="Note 2 2 5 2 2 2 2" xfId="55570"/>
    <cellStyle name="Note 2 2 5 2 2 3" xfId="38523"/>
    <cellStyle name="Note 2 2 5 2 3" xfId="20731"/>
    <cellStyle name="Note 2 2 5 2 3 2" xfId="49592"/>
    <cellStyle name="Note 2 2 5 2 4" xfId="32482"/>
    <cellStyle name="Note 2 2 5 3" xfId="6776"/>
    <cellStyle name="Note 2 2 5 3 2" xfId="23823"/>
    <cellStyle name="Note 2 2 5 3 2 2" xfId="52684"/>
    <cellStyle name="Note 2 2 5 3 3" xfId="35637"/>
    <cellStyle name="Note 2 2 5 4" xfId="14056"/>
    <cellStyle name="Note 2 2 5 4 2" xfId="18051"/>
    <cellStyle name="Note 2 2 5 4 2 2" xfId="46912"/>
    <cellStyle name="Note 2 2 5 4 3" xfId="42917"/>
    <cellStyle name="Note 2 2 5 5" xfId="15371"/>
    <cellStyle name="Note 2 2 5 5 2" xfId="44232"/>
    <cellStyle name="Note 2 2 5 6" xfId="29596"/>
    <cellStyle name="Note 2 2 6" xfId="940"/>
    <cellStyle name="Note 2 2 6 2" xfId="3827"/>
    <cellStyle name="Note 2 2 6 2 2" xfId="9868"/>
    <cellStyle name="Note 2 2 6 2 2 2" xfId="26915"/>
    <cellStyle name="Note 2 2 6 2 2 2 2" xfId="55776"/>
    <cellStyle name="Note 2 2 6 2 2 3" xfId="38729"/>
    <cellStyle name="Note 2 2 6 2 3" xfId="20937"/>
    <cellStyle name="Note 2 2 6 2 3 2" xfId="49798"/>
    <cellStyle name="Note 2 2 6 2 4" xfId="32688"/>
    <cellStyle name="Note 2 2 6 3" xfId="6982"/>
    <cellStyle name="Note 2 2 6 3 2" xfId="24029"/>
    <cellStyle name="Note 2 2 6 3 2 2" xfId="52890"/>
    <cellStyle name="Note 2 2 6 3 3" xfId="35843"/>
    <cellStyle name="Note 2 2 6 4" xfId="13152"/>
    <cellStyle name="Note 2 2 6 4 2" xfId="18257"/>
    <cellStyle name="Note 2 2 6 4 2 2" xfId="47118"/>
    <cellStyle name="Note 2 2 6 4 3" xfId="42013"/>
    <cellStyle name="Note 2 2 6 5" xfId="15577"/>
    <cellStyle name="Note 2 2 6 5 2" xfId="44438"/>
    <cellStyle name="Note 2 2 6 6" xfId="29802"/>
    <cellStyle name="Note 2 2 7" xfId="1146"/>
    <cellStyle name="Note 2 2 7 2" xfId="4033"/>
    <cellStyle name="Note 2 2 7 2 2" xfId="10074"/>
    <cellStyle name="Note 2 2 7 2 2 2" xfId="27121"/>
    <cellStyle name="Note 2 2 7 2 2 2 2" xfId="55982"/>
    <cellStyle name="Note 2 2 7 2 2 3" xfId="38935"/>
    <cellStyle name="Note 2 2 7 2 3" xfId="21143"/>
    <cellStyle name="Note 2 2 7 2 3 2" xfId="50004"/>
    <cellStyle name="Note 2 2 7 2 4" xfId="32894"/>
    <cellStyle name="Note 2 2 7 3" xfId="7188"/>
    <cellStyle name="Note 2 2 7 3 2" xfId="24235"/>
    <cellStyle name="Note 2 2 7 3 2 2" xfId="53096"/>
    <cellStyle name="Note 2 2 7 3 3" xfId="36049"/>
    <cellStyle name="Note 2 2 7 4" xfId="14040"/>
    <cellStyle name="Note 2 2 7 4 2" xfId="18463"/>
    <cellStyle name="Note 2 2 7 4 2 2" xfId="47324"/>
    <cellStyle name="Note 2 2 7 4 3" xfId="42901"/>
    <cellStyle name="Note 2 2 7 5" xfId="15783"/>
    <cellStyle name="Note 2 2 7 5 2" xfId="44644"/>
    <cellStyle name="Note 2 2 7 6" xfId="30008"/>
    <cellStyle name="Note 2 2 8" xfId="1352"/>
    <cellStyle name="Note 2 2 8 2" xfId="4239"/>
    <cellStyle name="Note 2 2 8 2 2" xfId="10280"/>
    <cellStyle name="Note 2 2 8 2 2 2" xfId="27327"/>
    <cellStyle name="Note 2 2 8 2 2 2 2" xfId="56188"/>
    <cellStyle name="Note 2 2 8 2 2 3" xfId="39141"/>
    <cellStyle name="Note 2 2 8 2 3" xfId="21349"/>
    <cellStyle name="Note 2 2 8 2 3 2" xfId="50210"/>
    <cellStyle name="Note 2 2 8 2 4" xfId="33100"/>
    <cellStyle name="Note 2 2 8 3" xfId="7394"/>
    <cellStyle name="Note 2 2 8 3 2" xfId="24441"/>
    <cellStyle name="Note 2 2 8 3 2 2" xfId="53302"/>
    <cellStyle name="Note 2 2 8 3 3" xfId="36255"/>
    <cellStyle name="Note 2 2 8 4" xfId="13381"/>
    <cellStyle name="Note 2 2 8 4 2" xfId="18669"/>
    <cellStyle name="Note 2 2 8 4 2 2" xfId="47530"/>
    <cellStyle name="Note 2 2 8 4 3" xfId="42242"/>
    <cellStyle name="Note 2 2 8 5" xfId="15989"/>
    <cellStyle name="Note 2 2 8 5 2" xfId="44850"/>
    <cellStyle name="Note 2 2 8 6" xfId="30214"/>
    <cellStyle name="Note 2 2 9" xfId="1558"/>
    <cellStyle name="Note 2 2 9 2" xfId="4445"/>
    <cellStyle name="Note 2 2 9 2 2" xfId="10486"/>
    <cellStyle name="Note 2 2 9 2 2 2" xfId="27533"/>
    <cellStyle name="Note 2 2 9 2 2 2 2" xfId="56394"/>
    <cellStyle name="Note 2 2 9 2 2 3" xfId="39347"/>
    <cellStyle name="Note 2 2 9 2 3" xfId="21555"/>
    <cellStyle name="Note 2 2 9 2 3 2" xfId="50416"/>
    <cellStyle name="Note 2 2 9 2 4" xfId="33306"/>
    <cellStyle name="Note 2 2 9 3" xfId="7600"/>
    <cellStyle name="Note 2 2 9 3 2" xfId="24647"/>
    <cellStyle name="Note 2 2 9 3 2 2" xfId="53508"/>
    <cellStyle name="Note 2 2 9 3 3" xfId="36461"/>
    <cellStyle name="Note 2 2 9 4" xfId="12794"/>
    <cellStyle name="Note 2 2 9 4 2" xfId="18875"/>
    <cellStyle name="Note 2 2 9 4 2 2" xfId="47736"/>
    <cellStyle name="Note 2 2 9 4 3" xfId="41655"/>
    <cellStyle name="Note 2 2 9 5" xfId="16195"/>
    <cellStyle name="Note 2 2 9 5 2" xfId="45056"/>
    <cellStyle name="Note 2 2 9 6" xfId="30420"/>
    <cellStyle name="Note 2 20" xfId="6132"/>
    <cellStyle name="Note 2 20 2" xfId="23179"/>
    <cellStyle name="Note 2 20 2 2" xfId="52040"/>
    <cellStyle name="Note 2 20 3" xfId="34993"/>
    <cellStyle name="Note 2 21" xfId="14521"/>
    <cellStyle name="Note 2 21 2" xfId="43382"/>
    <cellStyle name="Note 2 22" xfId="28952"/>
    <cellStyle name="Note 2 3" xfId="142"/>
    <cellStyle name="Note 2 3 10" xfId="1790"/>
    <cellStyle name="Note 2 3 10 2" xfId="4677"/>
    <cellStyle name="Note 2 3 10 2 2" xfId="10718"/>
    <cellStyle name="Note 2 3 10 2 2 2" xfId="27765"/>
    <cellStyle name="Note 2 3 10 2 2 2 2" xfId="56626"/>
    <cellStyle name="Note 2 3 10 2 2 3" xfId="39579"/>
    <cellStyle name="Note 2 3 10 2 3" xfId="21787"/>
    <cellStyle name="Note 2 3 10 2 3 2" xfId="50648"/>
    <cellStyle name="Note 2 3 10 2 4" xfId="33538"/>
    <cellStyle name="Note 2 3 10 3" xfId="7832"/>
    <cellStyle name="Note 2 3 10 3 2" xfId="24879"/>
    <cellStyle name="Note 2 3 10 3 2 2" xfId="53740"/>
    <cellStyle name="Note 2 3 10 3 3" xfId="36693"/>
    <cellStyle name="Note 2 3 10 4" xfId="12973"/>
    <cellStyle name="Note 2 3 10 4 2" xfId="19107"/>
    <cellStyle name="Note 2 3 10 4 2 2" xfId="47968"/>
    <cellStyle name="Note 2 3 10 4 3" xfId="41834"/>
    <cellStyle name="Note 2 3 10 5" xfId="16427"/>
    <cellStyle name="Note 2 3 10 5 2" xfId="45288"/>
    <cellStyle name="Note 2 3 10 6" xfId="30652"/>
    <cellStyle name="Note 2 3 11" xfId="1996"/>
    <cellStyle name="Note 2 3 11 2" xfId="4883"/>
    <cellStyle name="Note 2 3 11 2 2" xfId="10924"/>
    <cellStyle name="Note 2 3 11 2 2 2" xfId="27971"/>
    <cellStyle name="Note 2 3 11 2 2 2 2" xfId="56832"/>
    <cellStyle name="Note 2 3 11 2 2 3" xfId="39785"/>
    <cellStyle name="Note 2 3 11 2 3" xfId="21993"/>
    <cellStyle name="Note 2 3 11 2 3 2" xfId="50854"/>
    <cellStyle name="Note 2 3 11 2 4" xfId="33744"/>
    <cellStyle name="Note 2 3 11 3" xfId="8038"/>
    <cellStyle name="Note 2 3 11 3 2" xfId="25085"/>
    <cellStyle name="Note 2 3 11 3 2 2" xfId="53946"/>
    <cellStyle name="Note 2 3 11 3 3" xfId="36899"/>
    <cellStyle name="Note 2 3 11 4" xfId="13910"/>
    <cellStyle name="Note 2 3 11 4 2" xfId="19313"/>
    <cellStyle name="Note 2 3 11 4 2 2" xfId="48174"/>
    <cellStyle name="Note 2 3 11 4 3" xfId="42771"/>
    <cellStyle name="Note 2 3 11 5" xfId="16633"/>
    <cellStyle name="Note 2 3 11 5 2" xfId="45494"/>
    <cellStyle name="Note 2 3 11 6" xfId="30858"/>
    <cellStyle name="Note 2 3 12" xfId="2408"/>
    <cellStyle name="Note 2 3 12 2" xfId="5295"/>
    <cellStyle name="Note 2 3 12 2 2" xfId="11336"/>
    <cellStyle name="Note 2 3 12 2 2 2" xfId="28383"/>
    <cellStyle name="Note 2 3 12 2 2 2 2" xfId="57244"/>
    <cellStyle name="Note 2 3 12 2 2 3" xfId="40197"/>
    <cellStyle name="Note 2 3 12 2 3" xfId="22405"/>
    <cellStyle name="Note 2 3 12 2 3 2" xfId="51266"/>
    <cellStyle name="Note 2 3 12 2 4" xfId="34156"/>
    <cellStyle name="Note 2 3 12 3" xfId="8450"/>
    <cellStyle name="Note 2 3 12 3 2" xfId="25497"/>
    <cellStyle name="Note 2 3 12 3 2 2" xfId="54358"/>
    <cellStyle name="Note 2 3 12 3 3" xfId="37311"/>
    <cellStyle name="Note 2 3 12 4" xfId="13547"/>
    <cellStyle name="Note 2 3 12 4 2" xfId="19725"/>
    <cellStyle name="Note 2 3 12 4 2 2" xfId="48586"/>
    <cellStyle name="Note 2 3 12 4 3" xfId="42408"/>
    <cellStyle name="Note 2 3 12 5" xfId="17045"/>
    <cellStyle name="Note 2 3 12 5 2" xfId="45906"/>
    <cellStyle name="Note 2 3 12 6" xfId="31270"/>
    <cellStyle name="Note 2 3 13" xfId="2617"/>
    <cellStyle name="Note 2 3 13 2" xfId="5503"/>
    <cellStyle name="Note 2 3 13 2 2" xfId="11544"/>
    <cellStyle name="Note 2 3 13 2 2 2" xfId="28591"/>
    <cellStyle name="Note 2 3 13 2 2 2 2" xfId="57452"/>
    <cellStyle name="Note 2 3 13 2 2 3" xfId="40405"/>
    <cellStyle name="Note 2 3 13 2 3" xfId="22613"/>
    <cellStyle name="Note 2 3 13 2 3 2" xfId="51474"/>
    <cellStyle name="Note 2 3 13 2 4" xfId="34364"/>
    <cellStyle name="Note 2 3 13 3" xfId="8658"/>
    <cellStyle name="Note 2 3 13 3 2" xfId="25705"/>
    <cellStyle name="Note 2 3 13 3 2 2" xfId="54566"/>
    <cellStyle name="Note 2 3 13 3 3" xfId="37519"/>
    <cellStyle name="Note 2 3 13 4" xfId="13466"/>
    <cellStyle name="Note 2 3 13 4 2" xfId="19933"/>
    <cellStyle name="Note 2 3 13 4 2 2" xfId="48794"/>
    <cellStyle name="Note 2 3 13 4 3" xfId="42327"/>
    <cellStyle name="Note 2 3 13 5" xfId="17253"/>
    <cellStyle name="Note 2 3 13 5 2" xfId="46114"/>
    <cellStyle name="Note 2 3 13 6" xfId="31478"/>
    <cellStyle name="Note 2 3 14" xfId="3029"/>
    <cellStyle name="Note 2 3 14 2" xfId="9070"/>
    <cellStyle name="Note 2 3 14 2 2" xfId="26117"/>
    <cellStyle name="Note 2 3 14 2 2 2" xfId="54978"/>
    <cellStyle name="Note 2 3 14 2 3" xfId="37931"/>
    <cellStyle name="Note 2 3 14 3" xfId="13001"/>
    <cellStyle name="Note 2 3 14 3 2" xfId="20139"/>
    <cellStyle name="Note 2 3 14 3 2 2" xfId="49000"/>
    <cellStyle name="Note 2 3 14 3 3" xfId="41862"/>
    <cellStyle name="Note 2 3 14 4" xfId="14779"/>
    <cellStyle name="Note 2 3 14 4 2" xfId="43640"/>
    <cellStyle name="Note 2 3 14 5" xfId="31890"/>
    <cellStyle name="Note 2 3 15" xfId="2823"/>
    <cellStyle name="Note 2 3 15 2" xfId="8864"/>
    <cellStyle name="Note 2 3 15 2 2" xfId="25911"/>
    <cellStyle name="Note 2 3 15 2 2 2" xfId="54772"/>
    <cellStyle name="Note 2 3 15 2 3" xfId="37725"/>
    <cellStyle name="Note 2 3 15 3" xfId="17459"/>
    <cellStyle name="Note 2 3 15 3 2" xfId="46320"/>
    <cellStyle name="Note 2 3 15 4" xfId="31684"/>
    <cellStyle name="Note 2 3 16" xfId="5709"/>
    <cellStyle name="Note 2 3 16 2" xfId="11750"/>
    <cellStyle name="Note 2 3 16 2 2" xfId="28797"/>
    <cellStyle name="Note 2 3 16 2 2 2" xfId="57658"/>
    <cellStyle name="Note 2 3 16 2 3" xfId="40611"/>
    <cellStyle name="Note 2 3 16 3" xfId="22819"/>
    <cellStyle name="Note 2 3 16 3 2" xfId="51680"/>
    <cellStyle name="Note 2 3 16 4" xfId="34570"/>
    <cellStyle name="Note 2 3 17" xfId="5926"/>
    <cellStyle name="Note 2 3 17 2" xfId="23025"/>
    <cellStyle name="Note 2 3 17 2 2" xfId="51886"/>
    <cellStyle name="Note 2 3 17 3" xfId="34787"/>
    <cellStyle name="Note 2 3 18" xfId="6184"/>
    <cellStyle name="Note 2 3 18 2" xfId="23231"/>
    <cellStyle name="Note 2 3 18 2 2" xfId="52092"/>
    <cellStyle name="Note 2 3 18 3" xfId="35045"/>
    <cellStyle name="Note 2 3 19" xfId="14573"/>
    <cellStyle name="Note 2 3 19 2" xfId="43434"/>
    <cellStyle name="Note 2 3 2" xfId="348"/>
    <cellStyle name="Note 2 3 2 10" xfId="2511"/>
    <cellStyle name="Note 2 3 2 10 2" xfId="5398"/>
    <cellStyle name="Note 2 3 2 10 2 2" xfId="11439"/>
    <cellStyle name="Note 2 3 2 10 2 2 2" xfId="28486"/>
    <cellStyle name="Note 2 3 2 10 2 2 2 2" xfId="57347"/>
    <cellStyle name="Note 2 3 2 10 2 2 3" xfId="40300"/>
    <cellStyle name="Note 2 3 2 10 2 3" xfId="22508"/>
    <cellStyle name="Note 2 3 2 10 2 3 2" xfId="51369"/>
    <cellStyle name="Note 2 3 2 10 2 4" xfId="34259"/>
    <cellStyle name="Note 2 3 2 10 3" xfId="8553"/>
    <cellStyle name="Note 2 3 2 10 3 2" xfId="25600"/>
    <cellStyle name="Note 2 3 2 10 3 2 2" xfId="54461"/>
    <cellStyle name="Note 2 3 2 10 3 3" xfId="37414"/>
    <cellStyle name="Note 2 3 2 10 4" xfId="11904"/>
    <cellStyle name="Note 2 3 2 10 4 2" xfId="19828"/>
    <cellStyle name="Note 2 3 2 10 4 2 2" xfId="48689"/>
    <cellStyle name="Note 2 3 2 10 4 3" xfId="40765"/>
    <cellStyle name="Note 2 3 2 10 5" xfId="17148"/>
    <cellStyle name="Note 2 3 2 10 5 2" xfId="46009"/>
    <cellStyle name="Note 2 3 2 10 6" xfId="31373"/>
    <cellStyle name="Note 2 3 2 11" xfId="2720"/>
    <cellStyle name="Note 2 3 2 11 2" xfId="5606"/>
    <cellStyle name="Note 2 3 2 11 2 2" xfId="11647"/>
    <cellStyle name="Note 2 3 2 11 2 2 2" xfId="28694"/>
    <cellStyle name="Note 2 3 2 11 2 2 2 2" xfId="57555"/>
    <cellStyle name="Note 2 3 2 11 2 2 3" xfId="40508"/>
    <cellStyle name="Note 2 3 2 11 2 3" xfId="22716"/>
    <cellStyle name="Note 2 3 2 11 2 3 2" xfId="51577"/>
    <cellStyle name="Note 2 3 2 11 2 4" xfId="34467"/>
    <cellStyle name="Note 2 3 2 11 3" xfId="8761"/>
    <cellStyle name="Note 2 3 2 11 3 2" xfId="25808"/>
    <cellStyle name="Note 2 3 2 11 3 2 2" xfId="54669"/>
    <cellStyle name="Note 2 3 2 11 3 3" xfId="37622"/>
    <cellStyle name="Note 2 3 2 11 4" xfId="13966"/>
    <cellStyle name="Note 2 3 2 11 4 2" xfId="20036"/>
    <cellStyle name="Note 2 3 2 11 4 2 2" xfId="48897"/>
    <cellStyle name="Note 2 3 2 11 4 3" xfId="42827"/>
    <cellStyle name="Note 2 3 2 11 5" xfId="17356"/>
    <cellStyle name="Note 2 3 2 11 5 2" xfId="46217"/>
    <cellStyle name="Note 2 3 2 11 6" xfId="31581"/>
    <cellStyle name="Note 2 3 2 12" xfId="3235"/>
    <cellStyle name="Note 2 3 2 12 2" xfId="9276"/>
    <cellStyle name="Note 2 3 2 12 2 2" xfId="26323"/>
    <cellStyle name="Note 2 3 2 12 2 2 2" xfId="55184"/>
    <cellStyle name="Note 2 3 2 12 2 3" xfId="38137"/>
    <cellStyle name="Note 2 3 2 12 3" xfId="11943"/>
    <cellStyle name="Note 2 3 2 12 3 2" xfId="20345"/>
    <cellStyle name="Note 2 3 2 12 3 2 2" xfId="49206"/>
    <cellStyle name="Note 2 3 2 12 3 3" xfId="40804"/>
    <cellStyle name="Note 2 3 2 12 4" xfId="14985"/>
    <cellStyle name="Note 2 3 2 12 4 2" xfId="43846"/>
    <cellStyle name="Note 2 3 2 12 5" xfId="32096"/>
    <cellStyle name="Note 2 3 2 13" xfId="2926"/>
    <cellStyle name="Note 2 3 2 13 2" xfId="8967"/>
    <cellStyle name="Note 2 3 2 13 2 2" xfId="26014"/>
    <cellStyle name="Note 2 3 2 13 2 2 2" xfId="54875"/>
    <cellStyle name="Note 2 3 2 13 2 3" xfId="37828"/>
    <cellStyle name="Note 2 3 2 13 3" xfId="17562"/>
    <cellStyle name="Note 2 3 2 13 3 2" xfId="46423"/>
    <cellStyle name="Note 2 3 2 13 4" xfId="31787"/>
    <cellStyle name="Note 2 3 2 14" xfId="5812"/>
    <cellStyle name="Note 2 3 2 14 2" xfId="11853"/>
    <cellStyle name="Note 2 3 2 14 2 2" xfId="28900"/>
    <cellStyle name="Note 2 3 2 14 2 2 2" xfId="57761"/>
    <cellStyle name="Note 2 3 2 14 2 3" xfId="40714"/>
    <cellStyle name="Note 2 3 2 14 3" xfId="22922"/>
    <cellStyle name="Note 2 3 2 14 3 2" xfId="51783"/>
    <cellStyle name="Note 2 3 2 14 4" xfId="34673"/>
    <cellStyle name="Note 2 3 2 15" xfId="6029"/>
    <cellStyle name="Note 2 3 2 15 2" xfId="23128"/>
    <cellStyle name="Note 2 3 2 15 2 2" xfId="51989"/>
    <cellStyle name="Note 2 3 2 15 3" xfId="34890"/>
    <cellStyle name="Note 2 3 2 16" xfId="6390"/>
    <cellStyle name="Note 2 3 2 16 2" xfId="23437"/>
    <cellStyle name="Note 2 3 2 16 2 2" xfId="52298"/>
    <cellStyle name="Note 2 3 2 16 3" xfId="35251"/>
    <cellStyle name="Note 2 3 2 17" xfId="14676"/>
    <cellStyle name="Note 2 3 2 17 2" xfId="43537"/>
    <cellStyle name="Note 2 3 2 18" xfId="29210"/>
    <cellStyle name="Note 2 3 2 2" xfId="554"/>
    <cellStyle name="Note 2 3 2 2 2" xfId="2305"/>
    <cellStyle name="Note 2 3 2 2 2 2" xfId="5192"/>
    <cellStyle name="Note 2 3 2 2 2 2 2" xfId="11233"/>
    <cellStyle name="Note 2 3 2 2 2 2 2 2" xfId="28280"/>
    <cellStyle name="Note 2 3 2 2 2 2 2 2 2" xfId="57141"/>
    <cellStyle name="Note 2 3 2 2 2 2 2 3" xfId="40094"/>
    <cellStyle name="Note 2 3 2 2 2 2 3" xfId="22302"/>
    <cellStyle name="Note 2 3 2 2 2 2 3 2" xfId="51163"/>
    <cellStyle name="Note 2 3 2 2 2 2 4" xfId="34053"/>
    <cellStyle name="Note 2 3 2 2 2 3" xfId="8347"/>
    <cellStyle name="Note 2 3 2 2 2 3 2" xfId="25394"/>
    <cellStyle name="Note 2 3 2 2 2 3 2 2" xfId="54255"/>
    <cellStyle name="Note 2 3 2 2 2 3 3" xfId="37208"/>
    <cellStyle name="Note 2 3 2 2 2 4" xfId="12440"/>
    <cellStyle name="Note 2 3 2 2 2 4 2" xfId="19622"/>
    <cellStyle name="Note 2 3 2 2 2 4 2 2" xfId="48483"/>
    <cellStyle name="Note 2 3 2 2 2 4 3" xfId="41301"/>
    <cellStyle name="Note 2 3 2 2 2 5" xfId="16942"/>
    <cellStyle name="Note 2 3 2 2 2 5 2" xfId="45803"/>
    <cellStyle name="Note 2 3 2 2 2 6" xfId="31167"/>
    <cellStyle name="Note 2 3 2 2 3" xfId="3441"/>
    <cellStyle name="Note 2 3 2 2 3 2" xfId="9482"/>
    <cellStyle name="Note 2 3 2 2 3 2 2" xfId="26529"/>
    <cellStyle name="Note 2 3 2 2 3 2 2 2" xfId="55390"/>
    <cellStyle name="Note 2 3 2 2 3 2 3" xfId="38343"/>
    <cellStyle name="Note 2 3 2 2 3 3" xfId="20551"/>
    <cellStyle name="Note 2 3 2 2 3 3 2" xfId="49412"/>
    <cellStyle name="Note 2 3 2 2 3 4" xfId="32302"/>
    <cellStyle name="Note 2 3 2 2 4" xfId="6596"/>
    <cellStyle name="Note 2 3 2 2 4 2" xfId="23643"/>
    <cellStyle name="Note 2 3 2 2 4 2 2" xfId="52504"/>
    <cellStyle name="Note 2 3 2 2 4 3" xfId="35457"/>
    <cellStyle name="Note 2 3 2 2 5" xfId="12459"/>
    <cellStyle name="Note 2 3 2 2 5 2" xfId="17871"/>
    <cellStyle name="Note 2 3 2 2 5 2 2" xfId="46732"/>
    <cellStyle name="Note 2 3 2 2 5 3" xfId="41320"/>
    <cellStyle name="Note 2 3 2 2 6" xfId="15191"/>
    <cellStyle name="Note 2 3 2 2 6 2" xfId="44052"/>
    <cellStyle name="Note 2 3 2 2 7" xfId="29416"/>
    <cellStyle name="Note 2 3 2 3" xfId="863"/>
    <cellStyle name="Note 2 3 2 3 2" xfId="3750"/>
    <cellStyle name="Note 2 3 2 3 2 2" xfId="9791"/>
    <cellStyle name="Note 2 3 2 3 2 2 2" xfId="26838"/>
    <cellStyle name="Note 2 3 2 3 2 2 2 2" xfId="55699"/>
    <cellStyle name="Note 2 3 2 3 2 2 3" xfId="38652"/>
    <cellStyle name="Note 2 3 2 3 2 3" xfId="20860"/>
    <cellStyle name="Note 2 3 2 3 2 3 2" xfId="49721"/>
    <cellStyle name="Note 2 3 2 3 2 4" xfId="32611"/>
    <cellStyle name="Note 2 3 2 3 3" xfId="6905"/>
    <cellStyle name="Note 2 3 2 3 3 2" xfId="23952"/>
    <cellStyle name="Note 2 3 2 3 3 2 2" xfId="52813"/>
    <cellStyle name="Note 2 3 2 3 3 3" xfId="35766"/>
    <cellStyle name="Note 2 3 2 3 4" xfId="13166"/>
    <cellStyle name="Note 2 3 2 3 4 2" xfId="18180"/>
    <cellStyle name="Note 2 3 2 3 4 2 2" xfId="47041"/>
    <cellStyle name="Note 2 3 2 3 4 3" xfId="42027"/>
    <cellStyle name="Note 2 3 2 3 5" xfId="15500"/>
    <cellStyle name="Note 2 3 2 3 5 2" xfId="44361"/>
    <cellStyle name="Note 2 3 2 3 6" xfId="29725"/>
    <cellStyle name="Note 2 3 2 4" xfId="1069"/>
    <cellStyle name="Note 2 3 2 4 2" xfId="3956"/>
    <cellStyle name="Note 2 3 2 4 2 2" xfId="9997"/>
    <cellStyle name="Note 2 3 2 4 2 2 2" xfId="27044"/>
    <cellStyle name="Note 2 3 2 4 2 2 2 2" xfId="55905"/>
    <cellStyle name="Note 2 3 2 4 2 2 3" xfId="38858"/>
    <cellStyle name="Note 2 3 2 4 2 3" xfId="21066"/>
    <cellStyle name="Note 2 3 2 4 2 3 2" xfId="49927"/>
    <cellStyle name="Note 2 3 2 4 2 4" xfId="32817"/>
    <cellStyle name="Note 2 3 2 4 3" xfId="7111"/>
    <cellStyle name="Note 2 3 2 4 3 2" xfId="24158"/>
    <cellStyle name="Note 2 3 2 4 3 2 2" xfId="53019"/>
    <cellStyle name="Note 2 3 2 4 3 3" xfId="35972"/>
    <cellStyle name="Note 2 3 2 4 4" xfId="11936"/>
    <cellStyle name="Note 2 3 2 4 4 2" xfId="18386"/>
    <cellStyle name="Note 2 3 2 4 4 2 2" xfId="47247"/>
    <cellStyle name="Note 2 3 2 4 4 3" xfId="40797"/>
    <cellStyle name="Note 2 3 2 4 5" xfId="15706"/>
    <cellStyle name="Note 2 3 2 4 5 2" xfId="44567"/>
    <cellStyle name="Note 2 3 2 4 6" xfId="29931"/>
    <cellStyle name="Note 2 3 2 5" xfId="1275"/>
    <cellStyle name="Note 2 3 2 5 2" xfId="4162"/>
    <cellStyle name="Note 2 3 2 5 2 2" xfId="10203"/>
    <cellStyle name="Note 2 3 2 5 2 2 2" xfId="27250"/>
    <cellStyle name="Note 2 3 2 5 2 2 2 2" xfId="56111"/>
    <cellStyle name="Note 2 3 2 5 2 2 3" xfId="39064"/>
    <cellStyle name="Note 2 3 2 5 2 3" xfId="21272"/>
    <cellStyle name="Note 2 3 2 5 2 3 2" xfId="50133"/>
    <cellStyle name="Note 2 3 2 5 2 4" xfId="33023"/>
    <cellStyle name="Note 2 3 2 5 3" xfId="7317"/>
    <cellStyle name="Note 2 3 2 5 3 2" xfId="24364"/>
    <cellStyle name="Note 2 3 2 5 3 2 2" xfId="53225"/>
    <cellStyle name="Note 2 3 2 5 3 3" xfId="36178"/>
    <cellStyle name="Note 2 3 2 5 4" xfId="13965"/>
    <cellStyle name="Note 2 3 2 5 4 2" xfId="18592"/>
    <cellStyle name="Note 2 3 2 5 4 2 2" xfId="47453"/>
    <cellStyle name="Note 2 3 2 5 4 3" xfId="42826"/>
    <cellStyle name="Note 2 3 2 5 5" xfId="15912"/>
    <cellStyle name="Note 2 3 2 5 5 2" xfId="44773"/>
    <cellStyle name="Note 2 3 2 5 6" xfId="30137"/>
    <cellStyle name="Note 2 3 2 6" xfId="1481"/>
    <cellStyle name="Note 2 3 2 6 2" xfId="4368"/>
    <cellStyle name="Note 2 3 2 6 2 2" xfId="10409"/>
    <cellStyle name="Note 2 3 2 6 2 2 2" xfId="27456"/>
    <cellStyle name="Note 2 3 2 6 2 2 2 2" xfId="56317"/>
    <cellStyle name="Note 2 3 2 6 2 2 3" xfId="39270"/>
    <cellStyle name="Note 2 3 2 6 2 3" xfId="21478"/>
    <cellStyle name="Note 2 3 2 6 2 3 2" xfId="50339"/>
    <cellStyle name="Note 2 3 2 6 2 4" xfId="33229"/>
    <cellStyle name="Note 2 3 2 6 3" xfId="7523"/>
    <cellStyle name="Note 2 3 2 6 3 2" xfId="24570"/>
    <cellStyle name="Note 2 3 2 6 3 2 2" xfId="53431"/>
    <cellStyle name="Note 2 3 2 6 3 3" xfId="36384"/>
    <cellStyle name="Note 2 3 2 6 4" xfId="13442"/>
    <cellStyle name="Note 2 3 2 6 4 2" xfId="18798"/>
    <cellStyle name="Note 2 3 2 6 4 2 2" xfId="47659"/>
    <cellStyle name="Note 2 3 2 6 4 3" xfId="42303"/>
    <cellStyle name="Note 2 3 2 6 5" xfId="16118"/>
    <cellStyle name="Note 2 3 2 6 5 2" xfId="44979"/>
    <cellStyle name="Note 2 3 2 6 6" xfId="30343"/>
    <cellStyle name="Note 2 3 2 7" xfId="1687"/>
    <cellStyle name="Note 2 3 2 7 2" xfId="4574"/>
    <cellStyle name="Note 2 3 2 7 2 2" xfId="10615"/>
    <cellStyle name="Note 2 3 2 7 2 2 2" xfId="27662"/>
    <cellStyle name="Note 2 3 2 7 2 2 2 2" xfId="56523"/>
    <cellStyle name="Note 2 3 2 7 2 2 3" xfId="39476"/>
    <cellStyle name="Note 2 3 2 7 2 3" xfId="21684"/>
    <cellStyle name="Note 2 3 2 7 2 3 2" xfId="50545"/>
    <cellStyle name="Note 2 3 2 7 2 4" xfId="33435"/>
    <cellStyle name="Note 2 3 2 7 3" xfId="7729"/>
    <cellStyle name="Note 2 3 2 7 3 2" xfId="24776"/>
    <cellStyle name="Note 2 3 2 7 3 2 2" xfId="53637"/>
    <cellStyle name="Note 2 3 2 7 3 3" xfId="36590"/>
    <cellStyle name="Note 2 3 2 7 4" xfId="13397"/>
    <cellStyle name="Note 2 3 2 7 4 2" xfId="19004"/>
    <cellStyle name="Note 2 3 2 7 4 2 2" xfId="47865"/>
    <cellStyle name="Note 2 3 2 7 4 3" xfId="42258"/>
    <cellStyle name="Note 2 3 2 7 5" xfId="16324"/>
    <cellStyle name="Note 2 3 2 7 5 2" xfId="45185"/>
    <cellStyle name="Note 2 3 2 7 6" xfId="30549"/>
    <cellStyle name="Note 2 3 2 8" xfId="1893"/>
    <cellStyle name="Note 2 3 2 8 2" xfId="4780"/>
    <cellStyle name="Note 2 3 2 8 2 2" xfId="10821"/>
    <cellStyle name="Note 2 3 2 8 2 2 2" xfId="27868"/>
    <cellStyle name="Note 2 3 2 8 2 2 2 2" xfId="56729"/>
    <cellStyle name="Note 2 3 2 8 2 2 3" xfId="39682"/>
    <cellStyle name="Note 2 3 2 8 2 3" xfId="21890"/>
    <cellStyle name="Note 2 3 2 8 2 3 2" xfId="50751"/>
    <cellStyle name="Note 2 3 2 8 2 4" xfId="33641"/>
    <cellStyle name="Note 2 3 2 8 3" xfId="7935"/>
    <cellStyle name="Note 2 3 2 8 3 2" xfId="24982"/>
    <cellStyle name="Note 2 3 2 8 3 2 2" xfId="53843"/>
    <cellStyle name="Note 2 3 2 8 3 3" xfId="36796"/>
    <cellStyle name="Note 2 3 2 8 4" xfId="12821"/>
    <cellStyle name="Note 2 3 2 8 4 2" xfId="19210"/>
    <cellStyle name="Note 2 3 2 8 4 2 2" xfId="48071"/>
    <cellStyle name="Note 2 3 2 8 4 3" xfId="41682"/>
    <cellStyle name="Note 2 3 2 8 5" xfId="16530"/>
    <cellStyle name="Note 2 3 2 8 5 2" xfId="45391"/>
    <cellStyle name="Note 2 3 2 8 6" xfId="30755"/>
    <cellStyle name="Note 2 3 2 9" xfId="2099"/>
    <cellStyle name="Note 2 3 2 9 2" xfId="4986"/>
    <cellStyle name="Note 2 3 2 9 2 2" xfId="11027"/>
    <cellStyle name="Note 2 3 2 9 2 2 2" xfId="28074"/>
    <cellStyle name="Note 2 3 2 9 2 2 2 2" xfId="56935"/>
    <cellStyle name="Note 2 3 2 9 2 2 3" xfId="39888"/>
    <cellStyle name="Note 2 3 2 9 2 3" xfId="22096"/>
    <cellStyle name="Note 2 3 2 9 2 3 2" xfId="50957"/>
    <cellStyle name="Note 2 3 2 9 2 4" xfId="33847"/>
    <cellStyle name="Note 2 3 2 9 3" xfId="8141"/>
    <cellStyle name="Note 2 3 2 9 3 2" xfId="25188"/>
    <cellStyle name="Note 2 3 2 9 3 2 2" xfId="54049"/>
    <cellStyle name="Note 2 3 2 9 3 3" xfId="37002"/>
    <cellStyle name="Note 2 3 2 9 4" xfId="12664"/>
    <cellStyle name="Note 2 3 2 9 4 2" xfId="19416"/>
    <cellStyle name="Note 2 3 2 9 4 2 2" xfId="48277"/>
    <cellStyle name="Note 2 3 2 9 4 3" xfId="41525"/>
    <cellStyle name="Note 2 3 2 9 5" xfId="16736"/>
    <cellStyle name="Note 2 3 2 9 5 2" xfId="45597"/>
    <cellStyle name="Note 2 3 2 9 6" xfId="30961"/>
    <cellStyle name="Note 2 3 20" xfId="29004"/>
    <cellStyle name="Note 2 3 3" xfId="245"/>
    <cellStyle name="Note 2 3 3 2" xfId="657"/>
    <cellStyle name="Note 2 3 3 2 2" xfId="3544"/>
    <cellStyle name="Note 2 3 3 2 2 2" xfId="9585"/>
    <cellStyle name="Note 2 3 3 2 2 2 2" xfId="26632"/>
    <cellStyle name="Note 2 3 3 2 2 2 2 2" xfId="55493"/>
    <cellStyle name="Note 2 3 3 2 2 2 3" xfId="38446"/>
    <cellStyle name="Note 2 3 3 2 2 3" xfId="20654"/>
    <cellStyle name="Note 2 3 3 2 2 3 2" xfId="49515"/>
    <cellStyle name="Note 2 3 3 2 2 4" xfId="32405"/>
    <cellStyle name="Note 2 3 3 2 3" xfId="6699"/>
    <cellStyle name="Note 2 3 3 2 3 2" xfId="23746"/>
    <cellStyle name="Note 2 3 3 2 3 2 2" xfId="52607"/>
    <cellStyle name="Note 2 3 3 2 3 3" xfId="35560"/>
    <cellStyle name="Note 2 3 3 2 4" xfId="14105"/>
    <cellStyle name="Note 2 3 3 2 4 2" xfId="17974"/>
    <cellStyle name="Note 2 3 3 2 4 2 2" xfId="46835"/>
    <cellStyle name="Note 2 3 3 2 4 3" xfId="42966"/>
    <cellStyle name="Note 2 3 3 2 5" xfId="15294"/>
    <cellStyle name="Note 2 3 3 2 5 2" xfId="44155"/>
    <cellStyle name="Note 2 3 3 2 6" xfId="29519"/>
    <cellStyle name="Note 2 3 3 3" xfId="2202"/>
    <cellStyle name="Note 2 3 3 3 2" xfId="5089"/>
    <cellStyle name="Note 2 3 3 3 2 2" xfId="11130"/>
    <cellStyle name="Note 2 3 3 3 2 2 2" xfId="28177"/>
    <cellStyle name="Note 2 3 3 3 2 2 2 2" xfId="57038"/>
    <cellStyle name="Note 2 3 3 3 2 2 3" xfId="39991"/>
    <cellStyle name="Note 2 3 3 3 2 3" xfId="22199"/>
    <cellStyle name="Note 2 3 3 3 2 3 2" xfId="51060"/>
    <cellStyle name="Note 2 3 3 3 2 4" xfId="33950"/>
    <cellStyle name="Note 2 3 3 3 3" xfId="8244"/>
    <cellStyle name="Note 2 3 3 3 3 2" xfId="25291"/>
    <cellStyle name="Note 2 3 3 3 3 2 2" xfId="54152"/>
    <cellStyle name="Note 2 3 3 3 3 3" xfId="37105"/>
    <cellStyle name="Note 2 3 3 3 4" xfId="13025"/>
    <cellStyle name="Note 2 3 3 3 4 2" xfId="19519"/>
    <cellStyle name="Note 2 3 3 3 4 2 2" xfId="48380"/>
    <cellStyle name="Note 2 3 3 3 4 3" xfId="41886"/>
    <cellStyle name="Note 2 3 3 3 5" xfId="16839"/>
    <cellStyle name="Note 2 3 3 3 5 2" xfId="45700"/>
    <cellStyle name="Note 2 3 3 3 6" xfId="31064"/>
    <cellStyle name="Note 2 3 3 4" xfId="3132"/>
    <cellStyle name="Note 2 3 3 4 2" xfId="9173"/>
    <cellStyle name="Note 2 3 3 4 2 2" xfId="26220"/>
    <cellStyle name="Note 2 3 3 4 2 2 2" xfId="55081"/>
    <cellStyle name="Note 2 3 3 4 2 3" xfId="38034"/>
    <cellStyle name="Note 2 3 3 4 3" xfId="20242"/>
    <cellStyle name="Note 2 3 3 4 3 2" xfId="49103"/>
    <cellStyle name="Note 2 3 3 4 4" xfId="31993"/>
    <cellStyle name="Note 2 3 3 5" xfId="6287"/>
    <cellStyle name="Note 2 3 3 5 2" xfId="23334"/>
    <cellStyle name="Note 2 3 3 5 2 2" xfId="52195"/>
    <cellStyle name="Note 2 3 3 5 3" xfId="35148"/>
    <cellStyle name="Note 2 3 3 6" xfId="13393"/>
    <cellStyle name="Note 2 3 3 6 2" xfId="17665"/>
    <cellStyle name="Note 2 3 3 6 2 2" xfId="46526"/>
    <cellStyle name="Note 2 3 3 6 3" xfId="42254"/>
    <cellStyle name="Note 2 3 3 7" xfId="14882"/>
    <cellStyle name="Note 2 3 3 7 2" xfId="43743"/>
    <cellStyle name="Note 2 3 3 8" xfId="29107"/>
    <cellStyle name="Note 2 3 4" xfId="451"/>
    <cellStyle name="Note 2 3 4 2" xfId="3338"/>
    <cellStyle name="Note 2 3 4 2 2" xfId="9379"/>
    <cellStyle name="Note 2 3 4 2 2 2" xfId="26426"/>
    <cellStyle name="Note 2 3 4 2 2 2 2" xfId="55287"/>
    <cellStyle name="Note 2 3 4 2 2 3" xfId="38240"/>
    <cellStyle name="Note 2 3 4 2 3" xfId="20448"/>
    <cellStyle name="Note 2 3 4 2 3 2" xfId="49309"/>
    <cellStyle name="Note 2 3 4 2 4" xfId="32199"/>
    <cellStyle name="Note 2 3 4 3" xfId="6493"/>
    <cellStyle name="Note 2 3 4 3 2" xfId="23540"/>
    <cellStyle name="Note 2 3 4 3 2 2" xfId="52401"/>
    <cellStyle name="Note 2 3 4 3 3" xfId="35354"/>
    <cellStyle name="Note 2 3 4 4" xfId="13112"/>
    <cellStyle name="Note 2 3 4 4 2" xfId="17768"/>
    <cellStyle name="Note 2 3 4 4 2 2" xfId="46629"/>
    <cellStyle name="Note 2 3 4 4 3" xfId="41973"/>
    <cellStyle name="Note 2 3 4 5" xfId="15088"/>
    <cellStyle name="Note 2 3 4 5 2" xfId="43949"/>
    <cellStyle name="Note 2 3 4 6" xfId="29313"/>
    <cellStyle name="Note 2 3 5" xfId="760"/>
    <cellStyle name="Note 2 3 5 2" xfId="3647"/>
    <cellStyle name="Note 2 3 5 2 2" xfId="9688"/>
    <cellStyle name="Note 2 3 5 2 2 2" xfId="26735"/>
    <cellStyle name="Note 2 3 5 2 2 2 2" xfId="55596"/>
    <cellStyle name="Note 2 3 5 2 2 3" xfId="38549"/>
    <cellStyle name="Note 2 3 5 2 3" xfId="20757"/>
    <cellStyle name="Note 2 3 5 2 3 2" xfId="49618"/>
    <cellStyle name="Note 2 3 5 2 4" xfId="32508"/>
    <cellStyle name="Note 2 3 5 3" xfId="6802"/>
    <cellStyle name="Note 2 3 5 3 2" xfId="23849"/>
    <cellStyle name="Note 2 3 5 3 2 2" xfId="52710"/>
    <cellStyle name="Note 2 3 5 3 3" xfId="35663"/>
    <cellStyle name="Note 2 3 5 4" xfId="13526"/>
    <cellStyle name="Note 2 3 5 4 2" xfId="18077"/>
    <cellStyle name="Note 2 3 5 4 2 2" xfId="46938"/>
    <cellStyle name="Note 2 3 5 4 3" xfId="42387"/>
    <cellStyle name="Note 2 3 5 5" xfId="15397"/>
    <cellStyle name="Note 2 3 5 5 2" xfId="44258"/>
    <cellStyle name="Note 2 3 5 6" xfId="29622"/>
    <cellStyle name="Note 2 3 6" xfId="966"/>
    <cellStyle name="Note 2 3 6 2" xfId="3853"/>
    <cellStyle name="Note 2 3 6 2 2" xfId="9894"/>
    <cellStyle name="Note 2 3 6 2 2 2" xfId="26941"/>
    <cellStyle name="Note 2 3 6 2 2 2 2" xfId="55802"/>
    <cellStyle name="Note 2 3 6 2 2 3" xfId="38755"/>
    <cellStyle name="Note 2 3 6 2 3" xfId="20963"/>
    <cellStyle name="Note 2 3 6 2 3 2" xfId="49824"/>
    <cellStyle name="Note 2 3 6 2 4" xfId="32714"/>
    <cellStyle name="Note 2 3 6 3" xfId="7008"/>
    <cellStyle name="Note 2 3 6 3 2" xfId="24055"/>
    <cellStyle name="Note 2 3 6 3 2 2" xfId="52916"/>
    <cellStyle name="Note 2 3 6 3 3" xfId="35869"/>
    <cellStyle name="Note 2 3 6 4" xfId="12682"/>
    <cellStyle name="Note 2 3 6 4 2" xfId="18283"/>
    <cellStyle name="Note 2 3 6 4 2 2" xfId="47144"/>
    <cellStyle name="Note 2 3 6 4 3" xfId="41543"/>
    <cellStyle name="Note 2 3 6 5" xfId="15603"/>
    <cellStyle name="Note 2 3 6 5 2" xfId="44464"/>
    <cellStyle name="Note 2 3 6 6" xfId="29828"/>
    <cellStyle name="Note 2 3 7" xfId="1172"/>
    <cellStyle name="Note 2 3 7 2" xfId="4059"/>
    <cellStyle name="Note 2 3 7 2 2" xfId="10100"/>
    <cellStyle name="Note 2 3 7 2 2 2" xfId="27147"/>
    <cellStyle name="Note 2 3 7 2 2 2 2" xfId="56008"/>
    <cellStyle name="Note 2 3 7 2 2 3" xfId="38961"/>
    <cellStyle name="Note 2 3 7 2 3" xfId="21169"/>
    <cellStyle name="Note 2 3 7 2 3 2" xfId="50030"/>
    <cellStyle name="Note 2 3 7 2 4" xfId="32920"/>
    <cellStyle name="Note 2 3 7 3" xfId="7214"/>
    <cellStyle name="Note 2 3 7 3 2" xfId="24261"/>
    <cellStyle name="Note 2 3 7 3 2 2" xfId="53122"/>
    <cellStyle name="Note 2 3 7 3 3" xfId="36075"/>
    <cellStyle name="Note 2 3 7 4" xfId="14414"/>
    <cellStyle name="Note 2 3 7 4 2" xfId="18489"/>
    <cellStyle name="Note 2 3 7 4 2 2" xfId="47350"/>
    <cellStyle name="Note 2 3 7 4 3" xfId="43275"/>
    <cellStyle name="Note 2 3 7 5" xfId="15809"/>
    <cellStyle name="Note 2 3 7 5 2" xfId="44670"/>
    <cellStyle name="Note 2 3 7 6" xfId="30034"/>
    <cellStyle name="Note 2 3 8" xfId="1378"/>
    <cellStyle name="Note 2 3 8 2" xfId="4265"/>
    <cellStyle name="Note 2 3 8 2 2" xfId="10306"/>
    <cellStyle name="Note 2 3 8 2 2 2" xfId="27353"/>
    <cellStyle name="Note 2 3 8 2 2 2 2" xfId="56214"/>
    <cellStyle name="Note 2 3 8 2 2 3" xfId="39167"/>
    <cellStyle name="Note 2 3 8 2 3" xfId="21375"/>
    <cellStyle name="Note 2 3 8 2 3 2" xfId="50236"/>
    <cellStyle name="Note 2 3 8 2 4" xfId="33126"/>
    <cellStyle name="Note 2 3 8 3" xfId="7420"/>
    <cellStyle name="Note 2 3 8 3 2" xfId="24467"/>
    <cellStyle name="Note 2 3 8 3 2 2" xfId="53328"/>
    <cellStyle name="Note 2 3 8 3 3" xfId="36281"/>
    <cellStyle name="Note 2 3 8 4" xfId="13389"/>
    <cellStyle name="Note 2 3 8 4 2" xfId="18695"/>
    <cellStyle name="Note 2 3 8 4 2 2" xfId="47556"/>
    <cellStyle name="Note 2 3 8 4 3" xfId="42250"/>
    <cellStyle name="Note 2 3 8 5" xfId="16015"/>
    <cellStyle name="Note 2 3 8 5 2" xfId="44876"/>
    <cellStyle name="Note 2 3 8 6" xfId="30240"/>
    <cellStyle name="Note 2 3 9" xfId="1584"/>
    <cellStyle name="Note 2 3 9 2" xfId="4471"/>
    <cellStyle name="Note 2 3 9 2 2" xfId="10512"/>
    <cellStyle name="Note 2 3 9 2 2 2" xfId="27559"/>
    <cellStyle name="Note 2 3 9 2 2 2 2" xfId="56420"/>
    <cellStyle name="Note 2 3 9 2 2 3" xfId="39373"/>
    <cellStyle name="Note 2 3 9 2 3" xfId="21581"/>
    <cellStyle name="Note 2 3 9 2 3 2" xfId="50442"/>
    <cellStyle name="Note 2 3 9 2 4" xfId="33332"/>
    <cellStyle name="Note 2 3 9 3" xfId="7626"/>
    <cellStyle name="Note 2 3 9 3 2" xfId="24673"/>
    <cellStyle name="Note 2 3 9 3 2 2" xfId="53534"/>
    <cellStyle name="Note 2 3 9 3 3" xfId="36487"/>
    <cellStyle name="Note 2 3 9 4" xfId="12138"/>
    <cellStyle name="Note 2 3 9 4 2" xfId="18901"/>
    <cellStyle name="Note 2 3 9 4 2 2" xfId="47762"/>
    <cellStyle name="Note 2 3 9 4 3" xfId="40999"/>
    <cellStyle name="Note 2 3 9 5" xfId="16221"/>
    <cellStyle name="Note 2 3 9 5 2" xfId="45082"/>
    <cellStyle name="Note 2 3 9 6" xfId="30446"/>
    <cellStyle name="Note 2 4" xfId="296"/>
    <cellStyle name="Note 2 4 10" xfId="2459"/>
    <cellStyle name="Note 2 4 10 2" xfId="5346"/>
    <cellStyle name="Note 2 4 10 2 2" xfId="11387"/>
    <cellStyle name="Note 2 4 10 2 2 2" xfId="28434"/>
    <cellStyle name="Note 2 4 10 2 2 2 2" xfId="57295"/>
    <cellStyle name="Note 2 4 10 2 2 3" xfId="40248"/>
    <cellStyle name="Note 2 4 10 2 3" xfId="22456"/>
    <cellStyle name="Note 2 4 10 2 3 2" xfId="51317"/>
    <cellStyle name="Note 2 4 10 2 4" xfId="34207"/>
    <cellStyle name="Note 2 4 10 3" xfId="8501"/>
    <cellStyle name="Note 2 4 10 3 2" xfId="25548"/>
    <cellStyle name="Note 2 4 10 3 2 2" xfId="54409"/>
    <cellStyle name="Note 2 4 10 3 3" xfId="37362"/>
    <cellStyle name="Note 2 4 10 4" xfId="13344"/>
    <cellStyle name="Note 2 4 10 4 2" xfId="19776"/>
    <cellStyle name="Note 2 4 10 4 2 2" xfId="48637"/>
    <cellStyle name="Note 2 4 10 4 3" xfId="42205"/>
    <cellStyle name="Note 2 4 10 5" xfId="17096"/>
    <cellStyle name="Note 2 4 10 5 2" xfId="45957"/>
    <cellStyle name="Note 2 4 10 6" xfId="31321"/>
    <cellStyle name="Note 2 4 11" xfId="2668"/>
    <cellStyle name="Note 2 4 11 2" xfId="5554"/>
    <cellStyle name="Note 2 4 11 2 2" xfId="11595"/>
    <cellStyle name="Note 2 4 11 2 2 2" xfId="28642"/>
    <cellStyle name="Note 2 4 11 2 2 2 2" xfId="57503"/>
    <cellStyle name="Note 2 4 11 2 2 3" xfId="40456"/>
    <cellStyle name="Note 2 4 11 2 3" xfId="22664"/>
    <cellStyle name="Note 2 4 11 2 3 2" xfId="51525"/>
    <cellStyle name="Note 2 4 11 2 4" xfId="34415"/>
    <cellStyle name="Note 2 4 11 3" xfId="8709"/>
    <cellStyle name="Note 2 4 11 3 2" xfId="25756"/>
    <cellStyle name="Note 2 4 11 3 2 2" xfId="54617"/>
    <cellStyle name="Note 2 4 11 3 3" xfId="37570"/>
    <cellStyle name="Note 2 4 11 4" xfId="12936"/>
    <cellStyle name="Note 2 4 11 4 2" xfId="19984"/>
    <cellStyle name="Note 2 4 11 4 2 2" xfId="48845"/>
    <cellStyle name="Note 2 4 11 4 3" xfId="41797"/>
    <cellStyle name="Note 2 4 11 5" xfId="17304"/>
    <cellStyle name="Note 2 4 11 5 2" xfId="46165"/>
    <cellStyle name="Note 2 4 11 6" xfId="31529"/>
    <cellStyle name="Note 2 4 12" xfId="3183"/>
    <cellStyle name="Note 2 4 12 2" xfId="9224"/>
    <cellStyle name="Note 2 4 12 2 2" xfId="26271"/>
    <cellStyle name="Note 2 4 12 2 2 2" xfId="55132"/>
    <cellStyle name="Note 2 4 12 2 3" xfId="38085"/>
    <cellStyle name="Note 2 4 12 3" xfId="14114"/>
    <cellStyle name="Note 2 4 12 3 2" xfId="20293"/>
    <cellStyle name="Note 2 4 12 3 2 2" xfId="49154"/>
    <cellStyle name="Note 2 4 12 3 3" xfId="42975"/>
    <cellStyle name="Note 2 4 12 4" xfId="14933"/>
    <cellStyle name="Note 2 4 12 4 2" xfId="43794"/>
    <cellStyle name="Note 2 4 12 5" xfId="32044"/>
    <cellStyle name="Note 2 4 13" xfId="2874"/>
    <cellStyle name="Note 2 4 13 2" xfId="8915"/>
    <cellStyle name="Note 2 4 13 2 2" xfId="25962"/>
    <cellStyle name="Note 2 4 13 2 2 2" xfId="54823"/>
    <cellStyle name="Note 2 4 13 2 3" xfId="37776"/>
    <cellStyle name="Note 2 4 13 3" xfId="17510"/>
    <cellStyle name="Note 2 4 13 3 2" xfId="46371"/>
    <cellStyle name="Note 2 4 13 4" xfId="31735"/>
    <cellStyle name="Note 2 4 14" xfId="5760"/>
    <cellStyle name="Note 2 4 14 2" xfId="11801"/>
    <cellStyle name="Note 2 4 14 2 2" xfId="28848"/>
    <cellStyle name="Note 2 4 14 2 2 2" xfId="57709"/>
    <cellStyle name="Note 2 4 14 2 3" xfId="40662"/>
    <cellStyle name="Note 2 4 14 3" xfId="22870"/>
    <cellStyle name="Note 2 4 14 3 2" xfId="51731"/>
    <cellStyle name="Note 2 4 14 4" xfId="34621"/>
    <cellStyle name="Note 2 4 15" xfId="5977"/>
    <cellStyle name="Note 2 4 15 2" xfId="23076"/>
    <cellStyle name="Note 2 4 15 2 2" xfId="51937"/>
    <cellStyle name="Note 2 4 15 3" xfId="34838"/>
    <cellStyle name="Note 2 4 16" xfId="6338"/>
    <cellStyle name="Note 2 4 16 2" xfId="23385"/>
    <cellStyle name="Note 2 4 16 2 2" xfId="52246"/>
    <cellStyle name="Note 2 4 16 3" xfId="35199"/>
    <cellStyle name="Note 2 4 17" xfId="14624"/>
    <cellStyle name="Note 2 4 17 2" xfId="43485"/>
    <cellStyle name="Note 2 4 18" xfId="29158"/>
    <cellStyle name="Note 2 4 2" xfId="502"/>
    <cellStyle name="Note 2 4 2 2" xfId="2253"/>
    <cellStyle name="Note 2 4 2 2 2" xfId="5140"/>
    <cellStyle name="Note 2 4 2 2 2 2" xfId="11181"/>
    <cellStyle name="Note 2 4 2 2 2 2 2" xfId="28228"/>
    <cellStyle name="Note 2 4 2 2 2 2 2 2" xfId="57089"/>
    <cellStyle name="Note 2 4 2 2 2 2 3" xfId="40042"/>
    <cellStyle name="Note 2 4 2 2 2 3" xfId="22250"/>
    <cellStyle name="Note 2 4 2 2 2 3 2" xfId="51111"/>
    <cellStyle name="Note 2 4 2 2 2 4" xfId="34001"/>
    <cellStyle name="Note 2 4 2 2 3" xfId="8295"/>
    <cellStyle name="Note 2 4 2 2 3 2" xfId="25342"/>
    <cellStyle name="Note 2 4 2 2 3 2 2" xfId="54203"/>
    <cellStyle name="Note 2 4 2 2 3 3" xfId="37156"/>
    <cellStyle name="Note 2 4 2 2 4" xfId="12907"/>
    <cellStyle name="Note 2 4 2 2 4 2" xfId="19570"/>
    <cellStyle name="Note 2 4 2 2 4 2 2" xfId="48431"/>
    <cellStyle name="Note 2 4 2 2 4 3" xfId="41768"/>
    <cellStyle name="Note 2 4 2 2 5" xfId="16890"/>
    <cellStyle name="Note 2 4 2 2 5 2" xfId="45751"/>
    <cellStyle name="Note 2 4 2 2 6" xfId="31115"/>
    <cellStyle name="Note 2 4 2 3" xfId="3389"/>
    <cellStyle name="Note 2 4 2 3 2" xfId="9430"/>
    <cellStyle name="Note 2 4 2 3 2 2" xfId="26477"/>
    <cellStyle name="Note 2 4 2 3 2 2 2" xfId="55338"/>
    <cellStyle name="Note 2 4 2 3 2 3" xfId="38291"/>
    <cellStyle name="Note 2 4 2 3 3" xfId="20499"/>
    <cellStyle name="Note 2 4 2 3 3 2" xfId="49360"/>
    <cellStyle name="Note 2 4 2 3 4" xfId="32250"/>
    <cellStyle name="Note 2 4 2 4" xfId="6544"/>
    <cellStyle name="Note 2 4 2 4 2" xfId="23591"/>
    <cellStyle name="Note 2 4 2 4 2 2" xfId="52452"/>
    <cellStyle name="Note 2 4 2 4 3" xfId="35405"/>
    <cellStyle name="Note 2 4 2 5" xfId="12329"/>
    <cellStyle name="Note 2 4 2 5 2" xfId="17819"/>
    <cellStyle name="Note 2 4 2 5 2 2" xfId="46680"/>
    <cellStyle name="Note 2 4 2 5 3" xfId="41190"/>
    <cellStyle name="Note 2 4 2 6" xfId="15139"/>
    <cellStyle name="Note 2 4 2 6 2" xfId="44000"/>
    <cellStyle name="Note 2 4 2 7" xfId="29364"/>
    <cellStyle name="Note 2 4 3" xfId="811"/>
    <cellStyle name="Note 2 4 3 2" xfId="3698"/>
    <cellStyle name="Note 2 4 3 2 2" xfId="9739"/>
    <cellStyle name="Note 2 4 3 2 2 2" xfId="26786"/>
    <cellStyle name="Note 2 4 3 2 2 2 2" xfId="55647"/>
    <cellStyle name="Note 2 4 3 2 2 3" xfId="38600"/>
    <cellStyle name="Note 2 4 3 2 3" xfId="20808"/>
    <cellStyle name="Note 2 4 3 2 3 2" xfId="49669"/>
    <cellStyle name="Note 2 4 3 2 4" xfId="32559"/>
    <cellStyle name="Note 2 4 3 3" xfId="6853"/>
    <cellStyle name="Note 2 4 3 3 2" xfId="23900"/>
    <cellStyle name="Note 2 4 3 3 2 2" xfId="52761"/>
    <cellStyle name="Note 2 4 3 3 3" xfId="35714"/>
    <cellStyle name="Note 2 4 3 4" xfId="13976"/>
    <cellStyle name="Note 2 4 3 4 2" xfId="18128"/>
    <cellStyle name="Note 2 4 3 4 2 2" xfId="46989"/>
    <cellStyle name="Note 2 4 3 4 3" xfId="42837"/>
    <cellStyle name="Note 2 4 3 5" xfId="15448"/>
    <cellStyle name="Note 2 4 3 5 2" xfId="44309"/>
    <cellStyle name="Note 2 4 3 6" xfId="29673"/>
    <cellStyle name="Note 2 4 4" xfId="1017"/>
    <cellStyle name="Note 2 4 4 2" xfId="3904"/>
    <cellStyle name="Note 2 4 4 2 2" xfId="9945"/>
    <cellStyle name="Note 2 4 4 2 2 2" xfId="26992"/>
    <cellStyle name="Note 2 4 4 2 2 2 2" xfId="55853"/>
    <cellStyle name="Note 2 4 4 2 2 3" xfId="38806"/>
    <cellStyle name="Note 2 4 4 2 3" xfId="21014"/>
    <cellStyle name="Note 2 4 4 2 3 2" xfId="49875"/>
    <cellStyle name="Note 2 4 4 2 4" xfId="32765"/>
    <cellStyle name="Note 2 4 4 3" xfId="7059"/>
    <cellStyle name="Note 2 4 4 3 2" xfId="24106"/>
    <cellStyle name="Note 2 4 4 3 2 2" xfId="52967"/>
    <cellStyle name="Note 2 4 4 3 3" xfId="35920"/>
    <cellStyle name="Note 2 4 4 4" xfId="12665"/>
    <cellStyle name="Note 2 4 4 4 2" xfId="18334"/>
    <cellStyle name="Note 2 4 4 4 2 2" xfId="47195"/>
    <cellStyle name="Note 2 4 4 4 3" xfId="41526"/>
    <cellStyle name="Note 2 4 4 5" xfId="15654"/>
    <cellStyle name="Note 2 4 4 5 2" xfId="44515"/>
    <cellStyle name="Note 2 4 4 6" xfId="29879"/>
    <cellStyle name="Note 2 4 5" xfId="1223"/>
    <cellStyle name="Note 2 4 5 2" xfId="4110"/>
    <cellStyle name="Note 2 4 5 2 2" xfId="10151"/>
    <cellStyle name="Note 2 4 5 2 2 2" xfId="27198"/>
    <cellStyle name="Note 2 4 5 2 2 2 2" xfId="56059"/>
    <cellStyle name="Note 2 4 5 2 2 3" xfId="39012"/>
    <cellStyle name="Note 2 4 5 2 3" xfId="21220"/>
    <cellStyle name="Note 2 4 5 2 3 2" xfId="50081"/>
    <cellStyle name="Note 2 4 5 2 4" xfId="32971"/>
    <cellStyle name="Note 2 4 5 3" xfId="7265"/>
    <cellStyle name="Note 2 4 5 3 2" xfId="24312"/>
    <cellStyle name="Note 2 4 5 3 2 2" xfId="53173"/>
    <cellStyle name="Note 2 4 5 3 3" xfId="36126"/>
    <cellStyle name="Note 2 4 5 4" xfId="12141"/>
    <cellStyle name="Note 2 4 5 4 2" xfId="18540"/>
    <cellStyle name="Note 2 4 5 4 2 2" xfId="47401"/>
    <cellStyle name="Note 2 4 5 4 3" xfId="41002"/>
    <cellStyle name="Note 2 4 5 5" xfId="15860"/>
    <cellStyle name="Note 2 4 5 5 2" xfId="44721"/>
    <cellStyle name="Note 2 4 5 6" xfId="30085"/>
    <cellStyle name="Note 2 4 6" xfId="1429"/>
    <cellStyle name="Note 2 4 6 2" xfId="4316"/>
    <cellStyle name="Note 2 4 6 2 2" xfId="10357"/>
    <cellStyle name="Note 2 4 6 2 2 2" xfId="27404"/>
    <cellStyle name="Note 2 4 6 2 2 2 2" xfId="56265"/>
    <cellStyle name="Note 2 4 6 2 2 3" xfId="39218"/>
    <cellStyle name="Note 2 4 6 2 3" xfId="21426"/>
    <cellStyle name="Note 2 4 6 2 3 2" xfId="50287"/>
    <cellStyle name="Note 2 4 6 2 4" xfId="33177"/>
    <cellStyle name="Note 2 4 6 3" xfId="7471"/>
    <cellStyle name="Note 2 4 6 3 2" xfId="24518"/>
    <cellStyle name="Note 2 4 6 3 2 2" xfId="53379"/>
    <cellStyle name="Note 2 4 6 3 3" xfId="36332"/>
    <cellStyle name="Note 2 4 6 4" xfId="13020"/>
    <cellStyle name="Note 2 4 6 4 2" xfId="18746"/>
    <cellStyle name="Note 2 4 6 4 2 2" xfId="47607"/>
    <cellStyle name="Note 2 4 6 4 3" xfId="41881"/>
    <cellStyle name="Note 2 4 6 5" xfId="16066"/>
    <cellStyle name="Note 2 4 6 5 2" xfId="44927"/>
    <cellStyle name="Note 2 4 6 6" xfId="30291"/>
    <cellStyle name="Note 2 4 7" xfId="1635"/>
    <cellStyle name="Note 2 4 7 2" xfId="4522"/>
    <cellStyle name="Note 2 4 7 2 2" xfId="10563"/>
    <cellStyle name="Note 2 4 7 2 2 2" xfId="27610"/>
    <cellStyle name="Note 2 4 7 2 2 2 2" xfId="56471"/>
    <cellStyle name="Note 2 4 7 2 2 3" xfId="39424"/>
    <cellStyle name="Note 2 4 7 2 3" xfId="21632"/>
    <cellStyle name="Note 2 4 7 2 3 2" xfId="50493"/>
    <cellStyle name="Note 2 4 7 2 4" xfId="33383"/>
    <cellStyle name="Note 2 4 7 3" xfId="7677"/>
    <cellStyle name="Note 2 4 7 3 2" xfId="24724"/>
    <cellStyle name="Note 2 4 7 3 2 2" xfId="53585"/>
    <cellStyle name="Note 2 4 7 3 3" xfId="36538"/>
    <cellStyle name="Note 2 4 7 4" xfId="12681"/>
    <cellStyle name="Note 2 4 7 4 2" xfId="18952"/>
    <cellStyle name="Note 2 4 7 4 2 2" xfId="47813"/>
    <cellStyle name="Note 2 4 7 4 3" xfId="41542"/>
    <cellStyle name="Note 2 4 7 5" xfId="16272"/>
    <cellStyle name="Note 2 4 7 5 2" xfId="45133"/>
    <cellStyle name="Note 2 4 7 6" xfId="30497"/>
    <cellStyle name="Note 2 4 8" xfId="1841"/>
    <cellStyle name="Note 2 4 8 2" xfId="4728"/>
    <cellStyle name="Note 2 4 8 2 2" xfId="10769"/>
    <cellStyle name="Note 2 4 8 2 2 2" xfId="27816"/>
    <cellStyle name="Note 2 4 8 2 2 2 2" xfId="56677"/>
    <cellStyle name="Note 2 4 8 2 2 3" xfId="39630"/>
    <cellStyle name="Note 2 4 8 2 3" xfId="21838"/>
    <cellStyle name="Note 2 4 8 2 3 2" xfId="50699"/>
    <cellStyle name="Note 2 4 8 2 4" xfId="33589"/>
    <cellStyle name="Note 2 4 8 3" xfId="7883"/>
    <cellStyle name="Note 2 4 8 3 2" xfId="24930"/>
    <cellStyle name="Note 2 4 8 3 2 2" xfId="53791"/>
    <cellStyle name="Note 2 4 8 3 3" xfId="36744"/>
    <cellStyle name="Note 2 4 8 4" xfId="12666"/>
    <cellStyle name="Note 2 4 8 4 2" xfId="19158"/>
    <cellStyle name="Note 2 4 8 4 2 2" xfId="48019"/>
    <cellStyle name="Note 2 4 8 4 3" xfId="41527"/>
    <cellStyle name="Note 2 4 8 5" xfId="16478"/>
    <cellStyle name="Note 2 4 8 5 2" xfId="45339"/>
    <cellStyle name="Note 2 4 8 6" xfId="30703"/>
    <cellStyle name="Note 2 4 9" xfId="2047"/>
    <cellStyle name="Note 2 4 9 2" xfId="4934"/>
    <cellStyle name="Note 2 4 9 2 2" xfId="10975"/>
    <cellStyle name="Note 2 4 9 2 2 2" xfId="28022"/>
    <cellStyle name="Note 2 4 9 2 2 2 2" xfId="56883"/>
    <cellStyle name="Note 2 4 9 2 2 3" xfId="39836"/>
    <cellStyle name="Note 2 4 9 2 3" xfId="22044"/>
    <cellStyle name="Note 2 4 9 2 3 2" xfId="50905"/>
    <cellStyle name="Note 2 4 9 2 4" xfId="33795"/>
    <cellStyle name="Note 2 4 9 3" xfId="8089"/>
    <cellStyle name="Note 2 4 9 3 2" xfId="25136"/>
    <cellStyle name="Note 2 4 9 3 2 2" xfId="53997"/>
    <cellStyle name="Note 2 4 9 3 3" xfId="36950"/>
    <cellStyle name="Note 2 4 9 4" xfId="13475"/>
    <cellStyle name="Note 2 4 9 4 2" xfId="19364"/>
    <cellStyle name="Note 2 4 9 4 2 2" xfId="48225"/>
    <cellStyle name="Note 2 4 9 4 3" xfId="42336"/>
    <cellStyle name="Note 2 4 9 5" xfId="16684"/>
    <cellStyle name="Note 2 4 9 5 2" xfId="45545"/>
    <cellStyle name="Note 2 4 9 6" xfId="30909"/>
    <cellStyle name="Note 2 5" xfId="193"/>
    <cellStyle name="Note 2 5 2" xfId="605"/>
    <cellStyle name="Note 2 5 2 2" xfId="3492"/>
    <cellStyle name="Note 2 5 2 2 2" xfId="9533"/>
    <cellStyle name="Note 2 5 2 2 2 2" xfId="26580"/>
    <cellStyle name="Note 2 5 2 2 2 2 2" xfId="55441"/>
    <cellStyle name="Note 2 5 2 2 2 3" xfId="38394"/>
    <cellStyle name="Note 2 5 2 2 3" xfId="20602"/>
    <cellStyle name="Note 2 5 2 2 3 2" xfId="49463"/>
    <cellStyle name="Note 2 5 2 2 4" xfId="32353"/>
    <cellStyle name="Note 2 5 2 3" xfId="6647"/>
    <cellStyle name="Note 2 5 2 3 2" xfId="23694"/>
    <cellStyle name="Note 2 5 2 3 2 2" xfId="52555"/>
    <cellStyle name="Note 2 5 2 3 3" xfId="35508"/>
    <cellStyle name="Note 2 5 2 4" xfId="12128"/>
    <cellStyle name="Note 2 5 2 4 2" xfId="17922"/>
    <cellStyle name="Note 2 5 2 4 2 2" xfId="46783"/>
    <cellStyle name="Note 2 5 2 4 3" xfId="40989"/>
    <cellStyle name="Note 2 5 2 5" xfId="15242"/>
    <cellStyle name="Note 2 5 2 5 2" xfId="44103"/>
    <cellStyle name="Note 2 5 2 6" xfId="29467"/>
    <cellStyle name="Note 2 5 3" xfId="2150"/>
    <cellStyle name="Note 2 5 3 2" xfId="5037"/>
    <cellStyle name="Note 2 5 3 2 2" xfId="11078"/>
    <cellStyle name="Note 2 5 3 2 2 2" xfId="28125"/>
    <cellStyle name="Note 2 5 3 2 2 2 2" xfId="56986"/>
    <cellStyle name="Note 2 5 3 2 2 3" xfId="39939"/>
    <cellStyle name="Note 2 5 3 2 3" xfId="22147"/>
    <cellStyle name="Note 2 5 3 2 3 2" xfId="51008"/>
    <cellStyle name="Note 2 5 3 2 4" xfId="33898"/>
    <cellStyle name="Note 2 5 3 3" xfId="8192"/>
    <cellStyle name="Note 2 5 3 3 2" xfId="25239"/>
    <cellStyle name="Note 2 5 3 3 2 2" xfId="54100"/>
    <cellStyle name="Note 2 5 3 3 3" xfId="37053"/>
    <cellStyle name="Note 2 5 3 4" xfId="12347"/>
    <cellStyle name="Note 2 5 3 4 2" xfId="19467"/>
    <cellStyle name="Note 2 5 3 4 2 2" xfId="48328"/>
    <cellStyle name="Note 2 5 3 4 3" xfId="41208"/>
    <cellStyle name="Note 2 5 3 5" xfId="16787"/>
    <cellStyle name="Note 2 5 3 5 2" xfId="45648"/>
    <cellStyle name="Note 2 5 3 6" xfId="31012"/>
    <cellStyle name="Note 2 5 4" xfId="3080"/>
    <cellStyle name="Note 2 5 4 2" xfId="9121"/>
    <cellStyle name="Note 2 5 4 2 2" xfId="26168"/>
    <cellStyle name="Note 2 5 4 2 2 2" xfId="55029"/>
    <cellStyle name="Note 2 5 4 2 3" xfId="37982"/>
    <cellStyle name="Note 2 5 4 3" xfId="20190"/>
    <cellStyle name="Note 2 5 4 3 2" xfId="49051"/>
    <cellStyle name="Note 2 5 4 4" xfId="31941"/>
    <cellStyle name="Note 2 5 5" xfId="6235"/>
    <cellStyle name="Note 2 5 5 2" xfId="23282"/>
    <cellStyle name="Note 2 5 5 2 2" xfId="52143"/>
    <cellStyle name="Note 2 5 5 3" xfId="35096"/>
    <cellStyle name="Note 2 5 6" xfId="13123"/>
    <cellStyle name="Note 2 5 6 2" xfId="17613"/>
    <cellStyle name="Note 2 5 6 2 2" xfId="46474"/>
    <cellStyle name="Note 2 5 6 3" xfId="41984"/>
    <cellStyle name="Note 2 5 7" xfId="14830"/>
    <cellStyle name="Note 2 5 7 2" xfId="43691"/>
    <cellStyle name="Note 2 5 8" xfId="29055"/>
    <cellStyle name="Note 2 6" xfId="399"/>
    <cellStyle name="Note 2 6 2" xfId="3286"/>
    <cellStyle name="Note 2 6 2 2" xfId="9327"/>
    <cellStyle name="Note 2 6 2 2 2" xfId="26374"/>
    <cellStyle name="Note 2 6 2 2 2 2" xfId="55235"/>
    <cellStyle name="Note 2 6 2 2 3" xfId="38188"/>
    <cellStyle name="Note 2 6 2 3" xfId="20396"/>
    <cellStyle name="Note 2 6 2 3 2" xfId="49257"/>
    <cellStyle name="Note 2 6 2 4" xfId="32147"/>
    <cellStyle name="Note 2 6 3" xfId="6441"/>
    <cellStyle name="Note 2 6 3 2" xfId="23488"/>
    <cellStyle name="Note 2 6 3 2 2" xfId="52349"/>
    <cellStyle name="Note 2 6 3 3" xfId="35302"/>
    <cellStyle name="Note 2 6 4" xfId="12063"/>
    <cellStyle name="Note 2 6 4 2" xfId="17716"/>
    <cellStyle name="Note 2 6 4 2 2" xfId="46577"/>
    <cellStyle name="Note 2 6 4 3" xfId="40924"/>
    <cellStyle name="Note 2 6 5" xfId="15036"/>
    <cellStyle name="Note 2 6 5 2" xfId="43897"/>
    <cellStyle name="Note 2 6 6" xfId="29261"/>
    <cellStyle name="Note 2 7" xfId="708"/>
    <cellStyle name="Note 2 7 2" xfId="3595"/>
    <cellStyle name="Note 2 7 2 2" xfId="9636"/>
    <cellStyle name="Note 2 7 2 2 2" xfId="26683"/>
    <cellStyle name="Note 2 7 2 2 2 2" xfId="55544"/>
    <cellStyle name="Note 2 7 2 2 3" xfId="38497"/>
    <cellStyle name="Note 2 7 2 3" xfId="20705"/>
    <cellStyle name="Note 2 7 2 3 2" xfId="49566"/>
    <cellStyle name="Note 2 7 2 4" xfId="32456"/>
    <cellStyle name="Note 2 7 3" xfId="6750"/>
    <cellStyle name="Note 2 7 3 2" xfId="23797"/>
    <cellStyle name="Note 2 7 3 2 2" xfId="52658"/>
    <cellStyle name="Note 2 7 3 3" xfId="35611"/>
    <cellStyle name="Note 2 7 4" xfId="14324"/>
    <cellStyle name="Note 2 7 4 2" xfId="18025"/>
    <cellStyle name="Note 2 7 4 2 2" xfId="46886"/>
    <cellStyle name="Note 2 7 4 3" xfId="43185"/>
    <cellStyle name="Note 2 7 5" xfId="15345"/>
    <cellStyle name="Note 2 7 5 2" xfId="44206"/>
    <cellStyle name="Note 2 7 6" xfId="29570"/>
    <cellStyle name="Note 2 8" xfId="914"/>
    <cellStyle name="Note 2 8 2" xfId="3801"/>
    <cellStyle name="Note 2 8 2 2" xfId="9842"/>
    <cellStyle name="Note 2 8 2 2 2" xfId="26889"/>
    <cellStyle name="Note 2 8 2 2 2 2" xfId="55750"/>
    <cellStyle name="Note 2 8 2 2 3" xfId="38703"/>
    <cellStyle name="Note 2 8 2 3" xfId="20911"/>
    <cellStyle name="Note 2 8 2 3 2" xfId="49772"/>
    <cellStyle name="Note 2 8 2 4" xfId="32662"/>
    <cellStyle name="Note 2 8 3" xfId="6956"/>
    <cellStyle name="Note 2 8 3 2" xfId="24003"/>
    <cellStyle name="Note 2 8 3 2 2" xfId="52864"/>
    <cellStyle name="Note 2 8 3 3" xfId="35817"/>
    <cellStyle name="Note 2 8 4" xfId="6091"/>
    <cellStyle name="Note 2 8 4 2" xfId="18231"/>
    <cellStyle name="Note 2 8 4 2 2" xfId="47092"/>
    <cellStyle name="Note 2 8 4 3" xfId="34952"/>
    <cellStyle name="Note 2 8 5" xfId="15551"/>
    <cellStyle name="Note 2 8 5 2" xfId="44412"/>
    <cellStyle name="Note 2 8 6" xfId="29776"/>
    <cellStyle name="Note 2 9" xfId="1120"/>
    <cellStyle name="Note 2 9 2" xfId="4007"/>
    <cellStyle name="Note 2 9 2 2" xfId="10048"/>
    <cellStyle name="Note 2 9 2 2 2" xfId="27095"/>
    <cellStyle name="Note 2 9 2 2 2 2" xfId="55956"/>
    <cellStyle name="Note 2 9 2 2 3" xfId="38909"/>
    <cellStyle name="Note 2 9 2 3" xfId="21117"/>
    <cellStyle name="Note 2 9 2 3 2" xfId="49978"/>
    <cellStyle name="Note 2 9 2 4" xfId="32868"/>
    <cellStyle name="Note 2 9 3" xfId="7162"/>
    <cellStyle name="Note 2 9 3 2" xfId="24209"/>
    <cellStyle name="Note 2 9 3 2 2" xfId="53070"/>
    <cellStyle name="Note 2 9 3 3" xfId="36023"/>
    <cellStyle name="Note 2 9 4" xfId="12855"/>
    <cellStyle name="Note 2 9 4 2" xfId="18437"/>
    <cellStyle name="Note 2 9 4 2 2" xfId="47298"/>
    <cellStyle name="Note 2 9 4 3" xfId="41716"/>
    <cellStyle name="Note 2 9 5" xfId="15757"/>
    <cellStyle name="Note 2 9 5 2" xfId="44618"/>
    <cellStyle name="Note 2 9 6" xfId="29982"/>
    <cellStyle name="Note 3" xfId="103"/>
    <cellStyle name="Note 3 10" xfId="1751"/>
    <cellStyle name="Note 3 10 2" xfId="4638"/>
    <cellStyle name="Note 3 10 2 2" xfId="10679"/>
    <cellStyle name="Note 3 10 2 2 2" xfId="27726"/>
    <cellStyle name="Note 3 10 2 2 2 2" xfId="56587"/>
    <cellStyle name="Note 3 10 2 2 3" xfId="39540"/>
    <cellStyle name="Note 3 10 2 3" xfId="21748"/>
    <cellStyle name="Note 3 10 2 3 2" xfId="50609"/>
    <cellStyle name="Note 3 10 2 4" xfId="33499"/>
    <cellStyle name="Note 3 10 3" xfId="7793"/>
    <cellStyle name="Note 3 10 3 2" xfId="24840"/>
    <cellStyle name="Note 3 10 3 2 2" xfId="53701"/>
    <cellStyle name="Note 3 10 3 3" xfId="36654"/>
    <cellStyle name="Note 3 10 4" xfId="12245"/>
    <cellStyle name="Note 3 10 4 2" xfId="19068"/>
    <cellStyle name="Note 3 10 4 2 2" xfId="47929"/>
    <cellStyle name="Note 3 10 4 3" xfId="41106"/>
    <cellStyle name="Note 3 10 5" xfId="16388"/>
    <cellStyle name="Note 3 10 5 2" xfId="45249"/>
    <cellStyle name="Note 3 10 6" xfId="30613"/>
    <cellStyle name="Note 3 11" xfId="1957"/>
    <cellStyle name="Note 3 11 2" xfId="4844"/>
    <cellStyle name="Note 3 11 2 2" xfId="10885"/>
    <cellStyle name="Note 3 11 2 2 2" xfId="27932"/>
    <cellStyle name="Note 3 11 2 2 2 2" xfId="56793"/>
    <cellStyle name="Note 3 11 2 2 3" xfId="39746"/>
    <cellStyle name="Note 3 11 2 3" xfId="21954"/>
    <cellStyle name="Note 3 11 2 3 2" xfId="50815"/>
    <cellStyle name="Note 3 11 2 4" xfId="33705"/>
    <cellStyle name="Note 3 11 3" xfId="7999"/>
    <cellStyle name="Note 3 11 3 2" xfId="25046"/>
    <cellStyle name="Note 3 11 3 2 2" xfId="53907"/>
    <cellStyle name="Note 3 11 3 3" xfId="36860"/>
    <cellStyle name="Note 3 11 4" xfId="14461"/>
    <cellStyle name="Note 3 11 4 2" xfId="19274"/>
    <cellStyle name="Note 3 11 4 2 2" xfId="48135"/>
    <cellStyle name="Note 3 11 4 3" xfId="43322"/>
    <cellStyle name="Note 3 11 5" xfId="16594"/>
    <cellStyle name="Note 3 11 5 2" xfId="45455"/>
    <cellStyle name="Note 3 11 6" xfId="30819"/>
    <cellStyle name="Note 3 12" xfId="2369"/>
    <cellStyle name="Note 3 12 2" xfId="5256"/>
    <cellStyle name="Note 3 12 2 2" xfId="11297"/>
    <cellStyle name="Note 3 12 2 2 2" xfId="28344"/>
    <cellStyle name="Note 3 12 2 2 2 2" xfId="57205"/>
    <cellStyle name="Note 3 12 2 2 3" xfId="40158"/>
    <cellStyle name="Note 3 12 2 3" xfId="22366"/>
    <cellStyle name="Note 3 12 2 3 2" xfId="51227"/>
    <cellStyle name="Note 3 12 2 4" xfId="34117"/>
    <cellStyle name="Note 3 12 3" xfId="8411"/>
    <cellStyle name="Note 3 12 3 2" xfId="25458"/>
    <cellStyle name="Note 3 12 3 2 2" xfId="54319"/>
    <cellStyle name="Note 3 12 3 3" xfId="37272"/>
    <cellStyle name="Note 3 12 4" xfId="12140"/>
    <cellStyle name="Note 3 12 4 2" xfId="19686"/>
    <cellStyle name="Note 3 12 4 2 2" xfId="48547"/>
    <cellStyle name="Note 3 12 4 3" xfId="41001"/>
    <cellStyle name="Note 3 12 5" xfId="17006"/>
    <cellStyle name="Note 3 12 5 2" xfId="45867"/>
    <cellStyle name="Note 3 12 6" xfId="31231"/>
    <cellStyle name="Note 3 13" xfId="2578"/>
    <cellStyle name="Note 3 13 2" xfId="5464"/>
    <cellStyle name="Note 3 13 2 2" xfId="11505"/>
    <cellStyle name="Note 3 13 2 2 2" xfId="28552"/>
    <cellStyle name="Note 3 13 2 2 2 2" xfId="57413"/>
    <cellStyle name="Note 3 13 2 2 3" xfId="40366"/>
    <cellStyle name="Note 3 13 2 3" xfId="22574"/>
    <cellStyle name="Note 3 13 2 3 2" xfId="51435"/>
    <cellStyle name="Note 3 13 2 4" xfId="34325"/>
    <cellStyle name="Note 3 13 3" xfId="8619"/>
    <cellStyle name="Note 3 13 3 2" xfId="25666"/>
    <cellStyle name="Note 3 13 3 2 2" xfId="54527"/>
    <cellStyle name="Note 3 13 3 3" xfId="37480"/>
    <cellStyle name="Note 3 13 4" xfId="12974"/>
    <cellStyle name="Note 3 13 4 2" xfId="19894"/>
    <cellStyle name="Note 3 13 4 2 2" xfId="48755"/>
    <cellStyle name="Note 3 13 4 3" xfId="41835"/>
    <cellStyle name="Note 3 13 5" xfId="17214"/>
    <cellStyle name="Note 3 13 5 2" xfId="46075"/>
    <cellStyle name="Note 3 13 6" xfId="31439"/>
    <cellStyle name="Note 3 14" xfId="2990"/>
    <cellStyle name="Note 3 14 2" xfId="9031"/>
    <cellStyle name="Note 3 14 2 2" xfId="26078"/>
    <cellStyle name="Note 3 14 2 2 2" xfId="54939"/>
    <cellStyle name="Note 3 14 2 3" xfId="37892"/>
    <cellStyle name="Note 3 14 3" xfId="13435"/>
    <cellStyle name="Note 3 14 3 2" xfId="20100"/>
    <cellStyle name="Note 3 14 3 2 2" xfId="48961"/>
    <cellStyle name="Note 3 14 3 3" xfId="42296"/>
    <cellStyle name="Note 3 14 4" xfId="14740"/>
    <cellStyle name="Note 3 14 4 2" xfId="43601"/>
    <cellStyle name="Note 3 14 5" xfId="31851"/>
    <cellStyle name="Note 3 15" xfId="2784"/>
    <cellStyle name="Note 3 15 2" xfId="8825"/>
    <cellStyle name="Note 3 15 2 2" xfId="25872"/>
    <cellStyle name="Note 3 15 2 2 2" xfId="54733"/>
    <cellStyle name="Note 3 15 2 3" xfId="37686"/>
    <cellStyle name="Note 3 15 3" xfId="17420"/>
    <cellStyle name="Note 3 15 3 2" xfId="46281"/>
    <cellStyle name="Note 3 15 4" xfId="31645"/>
    <cellStyle name="Note 3 16" xfId="5670"/>
    <cellStyle name="Note 3 16 2" xfId="11711"/>
    <cellStyle name="Note 3 16 2 2" xfId="28758"/>
    <cellStyle name="Note 3 16 2 2 2" xfId="57619"/>
    <cellStyle name="Note 3 16 2 3" xfId="40572"/>
    <cellStyle name="Note 3 16 3" xfId="22780"/>
    <cellStyle name="Note 3 16 3 2" xfId="51641"/>
    <cellStyle name="Note 3 16 4" xfId="34531"/>
    <cellStyle name="Note 3 17" xfId="5887"/>
    <cellStyle name="Note 3 17 2" xfId="22986"/>
    <cellStyle name="Note 3 17 2 2" xfId="51847"/>
    <cellStyle name="Note 3 17 3" xfId="34748"/>
    <cellStyle name="Note 3 18" xfId="6145"/>
    <cellStyle name="Note 3 18 2" xfId="23192"/>
    <cellStyle name="Note 3 18 2 2" xfId="52053"/>
    <cellStyle name="Note 3 18 3" xfId="35006"/>
    <cellStyle name="Note 3 19" xfId="14534"/>
    <cellStyle name="Note 3 19 2" xfId="43395"/>
    <cellStyle name="Note 3 2" xfId="309"/>
    <cellStyle name="Note 3 2 10" xfId="2472"/>
    <cellStyle name="Note 3 2 10 2" xfId="5359"/>
    <cellStyle name="Note 3 2 10 2 2" xfId="11400"/>
    <cellStyle name="Note 3 2 10 2 2 2" xfId="28447"/>
    <cellStyle name="Note 3 2 10 2 2 2 2" xfId="57308"/>
    <cellStyle name="Note 3 2 10 2 2 3" xfId="40261"/>
    <cellStyle name="Note 3 2 10 2 3" xfId="22469"/>
    <cellStyle name="Note 3 2 10 2 3 2" xfId="51330"/>
    <cellStyle name="Note 3 2 10 2 4" xfId="34220"/>
    <cellStyle name="Note 3 2 10 3" xfId="8514"/>
    <cellStyle name="Note 3 2 10 3 2" xfId="25561"/>
    <cellStyle name="Note 3 2 10 3 2 2" xfId="54422"/>
    <cellStyle name="Note 3 2 10 3 3" xfId="37375"/>
    <cellStyle name="Note 3 2 10 4" xfId="14415"/>
    <cellStyle name="Note 3 2 10 4 2" xfId="19789"/>
    <cellStyle name="Note 3 2 10 4 2 2" xfId="48650"/>
    <cellStyle name="Note 3 2 10 4 3" xfId="43276"/>
    <cellStyle name="Note 3 2 10 5" xfId="17109"/>
    <cellStyle name="Note 3 2 10 5 2" xfId="45970"/>
    <cellStyle name="Note 3 2 10 6" xfId="31334"/>
    <cellStyle name="Note 3 2 11" xfId="2681"/>
    <cellStyle name="Note 3 2 11 2" xfId="5567"/>
    <cellStyle name="Note 3 2 11 2 2" xfId="11608"/>
    <cellStyle name="Note 3 2 11 2 2 2" xfId="28655"/>
    <cellStyle name="Note 3 2 11 2 2 2 2" xfId="57516"/>
    <cellStyle name="Note 3 2 11 2 2 3" xfId="40469"/>
    <cellStyle name="Note 3 2 11 2 3" xfId="22677"/>
    <cellStyle name="Note 3 2 11 2 3 2" xfId="51538"/>
    <cellStyle name="Note 3 2 11 2 4" xfId="34428"/>
    <cellStyle name="Note 3 2 11 3" xfId="8722"/>
    <cellStyle name="Note 3 2 11 3 2" xfId="25769"/>
    <cellStyle name="Note 3 2 11 3 2 2" xfId="54630"/>
    <cellStyle name="Note 3 2 11 3 3" xfId="37583"/>
    <cellStyle name="Note 3 2 11 4" xfId="14443"/>
    <cellStyle name="Note 3 2 11 4 2" xfId="19997"/>
    <cellStyle name="Note 3 2 11 4 2 2" xfId="48858"/>
    <cellStyle name="Note 3 2 11 4 3" xfId="43304"/>
    <cellStyle name="Note 3 2 11 5" xfId="17317"/>
    <cellStyle name="Note 3 2 11 5 2" xfId="46178"/>
    <cellStyle name="Note 3 2 11 6" xfId="31542"/>
    <cellStyle name="Note 3 2 12" xfId="3196"/>
    <cellStyle name="Note 3 2 12 2" xfId="9237"/>
    <cellStyle name="Note 3 2 12 2 2" xfId="26284"/>
    <cellStyle name="Note 3 2 12 2 2 2" xfId="55145"/>
    <cellStyle name="Note 3 2 12 2 3" xfId="38098"/>
    <cellStyle name="Note 3 2 12 3" xfId="13516"/>
    <cellStyle name="Note 3 2 12 3 2" xfId="20306"/>
    <cellStyle name="Note 3 2 12 3 2 2" xfId="49167"/>
    <cellStyle name="Note 3 2 12 3 3" xfId="42377"/>
    <cellStyle name="Note 3 2 12 4" xfId="14946"/>
    <cellStyle name="Note 3 2 12 4 2" xfId="43807"/>
    <cellStyle name="Note 3 2 12 5" xfId="32057"/>
    <cellStyle name="Note 3 2 13" xfId="2887"/>
    <cellStyle name="Note 3 2 13 2" xfId="8928"/>
    <cellStyle name="Note 3 2 13 2 2" xfId="25975"/>
    <cellStyle name="Note 3 2 13 2 2 2" xfId="54836"/>
    <cellStyle name="Note 3 2 13 2 3" xfId="37789"/>
    <cellStyle name="Note 3 2 13 3" xfId="17523"/>
    <cellStyle name="Note 3 2 13 3 2" xfId="46384"/>
    <cellStyle name="Note 3 2 13 4" xfId="31748"/>
    <cellStyle name="Note 3 2 14" xfId="5773"/>
    <cellStyle name="Note 3 2 14 2" xfId="11814"/>
    <cellStyle name="Note 3 2 14 2 2" xfId="28861"/>
    <cellStyle name="Note 3 2 14 2 2 2" xfId="57722"/>
    <cellStyle name="Note 3 2 14 2 3" xfId="40675"/>
    <cellStyle name="Note 3 2 14 3" xfId="22883"/>
    <cellStyle name="Note 3 2 14 3 2" xfId="51744"/>
    <cellStyle name="Note 3 2 14 4" xfId="34634"/>
    <cellStyle name="Note 3 2 15" xfId="5990"/>
    <cellStyle name="Note 3 2 15 2" xfId="23089"/>
    <cellStyle name="Note 3 2 15 2 2" xfId="51950"/>
    <cellStyle name="Note 3 2 15 3" xfId="34851"/>
    <cellStyle name="Note 3 2 16" xfId="6351"/>
    <cellStyle name="Note 3 2 16 2" xfId="23398"/>
    <cellStyle name="Note 3 2 16 2 2" xfId="52259"/>
    <cellStyle name="Note 3 2 16 3" xfId="35212"/>
    <cellStyle name="Note 3 2 17" xfId="14637"/>
    <cellStyle name="Note 3 2 17 2" xfId="43498"/>
    <cellStyle name="Note 3 2 18" xfId="29171"/>
    <cellStyle name="Note 3 2 2" xfId="515"/>
    <cellStyle name="Note 3 2 2 2" xfId="2266"/>
    <cellStyle name="Note 3 2 2 2 2" xfId="5153"/>
    <cellStyle name="Note 3 2 2 2 2 2" xfId="11194"/>
    <cellStyle name="Note 3 2 2 2 2 2 2" xfId="28241"/>
    <cellStyle name="Note 3 2 2 2 2 2 2 2" xfId="57102"/>
    <cellStyle name="Note 3 2 2 2 2 2 3" xfId="40055"/>
    <cellStyle name="Note 3 2 2 2 2 3" xfId="22263"/>
    <cellStyle name="Note 3 2 2 2 2 3 2" xfId="51124"/>
    <cellStyle name="Note 3 2 2 2 2 4" xfId="34014"/>
    <cellStyle name="Note 3 2 2 2 3" xfId="8308"/>
    <cellStyle name="Note 3 2 2 2 3 2" xfId="25355"/>
    <cellStyle name="Note 3 2 2 2 3 2 2" xfId="54216"/>
    <cellStyle name="Note 3 2 2 2 3 3" xfId="37169"/>
    <cellStyle name="Note 3 2 2 2 4" xfId="12597"/>
    <cellStyle name="Note 3 2 2 2 4 2" xfId="19583"/>
    <cellStyle name="Note 3 2 2 2 4 2 2" xfId="48444"/>
    <cellStyle name="Note 3 2 2 2 4 3" xfId="41458"/>
    <cellStyle name="Note 3 2 2 2 5" xfId="16903"/>
    <cellStyle name="Note 3 2 2 2 5 2" xfId="45764"/>
    <cellStyle name="Note 3 2 2 2 6" xfId="31128"/>
    <cellStyle name="Note 3 2 2 3" xfId="3402"/>
    <cellStyle name="Note 3 2 2 3 2" xfId="9443"/>
    <cellStyle name="Note 3 2 2 3 2 2" xfId="26490"/>
    <cellStyle name="Note 3 2 2 3 2 2 2" xfId="55351"/>
    <cellStyle name="Note 3 2 2 3 2 3" xfId="38304"/>
    <cellStyle name="Note 3 2 2 3 3" xfId="20512"/>
    <cellStyle name="Note 3 2 2 3 3 2" xfId="49373"/>
    <cellStyle name="Note 3 2 2 3 4" xfId="32263"/>
    <cellStyle name="Note 3 2 2 4" xfId="6557"/>
    <cellStyle name="Note 3 2 2 4 2" xfId="23604"/>
    <cellStyle name="Note 3 2 2 4 2 2" xfId="52465"/>
    <cellStyle name="Note 3 2 2 4 3" xfId="35418"/>
    <cellStyle name="Note 3 2 2 5" xfId="6093"/>
    <cellStyle name="Note 3 2 2 5 2" xfId="17832"/>
    <cellStyle name="Note 3 2 2 5 2 2" xfId="46693"/>
    <cellStyle name="Note 3 2 2 5 3" xfId="34954"/>
    <cellStyle name="Note 3 2 2 6" xfId="15152"/>
    <cellStyle name="Note 3 2 2 6 2" xfId="44013"/>
    <cellStyle name="Note 3 2 2 7" xfId="29377"/>
    <cellStyle name="Note 3 2 3" xfId="824"/>
    <cellStyle name="Note 3 2 3 2" xfId="3711"/>
    <cellStyle name="Note 3 2 3 2 2" xfId="9752"/>
    <cellStyle name="Note 3 2 3 2 2 2" xfId="26799"/>
    <cellStyle name="Note 3 2 3 2 2 2 2" xfId="55660"/>
    <cellStyle name="Note 3 2 3 2 2 3" xfId="38613"/>
    <cellStyle name="Note 3 2 3 2 3" xfId="20821"/>
    <cellStyle name="Note 3 2 3 2 3 2" xfId="49682"/>
    <cellStyle name="Note 3 2 3 2 4" xfId="32572"/>
    <cellStyle name="Note 3 2 3 3" xfId="6866"/>
    <cellStyle name="Note 3 2 3 3 2" xfId="23913"/>
    <cellStyle name="Note 3 2 3 3 2 2" xfId="52774"/>
    <cellStyle name="Note 3 2 3 3 3" xfId="35727"/>
    <cellStyle name="Note 3 2 3 4" xfId="12461"/>
    <cellStyle name="Note 3 2 3 4 2" xfId="18141"/>
    <cellStyle name="Note 3 2 3 4 2 2" xfId="47002"/>
    <cellStyle name="Note 3 2 3 4 3" xfId="41322"/>
    <cellStyle name="Note 3 2 3 5" xfId="15461"/>
    <cellStyle name="Note 3 2 3 5 2" xfId="44322"/>
    <cellStyle name="Note 3 2 3 6" xfId="29686"/>
    <cellStyle name="Note 3 2 4" xfId="1030"/>
    <cellStyle name="Note 3 2 4 2" xfId="3917"/>
    <cellStyle name="Note 3 2 4 2 2" xfId="9958"/>
    <cellStyle name="Note 3 2 4 2 2 2" xfId="27005"/>
    <cellStyle name="Note 3 2 4 2 2 2 2" xfId="55866"/>
    <cellStyle name="Note 3 2 4 2 2 3" xfId="38819"/>
    <cellStyle name="Note 3 2 4 2 3" xfId="21027"/>
    <cellStyle name="Note 3 2 4 2 3 2" xfId="49888"/>
    <cellStyle name="Note 3 2 4 2 4" xfId="32778"/>
    <cellStyle name="Note 3 2 4 3" xfId="7072"/>
    <cellStyle name="Note 3 2 4 3 2" xfId="24119"/>
    <cellStyle name="Note 3 2 4 3 2 2" xfId="52980"/>
    <cellStyle name="Note 3 2 4 3 3" xfId="35933"/>
    <cellStyle name="Note 3 2 4 4" xfId="13801"/>
    <cellStyle name="Note 3 2 4 4 2" xfId="18347"/>
    <cellStyle name="Note 3 2 4 4 2 2" xfId="47208"/>
    <cellStyle name="Note 3 2 4 4 3" xfId="42662"/>
    <cellStyle name="Note 3 2 4 5" xfId="15667"/>
    <cellStyle name="Note 3 2 4 5 2" xfId="44528"/>
    <cellStyle name="Note 3 2 4 6" xfId="29892"/>
    <cellStyle name="Note 3 2 5" xfId="1236"/>
    <cellStyle name="Note 3 2 5 2" xfId="4123"/>
    <cellStyle name="Note 3 2 5 2 2" xfId="10164"/>
    <cellStyle name="Note 3 2 5 2 2 2" xfId="27211"/>
    <cellStyle name="Note 3 2 5 2 2 2 2" xfId="56072"/>
    <cellStyle name="Note 3 2 5 2 2 3" xfId="39025"/>
    <cellStyle name="Note 3 2 5 2 3" xfId="21233"/>
    <cellStyle name="Note 3 2 5 2 3 2" xfId="50094"/>
    <cellStyle name="Note 3 2 5 2 4" xfId="32984"/>
    <cellStyle name="Note 3 2 5 3" xfId="7278"/>
    <cellStyle name="Note 3 2 5 3 2" xfId="24325"/>
    <cellStyle name="Note 3 2 5 3 2 2" xfId="53186"/>
    <cellStyle name="Note 3 2 5 3 3" xfId="36139"/>
    <cellStyle name="Note 3 2 5 4" xfId="13899"/>
    <cellStyle name="Note 3 2 5 4 2" xfId="18553"/>
    <cellStyle name="Note 3 2 5 4 2 2" xfId="47414"/>
    <cellStyle name="Note 3 2 5 4 3" xfId="42760"/>
    <cellStyle name="Note 3 2 5 5" xfId="15873"/>
    <cellStyle name="Note 3 2 5 5 2" xfId="44734"/>
    <cellStyle name="Note 3 2 5 6" xfId="30098"/>
    <cellStyle name="Note 3 2 6" xfId="1442"/>
    <cellStyle name="Note 3 2 6 2" xfId="4329"/>
    <cellStyle name="Note 3 2 6 2 2" xfId="10370"/>
    <cellStyle name="Note 3 2 6 2 2 2" xfId="27417"/>
    <cellStyle name="Note 3 2 6 2 2 2 2" xfId="56278"/>
    <cellStyle name="Note 3 2 6 2 2 3" xfId="39231"/>
    <cellStyle name="Note 3 2 6 2 3" xfId="21439"/>
    <cellStyle name="Note 3 2 6 2 3 2" xfId="50300"/>
    <cellStyle name="Note 3 2 6 2 4" xfId="33190"/>
    <cellStyle name="Note 3 2 6 3" xfId="7484"/>
    <cellStyle name="Note 3 2 6 3 2" xfId="24531"/>
    <cellStyle name="Note 3 2 6 3 2 2" xfId="53392"/>
    <cellStyle name="Note 3 2 6 3 3" xfId="36345"/>
    <cellStyle name="Note 3 2 6 4" xfId="13786"/>
    <cellStyle name="Note 3 2 6 4 2" xfId="18759"/>
    <cellStyle name="Note 3 2 6 4 2 2" xfId="47620"/>
    <cellStyle name="Note 3 2 6 4 3" xfId="42647"/>
    <cellStyle name="Note 3 2 6 5" xfId="16079"/>
    <cellStyle name="Note 3 2 6 5 2" xfId="44940"/>
    <cellStyle name="Note 3 2 6 6" xfId="30304"/>
    <cellStyle name="Note 3 2 7" xfId="1648"/>
    <cellStyle name="Note 3 2 7 2" xfId="4535"/>
    <cellStyle name="Note 3 2 7 2 2" xfId="10576"/>
    <cellStyle name="Note 3 2 7 2 2 2" xfId="27623"/>
    <cellStyle name="Note 3 2 7 2 2 2 2" xfId="56484"/>
    <cellStyle name="Note 3 2 7 2 2 3" xfId="39437"/>
    <cellStyle name="Note 3 2 7 2 3" xfId="21645"/>
    <cellStyle name="Note 3 2 7 2 3 2" xfId="50506"/>
    <cellStyle name="Note 3 2 7 2 4" xfId="33396"/>
    <cellStyle name="Note 3 2 7 3" xfId="7690"/>
    <cellStyle name="Note 3 2 7 3 2" xfId="24737"/>
    <cellStyle name="Note 3 2 7 3 2 2" xfId="53598"/>
    <cellStyle name="Note 3 2 7 3 3" xfId="36551"/>
    <cellStyle name="Note 3 2 7 4" xfId="12824"/>
    <cellStyle name="Note 3 2 7 4 2" xfId="18965"/>
    <cellStyle name="Note 3 2 7 4 2 2" xfId="47826"/>
    <cellStyle name="Note 3 2 7 4 3" xfId="41685"/>
    <cellStyle name="Note 3 2 7 5" xfId="16285"/>
    <cellStyle name="Note 3 2 7 5 2" xfId="45146"/>
    <cellStyle name="Note 3 2 7 6" xfId="30510"/>
    <cellStyle name="Note 3 2 8" xfId="1854"/>
    <cellStyle name="Note 3 2 8 2" xfId="4741"/>
    <cellStyle name="Note 3 2 8 2 2" xfId="10782"/>
    <cellStyle name="Note 3 2 8 2 2 2" xfId="27829"/>
    <cellStyle name="Note 3 2 8 2 2 2 2" xfId="56690"/>
    <cellStyle name="Note 3 2 8 2 2 3" xfId="39643"/>
    <cellStyle name="Note 3 2 8 2 3" xfId="21851"/>
    <cellStyle name="Note 3 2 8 2 3 2" xfId="50712"/>
    <cellStyle name="Note 3 2 8 2 4" xfId="33602"/>
    <cellStyle name="Note 3 2 8 3" xfId="7896"/>
    <cellStyle name="Note 3 2 8 3 2" xfId="24943"/>
    <cellStyle name="Note 3 2 8 3 2 2" xfId="53804"/>
    <cellStyle name="Note 3 2 8 3 3" xfId="36757"/>
    <cellStyle name="Note 3 2 8 4" xfId="13873"/>
    <cellStyle name="Note 3 2 8 4 2" xfId="19171"/>
    <cellStyle name="Note 3 2 8 4 2 2" xfId="48032"/>
    <cellStyle name="Note 3 2 8 4 3" xfId="42734"/>
    <cellStyle name="Note 3 2 8 5" xfId="16491"/>
    <cellStyle name="Note 3 2 8 5 2" xfId="45352"/>
    <cellStyle name="Note 3 2 8 6" xfId="30716"/>
    <cellStyle name="Note 3 2 9" xfId="2060"/>
    <cellStyle name="Note 3 2 9 2" xfId="4947"/>
    <cellStyle name="Note 3 2 9 2 2" xfId="10988"/>
    <cellStyle name="Note 3 2 9 2 2 2" xfId="28035"/>
    <cellStyle name="Note 3 2 9 2 2 2 2" xfId="56896"/>
    <cellStyle name="Note 3 2 9 2 2 3" xfId="39849"/>
    <cellStyle name="Note 3 2 9 2 3" xfId="22057"/>
    <cellStyle name="Note 3 2 9 2 3 2" xfId="50918"/>
    <cellStyle name="Note 3 2 9 2 4" xfId="33808"/>
    <cellStyle name="Note 3 2 9 3" xfId="8102"/>
    <cellStyle name="Note 3 2 9 3 2" xfId="25149"/>
    <cellStyle name="Note 3 2 9 3 2 2" xfId="54010"/>
    <cellStyle name="Note 3 2 9 3 3" xfId="36963"/>
    <cellStyle name="Note 3 2 9 4" xfId="12635"/>
    <cellStyle name="Note 3 2 9 4 2" xfId="19377"/>
    <cellStyle name="Note 3 2 9 4 2 2" xfId="48238"/>
    <cellStyle name="Note 3 2 9 4 3" xfId="41496"/>
    <cellStyle name="Note 3 2 9 5" xfId="16697"/>
    <cellStyle name="Note 3 2 9 5 2" xfId="45558"/>
    <cellStyle name="Note 3 2 9 6" xfId="30922"/>
    <cellStyle name="Note 3 20" xfId="28965"/>
    <cellStyle name="Note 3 3" xfId="206"/>
    <cellStyle name="Note 3 3 2" xfId="618"/>
    <cellStyle name="Note 3 3 2 2" xfId="3505"/>
    <cellStyle name="Note 3 3 2 2 2" xfId="9546"/>
    <cellStyle name="Note 3 3 2 2 2 2" xfId="26593"/>
    <cellStyle name="Note 3 3 2 2 2 2 2" xfId="55454"/>
    <cellStyle name="Note 3 3 2 2 2 3" xfId="38407"/>
    <cellStyle name="Note 3 3 2 2 3" xfId="20615"/>
    <cellStyle name="Note 3 3 2 2 3 2" xfId="49476"/>
    <cellStyle name="Note 3 3 2 2 4" xfId="32366"/>
    <cellStyle name="Note 3 3 2 3" xfId="6660"/>
    <cellStyle name="Note 3 3 2 3 2" xfId="23707"/>
    <cellStyle name="Note 3 3 2 3 2 2" xfId="52568"/>
    <cellStyle name="Note 3 3 2 3 3" xfId="35521"/>
    <cellStyle name="Note 3 3 2 4" xfId="12880"/>
    <cellStyle name="Note 3 3 2 4 2" xfId="17935"/>
    <cellStyle name="Note 3 3 2 4 2 2" xfId="46796"/>
    <cellStyle name="Note 3 3 2 4 3" xfId="41741"/>
    <cellStyle name="Note 3 3 2 5" xfId="15255"/>
    <cellStyle name="Note 3 3 2 5 2" xfId="44116"/>
    <cellStyle name="Note 3 3 2 6" xfId="29480"/>
    <cellStyle name="Note 3 3 3" xfId="2163"/>
    <cellStyle name="Note 3 3 3 2" xfId="5050"/>
    <cellStyle name="Note 3 3 3 2 2" xfId="11091"/>
    <cellStyle name="Note 3 3 3 2 2 2" xfId="28138"/>
    <cellStyle name="Note 3 3 3 2 2 2 2" xfId="56999"/>
    <cellStyle name="Note 3 3 3 2 2 3" xfId="39952"/>
    <cellStyle name="Note 3 3 3 2 3" xfId="22160"/>
    <cellStyle name="Note 3 3 3 2 3 2" xfId="51021"/>
    <cellStyle name="Note 3 3 3 2 4" xfId="33911"/>
    <cellStyle name="Note 3 3 3 3" xfId="8205"/>
    <cellStyle name="Note 3 3 3 3 2" xfId="25252"/>
    <cellStyle name="Note 3 3 3 3 2 2" xfId="54113"/>
    <cellStyle name="Note 3 3 3 3 3" xfId="37066"/>
    <cellStyle name="Note 3 3 3 4" xfId="13811"/>
    <cellStyle name="Note 3 3 3 4 2" xfId="19480"/>
    <cellStyle name="Note 3 3 3 4 2 2" xfId="48341"/>
    <cellStyle name="Note 3 3 3 4 3" xfId="42672"/>
    <cellStyle name="Note 3 3 3 5" xfId="16800"/>
    <cellStyle name="Note 3 3 3 5 2" xfId="45661"/>
    <cellStyle name="Note 3 3 3 6" xfId="31025"/>
    <cellStyle name="Note 3 3 4" xfId="3093"/>
    <cellStyle name="Note 3 3 4 2" xfId="9134"/>
    <cellStyle name="Note 3 3 4 2 2" xfId="26181"/>
    <cellStyle name="Note 3 3 4 2 2 2" xfId="55042"/>
    <cellStyle name="Note 3 3 4 2 3" xfId="37995"/>
    <cellStyle name="Note 3 3 4 3" xfId="20203"/>
    <cellStyle name="Note 3 3 4 3 2" xfId="49064"/>
    <cellStyle name="Note 3 3 4 4" xfId="31954"/>
    <cellStyle name="Note 3 3 5" xfId="6248"/>
    <cellStyle name="Note 3 3 5 2" xfId="23295"/>
    <cellStyle name="Note 3 3 5 2 2" xfId="52156"/>
    <cellStyle name="Note 3 3 5 3" xfId="35109"/>
    <cellStyle name="Note 3 3 6" xfId="12405"/>
    <cellStyle name="Note 3 3 6 2" xfId="17626"/>
    <cellStyle name="Note 3 3 6 2 2" xfId="46487"/>
    <cellStyle name="Note 3 3 6 3" xfId="41266"/>
    <cellStyle name="Note 3 3 7" xfId="14843"/>
    <cellStyle name="Note 3 3 7 2" xfId="43704"/>
    <cellStyle name="Note 3 3 8" xfId="29068"/>
    <cellStyle name="Note 3 4" xfId="412"/>
    <cellStyle name="Note 3 4 2" xfId="3299"/>
    <cellStyle name="Note 3 4 2 2" xfId="9340"/>
    <cellStyle name="Note 3 4 2 2 2" xfId="26387"/>
    <cellStyle name="Note 3 4 2 2 2 2" xfId="55248"/>
    <cellStyle name="Note 3 4 2 2 3" xfId="38201"/>
    <cellStyle name="Note 3 4 2 3" xfId="20409"/>
    <cellStyle name="Note 3 4 2 3 2" xfId="49270"/>
    <cellStyle name="Note 3 4 2 4" xfId="32160"/>
    <cellStyle name="Note 3 4 3" xfId="6454"/>
    <cellStyle name="Note 3 4 3 2" xfId="23501"/>
    <cellStyle name="Note 3 4 3 2 2" xfId="52362"/>
    <cellStyle name="Note 3 4 3 3" xfId="35315"/>
    <cellStyle name="Note 3 4 4" xfId="13142"/>
    <cellStyle name="Note 3 4 4 2" xfId="17729"/>
    <cellStyle name="Note 3 4 4 2 2" xfId="46590"/>
    <cellStyle name="Note 3 4 4 3" xfId="42003"/>
    <cellStyle name="Note 3 4 5" xfId="15049"/>
    <cellStyle name="Note 3 4 5 2" xfId="43910"/>
    <cellStyle name="Note 3 4 6" xfId="29274"/>
    <cellStyle name="Note 3 5" xfId="721"/>
    <cellStyle name="Note 3 5 2" xfId="3608"/>
    <cellStyle name="Note 3 5 2 2" xfId="9649"/>
    <cellStyle name="Note 3 5 2 2 2" xfId="26696"/>
    <cellStyle name="Note 3 5 2 2 2 2" xfId="55557"/>
    <cellStyle name="Note 3 5 2 2 3" xfId="38510"/>
    <cellStyle name="Note 3 5 2 3" xfId="20718"/>
    <cellStyle name="Note 3 5 2 3 2" xfId="49579"/>
    <cellStyle name="Note 3 5 2 4" xfId="32469"/>
    <cellStyle name="Note 3 5 3" xfId="6763"/>
    <cellStyle name="Note 3 5 3 2" xfId="23810"/>
    <cellStyle name="Note 3 5 3 2 2" xfId="52671"/>
    <cellStyle name="Note 3 5 3 3" xfId="35624"/>
    <cellStyle name="Note 3 5 4" xfId="12528"/>
    <cellStyle name="Note 3 5 4 2" xfId="18038"/>
    <cellStyle name="Note 3 5 4 2 2" xfId="46899"/>
    <cellStyle name="Note 3 5 4 3" xfId="41389"/>
    <cellStyle name="Note 3 5 5" xfId="15358"/>
    <cellStyle name="Note 3 5 5 2" xfId="44219"/>
    <cellStyle name="Note 3 5 6" xfId="29583"/>
    <cellStyle name="Note 3 6" xfId="927"/>
    <cellStyle name="Note 3 6 2" xfId="3814"/>
    <cellStyle name="Note 3 6 2 2" xfId="9855"/>
    <cellStyle name="Note 3 6 2 2 2" xfId="26902"/>
    <cellStyle name="Note 3 6 2 2 2 2" xfId="55763"/>
    <cellStyle name="Note 3 6 2 2 3" xfId="38716"/>
    <cellStyle name="Note 3 6 2 3" xfId="20924"/>
    <cellStyle name="Note 3 6 2 3 2" xfId="49785"/>
    <cellStyle name="Note 3 6 2 4" xfId="32675"/>
    <cellStyle name="Note 3 6 3" xfId="6969"/>
    <cellStyle name="Note 3 6 3 2" xfId="24016"/>
    <cellStyle name="Note 3 6 3 2 2" xfId="52877"/>
    <cellStyle name="Note 3 6 3 3" xfId="35830"/>
    <cellStyle name="Note 3 6 4" xfId="14093"/>
    <cellStyle name="Note 3 6 4 2" xfId="18244"/>
    <cellStyle name="Note 3 6 4 2 2" xfId="47105"/>
    <cellStyle name="Note 3 6 4 3" xfId="42954"/>
    <cellStyle name="Note 3 6 5" xfId="15564"/>
    <cellStyle name="Note 3 6 5 2" xfId="44425"/>
    <cellStyle name="Note 3 6 6" xfId="29789"/>
    <cellStyle name="Note 3 7" xfId="1133"/>
    <cellStyle name="Note 3 7 2" xfId="4020"/>
    <cellStyle name="Note 3 7 2 2" xfId="10061"/>
    <cellStyle name="Note 3 7 2 2 2" xfId="27108"/>
    <cellStyle name="Note 3 7 2 2 2 2" xfId="55969"/>
    <cellStyle name="Note 3 7 2 2 3" xfId="38922"/>
    <cellStyle name="Note 3 7 2 3" xfId="21130"/>
    <cellStyle name="Note 3 7 2 3 2" xfId="49991"/>
    <cellStyle name="Note 3 7 2 4" xfId="32881"/>
    <cellStyle name="Note 3 7 3" xfId="7175"/>
    <cellStyle name="Note 3 7 3 2" xfId="24222"/>
    <cellStyle name="Note 3 7 3 2 2" xfId="53083"/>
    <cellStyle name="Note 3 7 3 3" xfId="36036"/>
    <cellStyle name="Note 3 7 4" xfId="13670"/>
    <cellStyle name="Note 3 7 4 2" xfId="18450"/>
    <cellStyle name="Note 3 7 4 2 2" xfId="47311"/>
    <cellStyle name="Note 3 7 4 3" xfId="42531"/>
    <cellStyle name="Note 3 7 5" xfId="15770"/>
    <cellStyle name="Note 3 7 5 2" xfId="44631"/>
    <cellStyle name="Note 3 7 6" xfId="29995"/>
    <cellStyle name="Note 3 8" xfId="1339"/>
    <cellStyle name="Note 3 8 2" xfId="4226"/>
    <cellStyle name="Note 3 8 2 2" xfId="10267"/>
    <cellStyle name="Note 3 8 2 2 2" xfId="27314"/>
    <cellStyle name="Note 3 8 2 2 2 2" xfId="56175"/>
    <cellStyle name="Note 3 8 2 2 3" xfId="39128"/>
    <cellStyle name="Note 3 8 2 3" xfId="21336"/>
    <cellStyle name="Note 3 8 2 3 2" xfId="50197"/>
    <cellStyle name="Note 3 8 2 4" xfId="33087"/>
    <cellStyle name="Note 3 8 3" xfId="7381"/>
    <cellStyle name="Note 3 8 3 2" xfId="24428"/>
    <cellStyle name="Note 3 8 3 2 2" xfId="53289"/>
    <cellStyle name="Note 3 8 3 3" xfId="36242"/>
    <cellStyle name="Note 3 8 4" xfId="14329"/>
    <cellStyle name="Note 3 8 4 2" xfId="18656"/>
    <cellStyle name="Note 3 8 4 2 2" xfId="47517"/>
    <cellStyle name="Note 3 8 4 3" xfId="43190"/>
    <cellStyle name="Note 3 8 5" xfId="15976"/>
    <cellStyle name="Note 3 8 5 2" xfId="44837"/>
    <cellStyle name="Note 3 8 6" xfId="30201"/>
    <cellStyle name="Note 3 9" xfId="1545"/>
    <cellStyle name="Note 3 9 2" xfId="4432"/>
    <cellStyle name="Note 3 9 2 2" xfId="10473"/>
    <cellStyle name="Note 3 9 2 2 2" xfId="27520"/>
    <cellStyle name="Note 3 9 2 2 2 2" xfId="56381"/>
    <cellStyle name="Note 3 9 2 2 3" xfId="39334"/>
    <cellStyle name="Note 3 9 2 3" xfId="21542"/>
    <cellStyle name="Note 3 9 2 3 2" xfId="50403"/>
    <cellStyle name="Note 3 9 2 4" xfId="33293"/>
    <cellStyle name="Note 3 9 3" xfId="7587"/>
    <cellStyle name="Note 3 9 3 2" xfId="24634"/>
    <cellStyle name="Note 3 9 3 2 2" xfId="53495"/>
    <cellStyle name="Note 3 9 3 3" xfId="36448"/>
    <cellStyle name="Note 3 9 4" xfId="13758"/>
    <cellStyle name="Note 3 9 4 2" xfId="18862"/>
    <cellStyle name="Note 3 9 4 2 2" xfId="47723"/>
    <cellStyle name="Note 3 9 4 3" xfId="42619"/>
    <cellStyle name="Note 3 9 5" xfId="16182"/>
    <cellStyle name="Note 3 9 5 2" xfId="45043"/>
    <cellStyle name="Note 3 9 6" xfId="30407"/>
    <cellStyle name="Note 4" xfId="129"/>
    <cellStyle name="Note 4 10" xfId="1777"/>
    <cellStyle name="Note 4 10 2" xfId="4664"/>
    <cellStyle name="Note 4 10 2 2" xfId="10705"/>
    <cellStyle name="Note 4 10 2 2 2" xfId="27752"/>
    <cellStyle name="Note 4 10 2 2 2 2" xfId="56613"/>
    <cellStyle name="Note 4 10 2 2 3" xfId="39566"/>
    <cellStyle name="Note 4 10 2 3" xfId="21774"/>
    <cellStyle name="Note 4 10 2 3 2" xfId="50635"/>
    <cellStyle name="Note 4 10 2 4" xfId="33525"/>
    <cellStyle name="Note 4 10 3" xfId="7819"/>
    <cellStyle name="Note 4 10 3 2" xfId="24866"/>
    <cellStyle name="Note 4 10 3 2 2" xfId="53727"/>
    <cellStyle name="Note 4 10 3 3" xfId="36680"/>
    <cellStyle name="Note 4 10 4" xfId="13258"/>
    <cellStyle name="Note 4 10 4 2" xfId="19094"/>
    <cellStyle name="Note 4 10 4 2 2" xfId="47955"/>
    <cellStyle name="Note 4 10 4 3" xfId="42119"/>
    <cellStyle name="Note 4 10 5" xfId="16414"/>
    <cellStyle name="Note 4 10 5 2" xfId="45275"/>
    <cellStyle name="Note 4 10 6" xfId="30639"/>
    <cellStyle name="Note 4 11" xfId="1983"/>
    <cellStyle name="Note 4 11 2" xfId="4870"/>
    <cellStyle name="Note 4 11 2 2" xfId="10911"/>
    <cellStyle name="Note 4 11 2 2 2" xfId="27958"/>
    <cellStyle name="Note 4 11 2 2 2 2" xfId="56819"/>
    <cellStyle name="Note 4 11 2 2 3" xfId="39772"/>
    <cellStyle name="Note 4 11 2 3" xfId="21980"/>
    <cellStyle name="Note 4 11 2 3 2" xfId="50841"/>
    <cellStyle name="Note 4 11 2 4" xfId="33731"/>
    <cellStyle name="Note 4 11 3" xfId="8025"/>
    <cellStyle name="Note 4 11 3 2" xfId="25072"/>
    <cellStyle name="Note 4 11 3 2 2" xfId="53933"/>
    <cellStyle name="Note 4 11 3 3" xfId="36886"/>
    <cellStyle name="Note 4 11 4" xfId="13497"/>
    <cellStyle name="Note 4 11 4 2" xfId="19300"/>
    <cellStyle name="Note 4 11 4 2 2" xfId="48161"/>
    <cellStyle name="Note 4 11 4 3" xfId="42358"/>
    <cellStyle name="Note 4 11 5" xfId="16620"/>
    <cellStyle name="Note 4 11 5 2" xfId="45481"/>
    <cellStyle name="Note 4 11 6" xfId="30845"/>
    <cellStyle name="Note 4 12" xfId="2395"/>
    <cellStyle name="Note 4 12 2" xfId="5282"/>
    <cellStyle name="Note 4 12 2 2" xfId="11323"/>
    <cellStyle name="Note 4 12 2 2 2" xfId="28370"/>
    <cellStyle name="Note 4 12 2 2 2 2" xfId="57231"/>
    <cellStyle name="Note 4 12 2 2 3" xfId="40184"/>
    <cellStyle name="Note 4 12 2 3" xfId="22392"/>
    <cellStyle name="Note 4 12 2 3 2" xfId="51253"/>
    <cellStyle name="Note 4 12 2 4" xfId="34143"/>
    <cellStyle name="Note 4 12 3" xfId="8437"/>
    <cellStyle name="Note 4 12 3 2" xfId="25484"/>
    <cellStyle name="Note 4 12 3 2 2" xfId="54345"/>
    <cellStyle name="Note 4 12 3 3" xfId="37298"/>
    <cellStyle name="Note 4 12 4" xfId="11926"/>
    <cellStyle name="Note 4 12 4 2" xfId="19712"/>
    <cellStyle name="Note 4 12 4 2 2" xfId="48573"/>
    <cellStyle name="Note 4 12 4 3" xfId="40787"/>
    <cellStyle name="Note 4 12 5" xfId="17032"/>
    <cellStyle name="Note 4 12 5 2" xfId="45893"/>
    <cellStyle name="Note 4 12 6" xfId="31257"/>
    <cellStyle name="Note 4 13" xfId="2604"/>
    <cellStyle name="Note 4 13 2" xfId="5490"/>
    <cellStyle name="Note 4 13 2 2" xfId="11531"/>
    <cellStyle name="Note 4 13 2 2 2" xfId="28578"/>
    <cellStyle name="Note 4 13 2 2 2 2" xfId="57439"/>
    <cellStyle name="Note 4 13 2 2 3" xfId="40392"/>
    <cellStyle name="Note 4 13 2 3" xfId="22600"/>
    <cellStyle name="Note 4 13 2 3 2" xfId="51461"/>
    <cellStyle name="Note 4 13 2 4" xfId="34351"/>
    <cellStyle name="Note 4 13 3" xfId="8645"/>
    <cellStyle name="Note 4 13 3 2" xfId="25692"/>
    <cellStyle name="Note 4 13 3 2 2" xfId="54553"/>
    <cellStyle name="Note 4 13 3 3" xfId="37506"/>
    <cellStyle name="Note 4 13 4" xfId="13265"/>
    <cellStyle name="Note 4 13 4 2" xfId="19920"/>
    <cellStyle name="Note 4 13 4 2 2" xfId="48781"/>
    <cellStyle name="Note 4 13 4 3" xfId="42126"/>
    <cellStyle name="Note 4 13 5" xfId="17240"/>
    <cellStyle name="Note 4 13 5 2" xfId="46101"/>
    <cellStyle name="Note 4 13 6" xfId="31465"/>
    <cellStyle name="Note 4 14" xfId="3016"/>
    <cellStyle name="Note 4 14 2" xfId="9057"/>
    <cellStyle name="Note 4 14 2 2" xfId="26104"/>
    <cellStyle name="Note 4 14 2 2 2" xfId="54965"/>
    <cellStyle name="Note 4 14 2 3" xfId="37918"/>
    <cellStyle name="Note 4 14 3" xfId="12902"/>
    <cellStyle name="Note 4 14 3 2" xfId="20126"/>
    <cellStyle name="Note 4 14 3 2 2" xfId="48987"/>
    <cellStyle name="Note 4 14 3 3" xfId="41763"/>
    <cellStyle name="Note 4 14 4" xfId="14766"/>
    <cellStyle name="Note 4 14 4 2" xfId="43627"/>
    <cellStyle name="Note 4 14 5" xfId="31877"/>
    <cellStyle name="Note 4 15" xfId="2810"/>
    <cellStyle name="Note 4 15 2" xfId="8851"/>
    <cellStyle name="Note 4 15 2 2" xfId="25898"/>
    <cellStyle name="Note 4 15 2 2 2" xfId="54759"/>
    <cellStyle name="Note 4 15 2 3" xfId="37712"/>
    <cellStyle name="Note 4 15 3" xfId="17446"/>
    <cellStyle name="Note 4 15 3 2" xfId="46307"/>
    <cellStyle name="Note 4 15 4" xfId="31671"/>
    <cellStyle name="Note 4 16" xfId="5696"/>
    <cellStyle name="Note 4 16 2" xfId="11737"/>
    <cellStyle name="Note 4 16 2 2" xfId="28784"/>
    <cellStyle name="Note 4 16 2 2 2" xfId="57645"/>
    <cellStyle name="Note 4 16 2 3" xfId="40598"/>
    <cellStyle name="Note 4 16 3" xfId="22806"/>
    <cellStyle name="Note 4 16 3 2" xfId="51667"/>
    <cellStyle name="Note 4 16 4" xfId="34557"/>
    <cellStyle name="Note 4 17" xfId="5913"/>
    <cellStyle name="Note 4 17 2" xfId="23012"/>
    <cellStyle name="Note 4 17 2 2" xfId="51873"/>
    <cellStyle name="Note 4 17 3" xfId="34774"/>
    <cellStyle name="Note 4 18" xfId="6171"/>
    <cellStyle name="Note 4 18 2" xfId="23218"/>
    <cellStyle name="Note 4 18 2 2" xfId="52079"/>
    <cellStyle name="Note 4 18 3" xfId="35032"/>
    <cellStyle name="Note 4 19" xfId="14560"/>
    <cellStyle name="Note 4 19 2" xfId="43421"/>
    <cellStyle name="Note 4 2" xfId="335"/>
    <cellStyle name="Note 4 2 10" xfId="2498"/>
    <cellStyle name="Note 4 2 10 2" xfId="5385"/>
    <cellStyle name="Note 4 2 10 2 2" xfId="11426"/>
    <cellStyle name="Note 4 2 10 2 2 2" xfId="28473"/>
    <cellStyle name="Note 4 2 10 2 2 2 2" xfId="57334"/>
    <cellStyle name="Note 4 2 10 2 2 3" xfId="40287"/>
    <cellStyle name="Note 4 2 10 2 3" xfId="22495"/>
    <cellStyle name="Note 4 2 10 2 3 2" xfId="51356"/>
    <cellStyle name="Note 4 2 10 2 4" xfId="34246"/>
    <cellStyle name="Note 4 2 10 3" xfId="8540"/>
    <cellStyle name="Note 4 2 10 3 2" xfId="25587"/>
    <cellStyle name="Note 4 2 10 3 2 2" xfId="54448"/>
    <cellStyle name="Note 4 2 10 3 3" xfId="37401"/>
    <cellStyle name="Note 4 2 10 4" xfId="13594"/>
    <cellStyle name="Note 4 2 10 4 2" xfId="19815"/>
    <cellStyle name="Note 4 2 10 4 2 2" xfId="48676"/>
    <cellStyle name="Note 4 2 10 4 3" xfId="42455"/>
    <cellStyle name="Note 4 2 10 5" xfId="17135"/>
    <cellStyle name="Note 4 2 10 5 2" xfId="45996"/>
    <cellStyle name="Note 4 2 10 6" xfId="31360"/>
    <cellStyle name="Note 4 2 11" xfId="2707"/>
    <cellStyle name="Note 4 2 11 2" xfId="5593"/>
    <cellStyle name="Note 4 2 11 2 2" xfId="11634"/>
    <cellStyle name="Note 4 2 11 2 2 2" xfId="28681"/>
    <cellStyle name="Note 4 2 11 2 2 2 2" xfId="57542"/>
    <cellStyle name="Note 4 2 11 2 2 3" xfId="40495"/>
    <cellStyle name="Note 4 2 11 2 3" xfId="22703"/>
    <cellStyle name="Note 4 2 11 2 3 2" xfId="51564"/>
    <cellStyle name="Note 4 2 11 2 4" xfId="34454"/>
    <cellStyle name="Note 4 2 11 3" xfId="8748"/>
    <cellStyle name="Note 4 2 11 3 2" xfId="25795"/>
    <cellStyle name="Note 4 2 11 3 2 2" xfId="54656"/>
    <cellStyle name="Note 4 2 11 3 3" xfId="37609"/>
    <cellStyle name="Note 4 2 11 4" xfId="6064"/>
    <cellStyle name="Note 4 2 11 4 2" xfId="20023"/>
    <cellStyle name="Note 4 2 11 4 2 2" xfId="48884"/>
    <cellStyle name="Note 4 2 11 4 3" xfId="34925"/>
    <cellStyle name="Note 4 2 11 5" xfId="17343"/>
    <cellStyle name="Note 4 2 11 5 2" xfId="46204"/>
    <cellStyle name="Note 4 2 11 6" xfId="31568"/>
    <cellStyle name="Note 4 2 12" xfId="3222"/>
    <cellStyle name="Note 4 2 12 2" xfId="9263"/>
    <cellStyle name="Note 4 2 12 2 2" xfId="26310"/>
    <cellStyle name="Note 4 2 12 2 2 2" xfId="55171"/>
    <cellStyle name="Note 4 2 12 2 3" xfId="38124"/>
    <cellStyle name="Note 4 2 12 3" xfId="13387"/>
    <cellStyle name="Note 4 2 12 3 2" xfId="20332"/>
    <cellStyle name="Note 4 2 12 3 2 2" xfId="49193"/>
    <cellStyle name="Note 4 2 12 3 3" xfId="42248"/>
    <cellStyle name="Note 4 2 12 4" xfId="14972"/>
    <cellStyle name="Note 4 2 12 4 2" xfId="43833"/>
    <cellStyle name="Note 4 2 12 5" xfId="32083"/>
    <cellStyle name="Note 4 2 13" xfId="2913"/>
    <cellStyle name="Note 4 2 13 2" xfId="8954"/>
    <cellStyle name="Note 4 2 13 2 2" xfId="26001"/>
    <cellStyle name="Note 4 2 13 2 2 2" xfId="54862"/>
    <cellStyle name="Note 4 2 13 2 3" xfId="37815"/>
    <cellStyle name="Note 4 2 13 3" xfId="17549"/>
    <cellStyle name="Note 4 2 13 3 2" xfId="46410"/>
    <cellStyle name="Note 4 2 13 4" xfId="31774"/>
    <cellStyle name="Note 4 2 14" xfId="5799"/>
    <cellStyle name="Note 4 2 14 2" xfId="11840"/>
    <cellStyle name="Note 4 2 14 2 2" xfId="28887"/>
    <cellStyle name="Note 4 2 14 2 2 2" xfId="57748"/>
    <cellStyle name="Note 4 2 14 2 3" xfId="40701"/>
    <cellStyle name="Note 4 2 14 3" xfId="22909"/>
    <cellStyle name="Note 4 2 14 3 2" xfId="51770"/>
    <cellStyle name="Note 4 2 14 4" xfId="34660"/>
    <cellStyle name="Note 4 2 15" xfId="6016"/>
    <cellStyle name="Note 4 2 15 2" xfId="23115"/>
    <cellStyle name="Note 4 2 15 2 2" xfId="51976"/>
    <cellStyle name="Note 4 2 15 3" xfId="34877"/>
    <cellStyle name="Note 4 2 16" xfId="6377"/>
    <cellStyle name="Note 4 2 16 2" xfId="23424"/>
    <cellStyle name="Note 4 2 16 2 2" xfId="52285"/>
    <cellStyle name="Note 4 2 16 3" xfId="35238"/>
    <cellStyle name="Note 4 2 17" xfId="14663"/>
    <cellStyle name="Note 4 2 17 2" xfId="43524"/>
    <cellStyle name="Note 4 2 18" xfId="29197"/>
    <cellStyle name="Note 4 2 2" xfId="541"/>
    <cellStyle name="Note 4 2 2 2" xfId="2292"/>
    <cellStyle name="Note 4 2 2 2 2" xfId="5179"/>
    <cellStyle name="Note 4 2 2 2 2 2" xfId="11220"/>
    <cellStyle name="Note 4 2 2 2 2 2 2" xfId="28267"/>
    <cellStyle name="Note 4 2 2 2 2 2 2 2" xfId="57128"/>
    <cellStyle name="Note 4 2 2 2 2 2 3" xfId="40081"/>
    <cellStyle name="Note 4 2 2 2 2 3" xfId="22289"/>
    <cellStyle name="Note 4 2 2 2 2 3 2" xfId="51150"/>
    <cellStyle name="Note 4 2 2 2 2 4" xfId="34040"/>
    <cellStyle name="Note 4 2 2 2 3" xfId="8334"/>
    <cellStyle name="Note 4 2 2 2 3 2" xfId="25381"/>
    <cellStyle name="Note 4 2 2 2 3 2 2" xfId="54242"/>
    <cellStyle name="Note 4 2 2 2 3 3" xfId="37195"/>
    <cellStyle name="Note 4 2 2 2 4" xfId="13017"/>
    <cellStyle name="Note 4 2 2 2 4 2" xfId="19609"/>
    <cellStyle name="Note 4 2 2 2 4 2 2" xfId="48470"/>
    <cellStyle name="Note 4 2 2 2 4 3" xfId="41878"/>
    <cellStyle name="Note 4 2 2 2 5" xfId="16929"/>
    <cellStyle name="Note 4 2 2 2 5 2" xfId="45790"/>
    <cellStyle name="Note 4 2 2 2 6" xfId="31154"/>
    <cellStyle name="Note 4 2 2 3" xfId="3428"/>
    <cellStyle name="Note 4 2 2 3 2" xfId="9469"/>
    <cellStyle name="Note 4 2 2 3 2 2" xfId="26516"/>
    <cellStyle name="Note 4 2 2 3 2 2 2" xfId="55377"/>
    <cellStyle name="Note 4 2 2 3 2 3" xfId="38330"/>
    <cellStyle name="Note 4 2 2 3 3" xfId="20538"/>
    <cellStyle name="Note 4 2 2 3 3 2" xfId="49399"/>
    <cellStyle name="Note 4 2 2 3 4" xfId="32289"/>
    <cellStyle name="Note 4 2 2 4" xfId="6583"/>
    <cellStyle name="Note 4 2 2 4 2" xfId="23630"/>
    <cellStyle name="Note 4 2 2 4 2 2" xfId="52491"/>
    <cellStyle name="Note 4 2 2 4 3" xfId="35444"/>
    <cellStyle name="Note 4 2 2 5" xfId="12594"/>
    <cellStyle name="Note 4 2 2 5 2" xfId="17858"/>
    <cellStyle name="Note 4 2 2 5 2 2" xfId="46719"/>
    <cellStyle name="Note 4 2 2 5 3" xfId="41455"/>
    <cellStyle name="Note 4 2 2 6" xfId="15178"/>
    <cellStyle name="Note 4 2 2 6 2" xfId="44039"/>
    <cellStyle name="Note 4 2 2 7" xfId="29403"/>
    <cellStyle name="Note 4 2 3" xfId="850"/>
    <cellStyle name="Note 4 2 3 2" xfId="3737"/>
    <cellStyle name="Note 4 2 3 2 2" xfId="9778"/>
    <cellStyle name="Note 4 2 3 2 2 2" xfId="26825"/>
    <cellStyle name="Note 4 2 3 2 2 2 2" xfId="55686"/>
    <cellStyle name="Note 4 2 3 2 2 3" xfId="38639"/>
    <cellStyle name="Note 4 2 3 2 3" xfId="20847"/>
    <cellStyle name="Note 4 2 3 2 3 2" xfId="49708"/>
    <cellStyle name="Note 4 2 3 2 4" xfId="32598"/>
    <cellStyle name="Note 4 2 3 3" xfId="6892"/>
    <cellStyle name="Note 4 2 3 3 2" xfId="23939"/>
    <cellStyle name="Note 4 2 3 3 2 2" xfId="52800"/>
    <cellStyle name="Note 4 2 3 3 3" xfId="35753"/>
    <cellStyle name="Note 4 2 3 4" xfId="12023"/>
    <cellStyle name="Note 4 2 3 4 2" xfId="18167"/>
    <cellStyle name="Note 4 2 3 4 2 2" xfId="47028"/>
    <cellStyle name="Note 4 2 3 4 3" xfId="40884"/>
    <cellStyle name="Note 4 2 3 5" xfId="15487"/>
    <cellStyle name="Note 4 2 3 5 2" xfId="44348"/>
    <cellStyle name="Note 4 2 3 6" xfId="29712"/>
    <cellStyle name="Note 4 2 4" xfId="1056"/>
    <cellStyle name="Note 4 2 4 2" xfId="3943"/>
    <cellStyle name="Note 4 2 4 2 2" xfId="9984"/>
    <cellStyle name="Note 4 2 4 2 2 2" xfId="27031"/>
    <cellStyle name="Note 4 2 4 2 2 2 2" xfId="55892"/>
    <cellStyle name="Note 4 2 4 2 2 3" xfId="38845"/>
    <cellStyle name="Note 4 2 4 2 3" xfId="21053"/>
    <cellStyle name="Note 4 2 4 2 3 2" xfId="49914"/>
    <cellStyle name="Note 4 2 4 2 4" xfId="32804"/>
    <cellStyle name="Note 4 2 4 3" xfId="7098"/>
    <cellStyle name="Note 4 2 4 3 2" xfId="24145"/>
    <cellStyle name="Note 4 2 4 3 2 2" xfId="53006"/>
    <cellStyle name="Note 4 2 4 3 3" xfId="35959"/>
    <cellStyle name="Note 4 2 4 4" xfId="14241"/>
    <cellStyle name="Note 4 2 4 4 2" xfId="18373"/>
    <cellStyle name="Note 4 2 4 4 2 2" xfId="47234"/>
    <cellStyle name="Note 4 2 4 4 3" xfId="43102"/>
    <cellStyle name="Note 4 2 4 5" xfId="15693"/>
    <cellStyle name="Note 4 2 4 5 2" xfId="44554"/>
    <cellStyle name="Note 4 2 4 6" xfId="29918"/>
    <cellStyle name="Note 4 2 5" xfId="1262"/>
    <cellStyle name="Note 4 2 5 2" xfId="4149"/>
    <cellStyle name="Note 4 2 5 2 2" xfId="10190"/>
    <cellStyle name="Note 4 2 5 2 2 2" xfId="27237"/>
    <cellStyle name="Note 4 2 5 2 2 2 2" xfId="56098"/>
    <cellStyle name="Note 4 2 5 2 2 3" xfId="39051"/>
    <cellStyle name="Note 4 2 5 2 3" xfId="21259"/>
    <cellStyle name="Note 4 2 5 2 3 2" xfId="50120"/>
    <cellStyle name="Note 4 2 5 2 4" xfId="33010"/>
    <cellStyle name="Note 4 2 5 3" xfId="7304"/>
    <cellStyle name="Note 4 2 5 3 2" xfId="24351"/>
    <cellStyle name="Note 4 2 5 3 2 2" xfId="53212"/>
    <cellStyle name="Note 4 2 5 3 3" xfId="36165"/>
    <cellStyle name="Note 4 2 5 4" xfId="14425"/>
    <cellStyle name="Note 4 2 5 4 2" xfId="18579"/>
    <cellStyle name="Note 4 2 5 4 2 2" xfId="47440"/>
    <cellStyle name="Note 4 2 5 4 3" xfId="43286"/>
    <cellStyle name="Note 4 2 5 5" xfId="15899"/>
    <cellStyle name="Note 4 2 5 5 2" xfId="44760"/>
    <cellStyle name="Note 4 2 5 6" xfId="30124"/>
    <cellStyle name="Note 4 2 6" xfId="1468"/>
    <cellStyle name="Note 4 2 6 2" xfId="4355"/>
    <cellStyle name="Note 4 2 6 2 2" xfId="10396"/>
    <cellStyle name="Note 4 2 6 2 2 2" xfId="27443"/>
    <cellStyle name="Note 4 2 6 2 2 2 2" xfId="56304"/>
    <cellStyle name="Note 4 2 6 2 2 3" xfId="39257"/>
    <cellStyle name="Note 4 2 6 2 3" xfId="21465"/>
    <cellStyle name="Note 4 2 6 2 3 2" xfId="50326"/>
    <cellStyle name="Note 4 2 6 2 4" xfId="33216"/>
    <cellStyle name="Note 4 2 6 3" xfId="7510"/>
    <cellStyle name="Note 4 2 6 3 2" xfId="24557"/>
    <cellStyle name="Note 4 2 6 3 2 2" xfId="53418"/>
    <cellStyle name="Note 4 2 6 3 3" xfId="36371"/>
    <cellStyle name="Note 4 2 6 4" xfId="13106"/>
    <cellStyle name="Note 4 2 6 4 2" xfId="18785"/>
    <cellStyle name="Note 4 2 6 4 2 2" xfId="47646"/>
    <cellStyle name="Note 4 2 6 4 3" xfId="41967"/>
    <cellStyle name="Note 4 2 6 5" xfId="16105"/>
    <cellStyle name="Note 4 2 6 5 2" xfId="44966"/>
    <cellStyle name="Note 4 2 6 6" xfId="30330"/>
    <cellStyle name="Note 4 2 7" xfId="1674"/>
    <cellStyle name="Note 4 2 7 2" xfId="4561"/>
    <cellStyle name="Note 4 2 7 2 2" xfId="10602"/>
    <cellStyle name="Note 4 2 7 2 2 2" xfId="27649"/>
    <cellStyle name="Note 4 2 7 2 2 2 2" xfId="56510"/>
    <cellStyle name="Note 4 2 7 2 2 3" xfId="39463"/>
    <cellStyle name="Note 4 2 7 2 3" xfId="21671"/>
    <cellStyle name="Note 4 2 7 2 3 2" xfId="50532"/>
    <cellStyle name="Note 4 2 7 2 4" xfId="33422"/>
    <cellStyle name="Note 4 2 7 3" xfId="7716"/>
    <cellStyle name="Note 4 2 7 3 2" xfId="24763"/>
    <cellStyle name="Note 4 2 7 3 2 2" xfId="53624"/>
    <cellStyle name="Note 4 2 7 3 3" xfId="36577"/>
    <cellStyle name="Note 4 2 7 4" xfId="12590"/>
    <cellStyle name="Note 4 2 7 4 2" xfId="18991"/>
    <cellStyle name="Note 4 2 7 4 2 2" xfId="47852"/>
    <cellStyle name="Note 4 2 7 4 3" xfId="41451"/>
    <cellStyle name="Note 4 2 7 5" xfId="16311"/>
    <cellStyle name="Note 4 2 7 5 2" xfId="45172"/>
    <cellStyle name="Note 4 2 7 6" xfId="30536"/>
    <cellStyle name="Note 4 2 8" xfId="1880"/>
    <cellStyle name="Note 4 2 8 2" xfId="4767"/>
    <cellStyle name="Note 4 2 8 2 2" xfId="10808"/>
    <cellStyle name="Note 4 2 8 2 2 2" xfId="27855"/>
    <cellStyle name="Note 4 2 8 2 2 2 2" xfId="56716"/>
    <cellStyle name="Note 4 2 8 2 2 3" xfId="39669"/>
    <cellStyle name="Note 4 2 8 2 3" xfId="21877"/>
    <cellStyle name="Note 4 2 8 2 3 2" xfId="50738"/>
    <cellStyle name="Note 4 2 8 2 4" xfId="33628"/>
    <cellStyle name="Note 4 2 8 3" xfId="7922"/>
    <cellStyle name="Note 4 2 8 3 2" xfId="24969"/>
    <cellStyle name="Note 4 2 8 3 2 2" xfId="53830"/>
    <cellStyle name="Note 4 2 8 3 3" xfId="36783"/>
    <cellStyle name="Note 4 2 8 4" xfId="13529"/>
    <cellStyle name="Note 4 2 8 4 2" xfId="19197"/>
    <cellStyle name="Note 4 2 8 4 2 2" xfId="48058"/>
    <cellStyle name="Note 4 2 8 4 3" xfId="42390"/>
    <cellStyle name="Note 4 2 8 5" xfId="16517"/>
    <cellStyle name="Note 4 2 8 5 2" xfId="45378"/>
    <cellStyle name="Note 4 2 8 6" xfId="30742"/>
    <cellStyle name="Note 4 2 9" xfId="2086"/>
    <cellStyle name="Note 4 2 9 2" xfId="4973"/>
    <cellStyle name="Note 4 2 9 2 2" xfId="11014"/>
    <cellStyle name="Note 4 2 9 2 2 2" xfId="28061"/>
    <cellStyle name="Note 4 2 9 2 2 2 2" xfId="56922"/>
    <cellStyle name="Note 4 2 9 2 2 3" xfId="39875"/>
    <cellStyle name="Note 4 2 9 2 3" xfId="22083"/>
    <cellStyle name="Note 4 2 9 2 3 2" xfId="50944"/>
    <cellStyle name="Note 4 2 9 2 4" xfId="33834"/>
    <cellStyle name="Note 4 2 9 3" xfId="8128"/>
    <cellStyle name="Note 4 2 9 3 2" xfId="25175"/>
    <cellStyle name="Note 4 2 9 3 2 2" xfId="54036"/>
    <cellStyle name="Note 4 2 9 3 3" xfId="36989"/>
    <cellStyle name="Note 4 2 9 4" xfId="13680"/>
    <cellStyle name="Note 4 2 9 4 2" xfId="19403"/>
    <cellStyle name="Note 4 2 9 4 2 2" xfId="48264"/>
    <cellStyle name="Note 4 2 9 4 3" xfId="42541"/>
    <cellStyle name="Note 4 2 9 5" xfId="16723"/>
    <cellStyle name="Note 4 2 9 5 2" xfId="45584"/>
    <cellStyle name="Note 4 2 9 6" xfId="30948"/>
    <cellStyle name="Note 4 20" xfId="28991"/>
    <cellStyle name="Note 4 3" xfId="232"/>
    <cellStyle name="Note 4 3 2" xfId="644"/>
    <cellStyle name="Note 4 3 2 2" xfId="3531"/>
    <cellStyle name="Note 4 3 2 2 2" xfId="9572"/>
    <cellStyle name="Note 4 3 2 2 2 2" xfId="26619"/>
    <cellStyle name="Note 4 3 2 2 2 2 2" xfId="55480"/>
    <cellStyle name="Note 4 3 2 2 2 3" xfId="38433"/>
    <cellStyle name="Note 4 3 2 2 3" xfId="20641"/>
    <cellStyle name="Note 4 3 2 2 3 2" xfId="49502"/>
    <cellStyle name="Note 4 3 2 2 4" xfId="32392"/>
    <cellStyle name="Note 4 3 2 3" xfId="6686"/>
    <cellStyle name="Note 4 3 2 3 2" xfId="23733"/>
    <cellStyle name="Note 4 3 2 3 2 2" xfId="52594"/>
    <cellStyle name="Note 4 3 2 3 3" xfId="35547"/>
    <cellStyle name="Note 4 3 2 4" xfId="12915"/>
    <cellStyle name="Note 4 3 2 4 2" xfId="17961"/>
    <cellStyle name="Note 4 3 2 4 2 2" xfId="46822"/>
    <cellStyle name="Note 4 3 2 4 3" xfId="41776"/>
    <cellStyle name="Note 4 3 2 5" xfId="15281"/>
    <cellStyle name="Note 4 3 2 5 2" xfId="44142"/>
    <cellStyle name="Note 4 3 2 6" xfId="29506"/>
    <cellStyle name="Note 4 3 3" xfId="2189"/>
    <cellStyle name="Note 4 3 3 2" xfId="5076"/>
    <cellStyle name="Note 4 3 3 2 2" xfId="11117"/>
    <cellStyle name="Note 4 3 3 2 2 2" xfId="28164"/>
    <cellStyle name="Note 4 3 3 2 2 2 2" xfId="57025"/>
    <cellStyle name="Note 4 3 3 2 2 3" xfId="39978"/>
    <cellStyle name="Note 4 3 3 2 3" xfId="22186"/>
    <cellStyle name="Note 4 3 3 2 3 2" xfId="51047"/>
    <cellStyle name="Note 4 3 3 2 4" xfId="33937"/>
    <cellStyle name="Note 4 3 3 3" xfId="8231"/>
    <cellStyle name="Note 4 3 3 3 2" xfId="25278"/>
    <cellStyle name="Note 4 3 3 3 2 2" xfId="54139"/>
    <cellStyle name="Note 4 3 3 3 3" xfId="37092"/>
    <cellStyle name="Note 4 3 3 4" xfId="13885"/>
    <cellStyle name="Note 4 3 3 4 2" xfId="19506"/>
    <cellStyle name="Note 4 3 3 4 2 2" xfId="48367"/>
    <cellStyle name="Note 4 3 3 4 3" xfId="42746"/>
    <cellStyle name="Note 4 3 3 5" xfId="16826"/>
    <cellStyle name="Note 4 3 3 5 2" xfId="45687"/>
    <cellStyle name="Note 4 3 3 6" xfId="31051"/>
    <cellStyle name="Note 4 3 4" xfId="3119"/>
    <cellStyle name="Note 4 3 4 2" xfId="9160"/>
    <cellStyle name="Note 4 3 4 2 2" xfId="26207"/>
    <cellStyle name="Note 4 3 4 2 2 2" xfId="55068"/>
    <cellStyle name="Note 4 3 4 2 3" xfId="38021"/>
    <cellStyle name="Note 4 3 4 3" xfId="20229"/>
    <cellStyle name="Note 4 3 4 3 2" xfId="49090"/>
    <cellStyle name="Note 4 3 4 4" xfId="31980"/>
    <cellStyle name="Note 4 3 5" xfId="6274"/>
    <cellStyle name="Note 4 3 5 2" xfId="23321"/>
    <cellStyle name="Note 4 3 5 2 2" xfId="52182"/>
    <cellStyle name="Note 4 3 5 3" xfId="35135"/>
    <cellStyle name="Note 4 3 6" xfId="14166"/>
    <cellStyle name="Note 4 3 6 2" xfId="17652"/>
    <cellStyle name="Note 4 3 6 2 2" xfId="46513"/>
    <cellStyle name="Note 4 3 6 3" xfId="43027"/>
    <cellStyle name="Note 4 3 7" xfId="14869"/>
    <cellStyle name="Note 4 3 7 2" xfId="43730"/>
    <cellStyle name="Note 4 3 8" xfId="29094"/>
    <cellStyle name="Note 4 4" xfId="438"/>
    <cellStyle name="Note 4 4 2" xfId="3325"/>
    <cellStyle name="Note 4 4 2 2" xfId="9366"/>
    <cellStyle name="Note 4 4 2 2 2" xfId="26413"/>
    <cellStyle name="Note 4 4 2 2 2 2" xfId="55274"/>
    <cellStyle name="Note 4 4 2 2 3" xfId="38227"/>
    <cellStyle name="Note 4 4 2 3" xfId="20435"/>
    <cellStyle name="Note 4 4 2 3 2" xfId="49296"/>
    <cellStyle name="Note 4 4 2 4" xfId="32186"/>
    <cellStyle name="Note 4 4 3" xfId="6480"/>
    <cellStyle name="Note 4 4 3 2" xfId="23527"/>
    <cellStyle name="Note 4 4 3 2 2" xfId="52388"/>
    <cellStyle name="Note 4 4 3 3" xfId="35341"/>
    <cellStyle name="Note 4 4 4" xfId="13486"/>
    <cellStyle name="Note 4 4 4 2" xfId="17755"/>
    <cellStyle name="Note 4 4 4 2 2" xfId="46616"/>
    <cellStyle name="Note 4 4 4 3" xfId="42347"/>
    <cellStyle name="Note 4 4 5" xfId="15075"/>
    <cellStyle name="Note 4 4 5 2" xfId="43936"/>
    <cellStyle name="Note 4 4 6" xfId="29300"/>
    <cellStyle name="Note 4 5" xfId="747"/>
    <cellStyle name="Note 4 5 2" xfId="3634"/>
    <cellStyle name="Note 4 5 2 2" xfId="9675"/>
    <cellStyle name="Note 4 5 2 2 2" xfId="26722"/>
    <cellStyle name="Note 4 5 2 2 2 2" xfId="55583"/>
    <cellStyle name="Note 4 5 2 2 3" xfId="38536"/>
    <cellStyle name="Note 4 5 2 3" xfId="20744"/>
    <cellStyle name="Note 4 5 2 3 2" xfId="49605"/>
    <cellStyle name="Note 4 5 2 4" xfId="32495"/>
    <cellStyle name="Note 4 5 3" xfId="6789"/>
    <cellStyle name="Note 4 5 3 2" xfId="23836"/>
    <cellStyle name="Note 4 5 3 2 2" xfId="52697"/>
    <cellStyle name="Note 4 5 3 3" xfId="35650"/>
    <cellStyle name="Note 4 5 4" xfId="13179"/>
    <cellStyle name="Note 4 5 4 2" xfId="18064"/>
    <cellStyle name="Note 4 5 4 2 2" xfId="46925"/>
    <cellStyle name="Note 4 5 4 3" xfId="42040"/>
    <cellStyle name="Note 4 5 5" xfId="15384"/>
    <cellStyle name="Note 4 5 5 2" xfId="44245"/>
    <cellStyle name="Note 4 5 6" xfId="29609"/>
    <cellStyle name="Note 4 6" xfId="953"/>
    <cellStyle name="Note 4 6 2" xfId="3840"/>
    <cellStyle name="Note 4 6 2 2" xfId="9881"/>
    <cellStyle name="Note 4 6 2 2 2" xfId="26928"/>
    <cellStyle name="Note 4 6 2 2 2 2" xfId="55789"/>
    <cellStyle name="Note 4 6 2 2 3" xfId="38742"/>
    <cellStyle name="Note 4 6 2 3" xfId="20950"/>
    <cellStyle name="Note 4 6 2 3 2" xfId="49811"/>
    <cellStyle name="Note 4 6 2 4" xfId="32701"/>
    <cellStyle name="Note 4 6 3" xfId="6995"/>
    <cellStyle name="Note 4 6 3 2" xfId="24042"/>
    <cellStyle name="Note 4 6 3 2 2" xfId="52903"/>
    <cellStyle name="Note 4 6 3 3" xfId="35856"/>
    <cellStyle name="Note 4 6 4" xfId="13362"/>
    <cellStyle name="Note 4 6 4 2" xfId="18270"/>
    <cellStyle name="Note 4 6 4 2 2" xfId="47131"/>
    <cellStyle name="Note 4 6 4 3" xfId="42223"/>
    <cellStyle name="Note 4 6 5" xfId="15590"/>
    <cellStyle name="Note 4 6 5 2" xfId="44451"/>
    <cellStyle name="Note 4 6 6" xfId="29815"/>
    <cellStyle name="Note 4 7" xfId="1159"/>
    <cellStyle name="Note 4 7 2" xfId="4046"/>
    <cellStyle name="Note 4 7 2 2" xfId="10087"/>
    <cellStyle name="Note 4 7 2 2 2" xfId="27134"/>
    <cellStyle name="Note 4 7 2 2 2 2" xfId="55995"/>
    <cellStyle name="Note 4 7 2 2 3" xfId="38948"/>
    <cellStyle name="Note 4 7 2 3" xfId="21156"/>
    <cellStyle name="Note 4 7 2 3 2" xfId="50017"/>
    <cellStyle name="Note 4 7 2 4" xfId="32907"/>
    <cellStyle name="Note 4 7 3" xfId="7201"/>
    <cellStyle name="Note 4 7 3 2" xfId="24248"/>
    <cellStyle name="Note 4 7 3 2 2" xfId="53109"/>
    <cellStyle name="Note 4 7 3 3" xfId="36062"/>
    <cellStyle name="Note 4 7 4" xfId="12029"/>
    <cellStyle name="Note 4 7 4 2" xfId="18476"/>
    <cellStyle name="Note 4 7 4 2 2" xfId="47337"/>
    <cellStyle name="Note 4 7 4 3" xfId="40890"/>
    <cellStyle name="Note 4 7 5" xfId="15796"/>
    <cellStyle name="Note 4 7 5 2" xfId="44657"/>
    <cellStyle name="Note 4 7 6" xfId="30021"/>
    <cellStyle name="Note 4 8" xfId="1365"/>
    <cellStyle name="Note 4 8 2" xfId="4252"/>
    <cellStyle name="Note 4 8 2 2" xfId="10293"/>
    <cellStyle name="Note 4 8 2 2 2" xfId="27340"/>
    <cellStyle name="Note 4 8 2 2 2 2" xfId="56201"/>
    <cellStyle name="Note 4 8 2 2 3" xfId="39154"/>
    <cellStyle name="Note 4 8 2 3" xfId="21362"/>
    <cellStyle name="Note 4 8 2 3 2" xfId="50223"/>
    <cellStyle name="Note 4 8 2 4" xfId="33113"/>
    <cellStyle name="Note 4 8 3" xfId="7407"/>
    <cellStyle name="Note 4 8 3 2" xfId="24454"/>
    <cellStyle name="Note 4 8 3 2 2" xfId="53315"/>
    <cellStyle name="Note 4 8 3 3" xfId="36268"/>
    <cellStyle name="Note 4 8 4" xfId="13550"/>
    <cellStyle name="Note 4 8 4 2" xfId="18682"/>
    <cellStyle name="Note 4 8 4 2 2" xfId="47543"/>
    <cellStyle name="Note 4 8 4 3" xfId="42411"/>
    <cellStyle name="Note 4 8 5" xfId="16002"/>
    <cellStyle name="Note 4 8 5 2" xfId="44863"/>
    <cellStyle name="Note 4 8 6" xfId="30227"/>
    <cellStyle name="Note 4 9" xfId="1571"/>
    <cellStyle name="Note 4 9 2" xfId="4458"/>
    <cellStyle name="Note 4 9 2 2" xfId="10499"/>
    <cellStyle name="Note 4 9 2 2 2" xfId="27546"/>
    <cellStyle name="Note 4 9 2 2 2 2" xfId="56407"/>
    <cellStyle name="Note 4 9 2 2 3" xfId="39360"/>
    <cellStyle name="Note 4 9 2 3" xfId="21568"/>
    <cellStyle name="Note 4 9 2 3 2" xfId="50429"/>
    <cellStyle name="Note 4 9 2 4" xfId="33319"/>
    <cellStyle name="Note 4 9 3" xfId="7613"/>
    <cellStyle name="Note 4 9 3 2" xfId="24660"/>
    <cellStyle name="Note 4 9 3 2 2" xfId="53521"/>
    <cellStyle name="Note 4 9 3 3" xfId="36474"/>
    <cellStyle name="Note 4 9 4" xfId="14226"/>
    <cellStyle name="Note 4 9 4 2" xfId="18888"/>
    <cellStyle name="Note 4 9 4 2 2" xfId="47749"/>
    <cellStyle name="Note 4 9 4 3" xfId="43087"/>
    <cellStyle name="Note 4 9 5" xfId="16208"/>
    <cellStyle name="Note 4 9 5 2" xfId="45069"/>
    <cellStyle name="Note 4 9 6" xfId="30433"/>
    <cellStyle name="Note 5" xfId="89"/>
    <cellStyle name="Note 5 10" xfId="1737"/>
    <cellStyle name="Note 5 10 2" xfId="4624"/>
    <cellStyle name="Note 5 10 2 2" xfId="10665"/>
    <cellStyle name="Note 5 10 2 2 2" xfId="27712"/>
    <cellStyle name="Note 5 10 2 2 2 2" xfId="56573"/>
    <cellStyle name="Note 5 10 2 2 3" xfId="39526"/>
    <cellStyle name="Note 5 10 2 3" xfId="21734"/>
    <cellStyle name="Note 5 10 2 3 2" xfId="50595"/>
    <cellStyle name="Note 5 10 2 4" xfId="33485"/>
    <cellStyle name="Note 5 10 3" xfId="7779"/>
    <cellStyle name="Note 5 10 3 2" xfId="24826"/>
    <cellStyle name="Note 5 10 3 2 2" xfId="53687"/>
    <cellStyle name="Note 5 10 3 3" xfId="36640"/>
    <cellStyle name="Note 5 10 4" xfId="13413"/>
    <cellStyle name="Note 5 10 4 2" xfId="19054"/>
    <cellStyle name="Note 5 10 4 2 2" xfId="47915"/>
    <cellStyle name="Note 5 10 4 3" xfId="42274"/>
    <cellStyle name="Note 5 10 5" xfId="16374"/>
    <cellStyle name="Note 5 10 5 2" xfId="45235"/>
    <cellStyle name="Note 5 10 6" xfId="30599"/>
    <cellStyle name="Note 5 11" xfId="1943"/>
    <cellStyle name="Note 5 11 2" xfId="4830"/>
    <cellStyle name="Note 5 11 2 2" xfId="10871"/>
    <cellStyle name="Note 5 11 2 2 2" xfId="27918"/>
    <cellStyle name="Note 5 11 2 2 2 2" xfId="56779"/>
    <cellStyle name="Note 5 11 2 2 3" xfId="39732"/>
    <cellStyle name="Note 5 11 2 3" xfId="21940"/>
    <cellStyle name="Note 5 11 2 3 2" xfId="50801"/>
    <cellStyle name="Note 5 11 2 4" xfId="33691"/>
    <cellStyle name="Note 5 11 3" xfId="7985"/>
    <cellStyle name="Note 5 11 3 2" xfId="25032"/>
    <cellStyle name="Note 5 11 3 2 2" xfId="53893"/>
    <cellStyle name="Note 5 11 3 3" xfId="36846"/>
    <cellStyle name="Note 5 11 4" xfId="14378"/>
    <cellStyle name="Note 5 11 4 2" xfId="19260"/>
    <cellStyle name="Note 5 11 4 2 2" xfId="48121"/>
    <cellStyle name="Note 5 11 4 3" xfId="43239"/>
    <cellStyle name="Note 5 11 5" xfId="16580"/>
    <cellStyle name="Note 5 11 5 2" xfId="45441"/>
    <cellStyle name="Note 5 11 6" xfId="30805"/>
    <cellStyle name="Note 5 12" xfId="2355"/>
    <cellStyle name="Note 5 12 2" xfId="5242"/>
    <cellStyle name="Note 5 12 2 2" xfId="11283"/>
    <cellStyle name="Note 5 12 2 2 2" xfId="28330"/>
    <cellStyle name="Note 5 12 2 2 2 2" xfId="57191"/>
    <cellStyle name="Note 5 12 2 2 3" xfId="40144"/>
    <cellStyle name="Note 5 12 2 3" xfId="22352"/>
    <cellStyle name="Note 5 12 2 3 2" xfId="51213"/>
    <cellStyle name="Note 5 12 2 4" xfId="34103"/>
    <cellStyle name="Note 5 12 3" xfId="8397"/>
    <cellStyle name="Note 5 12 3 2" xfId="25444"/>
    <cellStyle name="Note 5 12 3 2 2" xfId="54305"/>
    <cellStyle name="Note 5 12 3 3" xfId="37258"/>
    <cellStyle name="Note 5 12 4" xfId="13418"/>
    <cellStyle name="Note 5 12 4 2" xfId="19672"/>
    <cellStyle name="Note 5 12 4 2 2" xfId="48533"/>
    <cellStyle name="Note 5 12 4 3" xfId="42279"/>
    <cellStyle name="Note 5 12 5" xfId="16992"/>
    <cellStyle name="Note 5 12 5 2" xfId="45853"/>
    <cellStyle name="Note 5 12 6" xfId="31217"/>
    <cellStyle name="Note 5 13" xfId="2564"/>
    <cellStyle name="Note 5 13 2" xfId="5450"/>
    <cellStyle name="Note 5 13 2 2" xfId="11491"/>
    <cellStyle name="Note 5 13 2 2 2" xfId="28538"/>
    <cellStyle name="Note 5 13 2 2 2 2" xfId="57399"/>
    <cellStyle name="Note 5 13 2 2 3" xfId="40352"/>
    <cellStyle name="Note 5 13 2 3" xfId="22560"/>
    <cellStyle name="Note 5 13 2 3 2" xfId="51421"/>
    <cellStyle name="Note 5 13 2 4" xfId="34311"/>
    <cellStyle name="Note 5 13 3" xfId="8605"/>
    <cellStyle name="Note 5 13 3 2" xfId="25652"/>
    <cellStyle name="Note 5 13 3 2 2" xfId="54513"/>
    <cellStyle name="Note 5 13 3 3" xfId="37466"/>
    <cellStyle name="Note 5 13 4" xfId="13620"/>
    <cellStyle name="Note 5 13 4 2" xfId="19880"/>
    <cellStyle name="Note 5 13 4 2 2" xfId="48741"/>
    <cellStyle name="Note 5 13 4 3" xfId="42481"/>
    <cellStyle name="Note 5 13 5" xfId="17200"/>
    <cellStyle name="Note 5 13 5 2" xfId="46061"/>
    <cellStyle name="Note 5 13 6" xfId="31425"/>
    <cellStyle name="Note 5 14" xfId="2976"/>
    <cellStyle name="Note 5 14 2" xfId="9017"/>
    <cellStyle name="Note 5 14 2 2" xfId="26064"/>
    <cellStyle name="Note 5 14 2 2 2" xfId="54925"/>
    <cellStyle name="Note 5 14 2 3" xfId="37878"/>
    <cellStyle name="Note 5 14 3" xfId="13706"/>
    <cellStyle name="Note 5 14 3 2" xfId="20086"/>
    <cellStyle name="Note 5 14 3 2 2" xfId="48947"/>
    <cellStyle name="Note 5 14 3 3" xfId="42567"/>
    <cellStyle name="Note 5 14 4" xfId="14726"/>
    <cellStyle name="Note 5 14 4 2" xfId="43587"/>
    <cellStyle name="Note 5 14 5" xfId="31837"/>
    <cellStyle name="Note 5 15" xfId="2770"/>
    <cellStyle name="Note 5 15 2" xfId="8811"/>
    <cellStyle name="Note 5 15 2 2" xfId="25858"/>
    <cellStyle name="Note 5 15 2 2 2" xfId="54719"/>
    <cellStyle name="Note 5 15 2 3" xfId="37672"/>
    <cellStyle name="Note 5 15 3" xfId="17406"/>
    <cellStyle name="Note 5 15 3 2" xfId="46267"/>
    <cellStyle name="Note 5 15 4" xfId="31631"/>
    <cellStyle name="Note 5 16" xfId="5656"/>
    <cellStyle name="Note 5 16 2" xfId="11697"/>
    <cellStyle name="Note 5 16 2 2" xfId="28744"/>
    <cellStyle name="Note 5 16 2 2 2" xfId="57605"/>
    <cellStyle name="Note 5 16 2 3" xfId="40558"/>
    <cellStyle name="Note 5 16 3" xfId="22766"/>
    <cellStyle name="Note 5 16 3 2" xfId="51627"/>
    <cellStyle name="Note 5 16 4" xfId="34517"/>
    <cellStyle name="Note 5 17" xfId="5873"/>
    <cellStyle name="Note 5 17 2" xfId="22972"/>
    <cellStyle name="Note 5 17 2 2" xfId="51833"/>
    <cellStyle name="Note 5 17 3" xfId="34734"/>
    <cellStyle name="Note 5 18" xfId="6131"/>
    <cellStyle name="Note 5 18 2" xfId="23178"/>
    <cellStyle name="Note 5 18 2 2" xfId="52039"/>
    <cellStyle name="Note 5 18 3" xfId="34992"/>
    <cellStyle name="Note 5 19" xfId="14520"/>
    <cellStyle name="Note 5 19 2" xfId="43381"/>
    <cellStyle name="Note 5 2" xfId="295"/>
    <cellStyle name="Note 5 2 10" xfId="2458"/>
    <cellStyle name="Note 5 2 10 2" xfId="5345"/>
    <cellStyle name="Note 5 2 10 2 2" xfId="11386"/>
    <cellStyle name="Note 5 2 10 2 2 2" xfId="28433"/>
    <cellStyle name="Note 5 2 10 2 2 2 2" xfId="57294"/>
    <cellStyle name="Note 5 2 10 2 2 3" xfId="40247"/>
    <cellStyle name="Note 5 2 10 2 3" xfId="22455"/>
    <cellStyle name="Note 5 2 10 2 3 2" xfId="51316"/>
    <cellStyle name="Note 5 2 10 2 4" xfId="34206"/>
    <cellStyle name="Note 5 2 10 3" xfId="8500"/>
    <cellStyle name="Note 5 2 10 3 2" xfId="25547"/>
    <cellStyle name="Note 5 2 10 3 2 2" xfId="54408"/>
    <cellStyle name="Note 5 2 10 3 3" xfId="37361"/>
    <cellStyle name="Note 5 2 10 4" xfId="13005"/>
    <cellStyle name="Note 5 2 10 4 2" xfId="19775"/>
    <cellStyle name="Note 5 2 10 4 2 2" xfId="48636"/>
    <cellStyle name="Note 5 2 10 4 3" xfId="41866"/>
    <cellStyle name="Note 5 2 10 5" xfId="17095"/>
    <cellStyle name="Note 5 2 10 5 2" xfId="45956"/>
    <cellStyle name="Note 5 2 10 6" xfId="31320"/>
    <cellStyle name="Note 5 2 11" xfId="2667"/>
    <cellStyle name="Note 5 2 11 2" xfId="5553"/>
    <cellStyle name="Note 5 2 11 2 2" xfId="11594"/>
    <cellStyle name="Note 5 2 11 2 2 2" xfId="28641"/>
    <cellStyle name="Note 5 2 11 2 2 2 2" xfId="57502"/>
    <cellStyle name="Note 5 2 11 2 2 3" xfId="40455"/>
    <cellStyle name="Note 5 2 11 2 3" xfId="22663"/>
    <cellStyle name="Note 5 2 11 2 3 2" xfId="51524"/>
    <cellStyle name="Note 5 2 11 2 4" xfId="34414"/>
    <cellStyle name="Note 5 2 11 3" xfId="8708"/>
    <cellStyle name="Note 5 2 11 3 2" xfId="25755"/>
    <cellStyle name="Note 5 2 11 3 2 2" xfId="54616"/>
    <cellStyle name="Note 5 2 11 3 3" xfId="37569"/>
    <cellStyle name="Note 5 2 11 4" xfId="12980"/>
    <cellStyle name="Note 5 2 11 4 2" xfId="19983"/>
    <cellStyle name="Note 5 2 11 4 2 2" xfId="48844"/>
    <cellStyle name="Note 5 2 11 4 3" xfId="41841"/>
    <cellStyle name="Note 5 2 11 5" xfId="17303"/>
    <cellStyle name="Note 5 2 11 5 2" xfId="46164"/>
    <cellStyle name="Note 5 2 11 6" xfId="31528"/>
    <cellStyle name="Note 5 2 12" xfId="3182"/>
    <cellStyle name="Note 5 2 12 2" xfId="9223"/>
    <cellStyle name="Note 5 2 12 2 2" xfId="26270"/>
    <cellStyle name="Note 5 2 12 2 2 2" xfId="55131"/>
    <cellStyle name="Note 5 2 12 2 3" xfId="38084"/>
    <cellStyle name="Note 5 2 12 3" xfId="12287"/>
    <cellStyle name="Note 5 2 12 3 2" xfId="20292"/>
    <cellStyle name="Note 5 2 12 3 2 2" xfId="49153"/>
    <cellStyle name="Note 5 2 12 3 3" xfId="41148"/>
    <cellStyle name="Note 5 2 12 4" xfId="14932"/>
    <cellStyle name="Note 5 2 12 4 2" xfId="43793"/>
    <cellStyle name="Note 5 2 12 5" xfId="32043"/>
    <cellStyle name="Note 5 2 13" xfId="2873"/>
    <cellStyle name="Note 5 2 13 2" xfId="8914"/>
    <cellStyle name="Note 5 2 13 2 2" xfId="25961"/>
    <cellStyle name="Note 5 2 13 2 2 2" xfId="54822"/>
    <cellStyle name="Note 5 2 13 2 3" xfId="37775"/>
    <cellStyle name="Note 5 2 13 3" xfId="17509"/>
    <cellStyle name="Note 5 2 13 3 2" xfId="46370"/>
    <cellStyle name="Note 5 2 13 4" xfId="31734"/>
    <cellStyle name="Note 5 2 14" xfId="5759"/>
    <cellStyle name="Note 5 2 14 2" xfId="11800"/>
    <cellStyle name="Note 5 2 14 2 2" xfId="28847"/>
    <cellStyle name="Note 5 2 14 2 2 2" xfId="57708"/>
    <cellStyle name="Note 5 2 14 2 3" xfId="40661"/>
    <cellStyle name="Note 5 2 14 3" xfId="22869"/>
    <cellStyle name="Note 5 2 14 3 2" xfId="51730"/>
    <cellStyle name="Note 5 2 14 4" xfId="34620"/>
    <cellStyle name="Note 5 2 15" xfId="5976"/>
    <cellStyle name="Note 5 2 15 2" xfId="23075"/>
    <cellStyle name="Note 5 2 15 2 2" xfId="51936"/>
    <cellStyle name="Note 5 2 15 3" xfId="34837"/>
    <cellStyle name="Note 5 2 16" xfId="6337"/>
    <cellStyle name="Note 5 2 16 2" xfId="23384"/>
    <cellStyle name="Note 5 2 16 2 2" xfId="52245"/>
    <cellStyle name="Note 5 2 16 3" xfId="35198"/>
    <cellStyle name="Note 5 2 17" xfId="14623"/>
    <cellStyle name="Note 5 2 17 2" xfId="43484"/>
    <cellStyle name="Note 5 2 18" xfId="29157"/>
    <cellStyle name="Note 5 2 2" xfId="501"/>
    <cellStyle name="Note 5 2 2 2" xfId="2252"/>
    <cellStyle name="Note 5 2 2 2 2" xfId="5139"/>
    <cellStyle name="Note 5 2 2 2 2 2" xfId="11180"/>
    <cellStyle name="Note 5 2 2 2 2 2 2" xfId="28227"/>
    <cellStyle name="Note 5 2 2 2 2 2 2 2" xfId="57088"/>
    <cellStyle name="Note 5 2 2 2 2 2 3" xfId="40041"/>
    <cellStyle name="Note 5 2 2 2 2 3" xfId="22249"/>
    <cellStyle name="Note 5 2 2 2 2 3 2" xfId="51110"/>
    <cellStyle name="Note 5 2 2 2 2 4" xfId="34000"/>
    <cellStyle name="Note 5 2 2 2 3" xfId="8294"/>
    <cellStyle name="Note 5 2 2 2 3 2" xfId="25341"/>
    <cellStyle name="Note 5 2 2 2 3 2 2" xfId="54202"/>
    <cellStyle name="Note 5 2 2 2 3 3" xfId="37155"/>
    <cellStyle name="Note 5 2 2 2 4" xfId="13629"/>
    <cellStyle name="Note 5 2 2 2 4 2" xfId="19569"/>
    <cellStyle name="Note 5 2 2 2 4 2 2" xfId="48430"/>
    <cellStyle name="Note 5 2 2 2 4 3" xfId="42490"/>
    <cellStyle name="Note 5 2 2 2 5" xfId="16889"/>
    <cellStyle name="Note 5 2 2 2 5 2" xfId="45750"/>
    <cellStyle name="Note 5 2 2 2 6" xfId="31114"/>
    <cellStyle name="Note 5 2 2 3" xfId="3388"/>
    <cellStyle name="Note 5 2 2 3 2" xfId="9429"/>
    <cellStyle name="Note 5 2 2 3 2 2" xfId="26476"/>
    <cellStyle name="Note 5 2 2 3 2 2 2" xfId="55337"/>
    <cellStyle name="Note 5 2 2 3 2 3" xfId="38290"/>
    <cellStyle name="Note 5 2 2 3 3" xfId="20498"/>
    <cellStyle name="Note 5 2 2 3 3 2" xfId="49359"/>
    <cellStyle name="Note 5 2 2 3 4" xfId="32249"/>
    <cellStyle name="Note 5 2 2 4" xfId="6543"/>
    <cellStyle name="Note 5 2 2 4 2" xfId="23590"/>
    <cellStyle name="Note 5 2 2 4 2 2" xfId="52451"/>
    <cellStyle name="Note 5 2 2 4 3" xfId="35404"/>
    <cellStyle name="Note 5 2 2 5" xfId="5855"/>
    <cellStyle name="Note 5 2 2 5 2" xfId="17818"/>
    <cellStyle name="Note 5 2 2 5 2 2" xfId="46679"/>
    <cellStyle name="Note 5 2 2 5 3" xfId="34716"/>
    <cellStyle name="Note 5 2 2 6" xfId="15138"/>
    <cellStyle name="Note 5 2 2 6 2" xfId="43999"/>
    <cellStyle name="Note 5 2 2 7" xfId="29363"/>
    <cellStyle name="Note 5 2 3" xfId="810"/>
    <cellStyle name="Note 5 2 3 2" xfId="3697"/>
    <cellStyle name="Note 5 2 3 2 2" xfId="9738"/>
    <cellStyle name="Note 5 2 3 2 2 2" xfId="26785"/>
    <cellStyle name="Note 5 2 3 2 2 2 2" xfId="55646"/>
    <cellStyle name="Note 5 2 3 2 2 3" xfId="38599"/>
    <cellStyle name="Note 5 2 3 2 3" xfId="20807"/>
    <cellStyle name="Note 5 2 3 2 3 2" xfId="49668"/>
    <cellStyle name="Note 5 2 3 2 4" xfId="32558"/>
    <cellStyle name="Note 5 2 3 3" xfId="6852"/>
    <cellStyle name="Note 5 2 3 3 2" xfId="23899"/>
    <cellStyle name="Note 5 2 3 3 2 2" xfId="52760"/>
    <cellStyle name="Note 5 2 3 3 3" xfId="35713"/>
    <cellStyle name="Note 5 2 3 4" xfId="12455"/>
    <cellStyle name="Note 5 2 3 4 2" xfId="18127"/>
    <cellStyle name="Note 5 2 3 4 2 2" xfId="46988"/>
    <cellStyle name="Note 5 2 3 4 3" xfId="41316"/>
    <cellStyle name="Note 5 2 3 5" xfId="15447"/>
    <cellStyle name="Note 5 2 3 5 2" xfId="44308"/>
    <cellStyle name="Note 5 2 3 6" xfId="29672"/>
    <cellStyle name="Note 5 2 4" xfId="1016"/>
    <cellStyle name="Note 5 2 4 2" xfId="3903"/>
    <cellStyle name="Note 5 2 4 2 2" xfId="9944"/>
    <cellStyle name="Note 5 2 4 2 2 2" xfId="26991"/>
    <cellStyle name="Note 5 2 4 2 2 2 2" xfId="55852"/>
    <cellStyle name="Note 5 2 4 2 2 3" xfId="38805"/>
    <cellStyle name="Note 5 2 4 2 3" xfId="21013"/>
    <cellStyle name="Note 5 2 4 2 3 2" xfId="49874"/>
    <cellStyle name="Note 5 2 4 2 4" xfId="32764"/>
    <cellStyle name="Note 5 2 4 3" xfId="7058"/>
    <cellStyle name="Note 5 2 4 3 2" xfId="24105"/>
    <cellStyle name="Note 5 2 4 3 2 2" xfId="52966"/>
    <cellStyle name="Note 5 2 4 3 3" xfId="35919"/>
    <cellStyle name="Note 5 2 4 4" xfId="12258"/>
    <cellStyle name="Note 5 2 4 4 2" xfId="18333"/>
    <cellStyle name="Note 5 2 4 4 2 2" xfId="47194"/>
    <cellStyle name="Note 5 2 4 4 3" xfId="41119"/>
    <cellStyle name="Note 5 2 4 5" xfId="15653"/>
    <cellStyle name="Note 5 2 4 5 2" xfId="44514"/>
    <cellStyle name="Note 5 2 4 6" xfId="29878"/>
    <cellStyle name="Note 5 2 5" xfId="1222"/>
    <cellStyle name="Note 5 2 5 2" xfId="4109"/>
    <cellStyle name="Note 5 2 5 2 2" xfId="10150"/>
    <cellStyle name="Note 5 2 5 2 2 2" xfId="27197"/>
    <cellStyle name="Note 5 2 5 2 2 2 2" xfId="56058"/>
    <cellStyle name="Note 5 2 5 2 2 3" xfId="39011"/>
    <cellStyle name="Note 5 2 5 2 3" xfId="21219"/>
    <cellStyle name="Note 5 2 5 2 3 2" xfId="50080"/>
    <cellStyle name="Note 5 2 5 2 4" xfId="32970"/>
    <cellStyle name="Note 5 2 5 3" xfId="7264"/>
    <cellStyle name="Note 5 2 5 3 2" xfId="24311"/>
    <cellStyle name="Note 5 2 5 3 2 2" xfId="53172"/>
    <cellStyle name="Note 5 2 5 3 3" xfId="36125"/>
    <cellStyle name="Note 5 2 5 4" xfId="13284"/>
    <cellStyle name="Note 5 2 5 4 2" xfId="18539"/>
    <cellStyle name="Note 5 2 5 4 2 2" xfId="47400"/>
    <cellStyle name="Note 5 2 5 4 3" xfId="42145"/>
    <cellStyle name="Note 5 2 5 5" xfId="15859"/>
    <cellStyle name="Note 5 2 5 5 2" xfId="44720"/>
    <cellStyle name="Note 5 2 5 6" xfId="30084"/>
    <cellStyle name="Note 5 2 6" xfId="1428"/>
    <cellStyle name="Note 5 2 6 2" xfId="4315"/>
    <cellStyle name="Note 5 2 6 2 2" xfId="10356"/>
    <cellStyle name="Note 5 2 6 2 2 2" xfId="27403"/>
    <cellStyle name="Note 5 2 6 2 2 2 2" xfId="56264"/>
    <cellStyle name="Note 5 2 6 2 2 3" xfId="39217"/>
    <cellStyle name="Note 5 2 6 2 3" xfId="21425"/>
    <cellStyle name="Note 5 2 6 2 3 2" xfId="50286"/>
    <cellStyle name="Note 5 2 6 2 4" xfId="33176"/>
    <cellStyle name="Note 5 2 6 3" xfId="7470"/>
    <cellStyle name="Note 5 2 6 3 2" xfId="24517"/>
    <cellStyle name="Note 5 2 6 3 2 2" xfId="53378"/>
    <cellStyle name="Note 5 2 6 3 3" xfId="36331"/>
    <cellStyle name="Note 5 2 6 4" xfId="14326"/>
    <cellStyle name="Note 5 2 6 4 2" xfId="18745"/>
    <cellStyle name="Note 5 2 6 4 2 2" xfId="47606"/>
    <cellStyle name="Note 5 2 6 4 3" xfId="43187"/>
    <cellStyle name="Note 5 2 6 5" xfId="16065"/>
    <cellStyle name="Note 5 2 6 5 2" xfId="44926"/>
    <cellStyle name="Note 5 2 6 6" xfId="30290"/>
    <cellStyle name="Note 5 2 7" xfId="1634"/>
    <cellStyle name="Note 5 2 7 2" xfId="4521"/>
    <cellStyle name="Note 5 2 7 2 2" xfId="10562"/>
    <cellStyle name="Note 5 2 7 2 2 2" xfId="27609"/>
    <cellStyle name="Note 5 2 7 2 2 2 2" xfId="56470"/>
    <cellStyle name="Note 5 2 7 2 2 3" xfId="39423"/>
    <cellStyle name="Note 5 2 7 2 3" xfId="21631"/>
    <cellStyle name="Note 5 2 7 2 3 2" xfId="50492"/>
    <cellStyle name="Note 5 2 7 2 4" xfId="33382"/>
    <cellStyle name="Note 5 2 7 3" xfId="7676"/>
    <cellStyle name="Note 5 2 7 3 2" xfId="24723"/>
    <cellStyle name="Note 5 2 7 3 2 2" xfId="53584"/>
    <cellStyle name="Note 5 2 7 3 3" xfId="36537"/>
    <cellStyle name="Note 5 2 7 4" xfId="6057"/>
    <cellStyle name="Note 5 2 7 4 2" xfId="18951"/>
    <cellStyle name="Note 5 2 7 4 2 2" xfId="47812"/>
    <cellStyle name="Note 5 2 7 4 3" xfId="34918"/>
    <cellStyle name="Note 5 2 7 5" xfId="16271"/>
    <cellStyle name="Note 5 2 7 5 2" xfId="45132"/>
    <cellStyle name="Note 5 2 7 6" xfId="30496"/>
    <cellStyle name="Note 5 2 8" xfId="1840"/>
    <cellStyle name="Note 5 2 8 2" xfId="4727"/>
    <cellStyle name="Note 5 2 8 2 2" xfId="10768"/>
    <cellStyle name="Note 5 2 8 2 2 2" xfId="27815"/>
    <cellStyle name="Note 5 2 8 2 2 2 2" xfId="56676"/>
    <cellStyle name="Note 5 2 8 2 2 3" xfId="39629"/>
    <cellStyle name="Note 5 2 8 2 3" xfId="21837"/>
    <cellStyle name="Note 5 2 8 2 3 2" xfId="50698"/>
    <cellStyle name="Note 5 2 8 2 4" xfId="33588"/>
    <cellStyle name="Note 5 2 8 3" xfId="7882"/>
    <cellStyle name="Note 5 2 8 3 2" xfId="24929"/>
    <cellStyle name="Note 5 2 8 3 2 2" xfId="53790"/>
    <cellStyle name="Note 5 2 8 3 3" xfId="36743"/>
    <cellStyle name="Note 5 2 8 4" xfId="14157"/>
    <cellStyle name="Note 5 2 8 4 2" xfId="19157"/>
    <cellStyle name="Note 5 2 8 4 2 2" xfId="48018"/>
    <cellStyle name="Note 5 2 8 4 3" xfId="43018"/>
    <cellStyle name="Note 5 2 8 5" xfId="16477"/>
    <cellStyle name="Note 5 2 8 5 2" xfId="45338"/>
    <cellStyle name="Note 5 2 8 6" xfId="30702"/>
    <cellStyle name="Note 5 2 9" xfId="2046"/>
    <cellStyle name="Note 5 2 9 2" xfId="4933"/>
    <cellStyle name="Note 5 2 9 2 2" xfId="10974"/>
    <cellStyle name="Note 5 2 9 2 2 2" xfId="28021"/>
    <cellStyle name="Note 5 2 9 2 2 2 2" xfId="56882"/>
    <cellStyle name="Note 5 2 9 2 2 3" xfId="39835"/>
    <cellStyle name="Note 5 2 9 2 3" xfId="22043"/>
    <cellStyle name="Note 5 2 9 2 3 2" xfId="50904"/>
    <cellStyle name="Note 5 2 9 2 4" xfId="33794"/>
    <cellStyle name="Note 5 2 9 3" xfId="8088"/>
    <cellStyle name="Note 5 2 9 3 2" xfId="25135"/>
    <cellStyle name="Note 5 2 9 3 2 2" xfId="53996"/>
    <cellStyle name="Note 5 2 9 3 3" xfId="36949"/>
    <cellStyle name="Note 5 2 9 4" xfId="12675"/>
    <cellStyle name="Note 5 2 9 4 2" xfId="19363"/>
    <cellStyle name="Note 5 2 9 4 2 2" xfId="48224"/>
    <cellStyle name="Note 5 2 9 4 3" xfId="41536"/>
    <cellStyle name="Note 5 2 9 5" xfId="16683"/>
    <cellStyle name="Note 5 2 9 5 2" xfId="45544"/>
    <cellStyle name="Note 5 2 9 6" xfId="30908"/>
    <cellStyle name="Note 5 20" xfId="28951"/>
    <cellStyle name="Note 5 3" xfId="192"/>
    <cellStyle name="Note 5 3 2" xfId="604"/>
    <cellStyle name="Note 5 3 2 2" xfId="3491"/>
    <cellStyle name="Note 5 3 2 2 2" xfId="9532"/>
    <cellStyle name="Note 5 3 2 2 2 2" xfId="26579"/>
    <cellStyle name="Note 5 3 2 2 2 2 2" xfId="55440"/>
    <cellStyle name="Note 5 3 2 2 2 3" xfId="38393"/>
    <cellStyle name="Note 5 3 2 2 3" xfId="20601"/>
    <cellStyle name="Note 5 3 2 2 3 2" xfId="49462"/>
    <cellStyle name="Note 5 3 2 2 4" xfId="32352"/>
    <cellStyle name="Note 5 3 2 3" xfId="6646"/>
    <cellStyle name="Note 5 3 2 3 2" xfId="23693"/>
    <cellStyle name="Note 5 3 2 3 2 2" xfId="52554"/>
    <cellStyle name="Note 5 3 2 3 3" xfId="35507"/>
    <cellStyle name="Note 5 3 2 4" xfId="12806"/>
    <cellStyle name="Note 5 3 2 4 2" xfId="17921"/>
    <cellStyle name="Note 5 3 2 4 2 2" xfId="46782"/>
    <cellStyle name="Note 5 3 2 4 3" xfId="41667"/>
    <cellStyle name="Note 5 3 2 5" xfId="15241"/>
    <cellStyle name="Note 5 3 2 5 2" xfId="44102"/>
    <cellStyle name="Note 5 3 2 6" xfId="29466"/>
    <cellStyle name="Note 5 3 3" xfId="2149"/>
    <cellStyle name="Note 5 3 3 2" xfId="5036"/>
    <cellStyle name="Note 5 3 3 2 2" xfId="11077"/>
    <cellStyle name="Note 5 3 3 2 2 2" xfId="28124"/>
    <cellStyle name="Note 5 3 3 2 2 2 2" xfId="56985"/>
    <cellStyle name="Note 5 3 3 2 2 3" xfId="39938"/>
    <cellStyle name="Note 5 3 3 2 3" xfId="22146"/>
    <cellStyle name="Note 5 3 3 2 3 2" xfId="51007"/>
    <cellStyle name="Note 5 3 3 2 4" xfId="33897"/>
    <cellStyle name="Note 5 3 3 3" xfId="8191"/>
    <cellStyle name="Note 5 3 3 3 2" xfId="25238"/>
    <cellStyle name="Note 5 3 3 3 2 2" xfId="54099"/>
    <cellStyle name="Note 5 3 3 3 3" xfId="37052"/>
    <cellStyle name="Note 5 3 3 4" xfId="13616"/>
    <cellStyle name="Note 5 3 3 4 2" xfId="19466"/>
    <cellStyle name="Note 5 3 3 4 2 2" xfId="48327"/>
    <cellStyle name="Note 5 3 3 4 3" xfId="42477"/>
    <cellStyle name="Note 5 3 3 5" xfId="16786"/>
    <cellStyle name="Note 5 3 3 5 2" xfId="45647"/>
    <cellStyle name="Note 5 3 3 6" xfId="31011"/>
    <cellStyle name="Note 5 3 4" xfId="3079"/>
    <cellStyle name="Note 5 3 4 2" xfId="9120"/>
    <cellStyle name="Note 5 3 4 2 2" xfId="26167"/>
    <cellStyle name="Note 5 3 4 2 2 2" xfId="55028"/>
    <cellStyle name="Note 5 3 4 2 3" xfId="37981"/>
    <cellStyle name="Note 5 3 4 3" xfId="20189"/>
    <cellStyle name="Note 5 3 4 3 2" xfId="49050"/>
    <cellStyle name="Note 5 3 4 4" xfId="31940"/>
    <cellStyle name="Note 5 3 5" xfId="6234"/>
    <cellStyle name="Note 5 3 5 2" xfId="23281"/>
    <cellStyle name="Note 5 3 5 2 2" xfId="52142"/>
    <cellStyle name="Note 5 3 5 3" xfId="35095"/>
    <cellStyle name="Note 5 3 6" xfId="14465"/>
    <cellStyle name="Note 5 3 6 2" xfId="17612"/>
    <cellStyle name="Note 5 3 6 2 2" xfId="46473"/>
    <cellStyle name="Note 5 3 6 3" xfId="43326"/>
    <cellStyle name="Note 5 3 7" xfId="14829"/>
    <cellStyle name="Note 5 3 7 2" xfId="43690"/>
    <cellStyle name="Note 5 3 8" xfId="29054"/>
    <cellStyle name="Note 5 4" xfId="398"/>
    <cellStyle name="Note 5 4 2" xfId="3285"/>
    <cellStyle name="Note 5 4 2 2" xfId="9326"/>
    <cellStyle name="Note 5 4 2 2 2" xfId="26373"/>
    <cellStyle name="Note 5 4 2 2 2 2" xfId="55234"/>
    <cellStyle name="Note 5 4 2 2 3" xfId="38187"/>
    <cellStyle name="Note 5 4 2 3" xfId="20395"/>
    <cellStyle name="Note 5 4 2 3 2" xfId="49256"/>
    <cellStyle name="Note 5 4 2 4" xfId="32146"/>
    <cellStyle name="Note 5 4 3" xfId="6440"/>
    <cellStyle name="Note 5 4 3 2" xfId="23487"/>
    <cellStyle name="Note 5 4 3 2 2" xfId="52348"/>
    <cellStyle name="Note 5 4 3 3" xfId="35301"/>
    <cellStyle name="Note 5 4 4" xfId="13099"/>
    <cellStyle name="Note 5 4 4 2" xfId="17715"/>
    <cellStyle name="Note 5 4 4 2 2" xfId="46576"/>
    <cellStyle name="Note 5 4 4 3" xfId="41960"/>
    <cellStyle name="Note 5 4 5" xfId="15035"/>
    <cellStyle name="Note 5 4 5 2" xfId="43896"/>
    <cellStyle name="Note 5 4 6" xfId="29260"/>
    <cellStyle name="Note 5 5" xfId="707"/>
    <cellStyle name="Note 5 5 2" xfId="3594"/>
    <cellStyle name="Note 5 5 2 2" xfId="9635"/>
    <cellStyle name="Note 5 5 2 2 2" xfId="26682"/>
    <cellStyle name="Note 5 5 2 2 2 2" xfId="55543"/>
    <cellStyle name="Note 5 5 2 2 3" xfId="38496"/>
    <cellStyle name="Note 5 5 2 3" xfId="20704"/>
    <cellStyle name="Note 5 5 2 3 2" xfId="49565"/>
    <cellStyle name="Note 5 5 2 4" xfId="32455"/>
    <cellStyle name="Note 5 5 3" xfId="6749"/>
    <cellStyle name="Note 5 5 3 2" xfId="23796"/>
    <cellStyle name="Note 5 5 3 2 2" xfId="52657"/>
    <cellStyle name="Note 5 5 3 3" xfId="35610"/>
    <cellStyle name="Note 5 5 4" xfId="6081"/>
    <cellStyle name="Note 5 5 4 2" xfId="18024"/>
    <cellStyle name="Note 5 5 4 2 2" xfId="46885"/>
    <cellStyle name="Note 5 5 4 3" xfId="34942"/>
    <cellStyle name="Note 5 5 5" xfId="15344"/>
    <cellStyle name="Note 5 5 5 2" xfId="44205"/>
    <cellStyle name="Note 5 5 6" xfId="29569"/>
    <cellStyle name="Note 5 6" xfId="913"/>
    <cellStyle name="Note 5 6 2" xfId="3800"/>
    <cellStyle name="Note 5 6 2 2" xfId="9841"/>
    <cellStyle name="Note 5 6 2 2 2" xfId="26888"/>
    <cellStyle name="Note 5 6 2 2 2 2" xfId="55749"/>
    <cellStyle name="Note 5 6 2 2 3" xfId="38702"/>
    <cellStyle name="Note 5 6 2 3" xfId="20910"/>
    <cellStyle name="Note 5 6 2 3 2" xfId="49771"/>
    <cellStyle name="Note 5 6 2 4" xfId="32661"/>
    <cellStyle name="Note 5 6 3" xfId="6955"/>
    <cellStyle name="Note 5 6 3 2" xfId="24002"/>
    <cellStyle name="Note 5 6 3 2 2" xfId="52863"/>
    <cellStyle name="Note 5 6 3 3" xfId="35816"/>
    <cellStyle name="Note 5 6 4" xfId="12769"/>
    <cellStyle name="Note 5 6 4 2" xfId="18230"/>
    <cellStyle name="Note 5 6 4 2 2" xfId="47091"/>
    <cellStyle name="Note 5 6 4 3" xfId="41630"/>
    <cellStyle name="Note 5 6 5" xfId="15550"/>
    <cellStyle name="Note 5 6 5 2" xfId="44411"/>
    <cellStyle name="Note 5 6 6" xfId="29775"/>
    <cellStyle name="Note 5 7" xfId="1119"/>
    <cellStyle name="Note 5 7 2" xfId="4006"/>
    <cellStyle name="Note 5 7 2 2" xfId="10047"/>
    <cellStyle name="Note 5 7 2 2 2" xfId="27094"/>
    <cellStyle name="Note 5 7 2 2 2 2" xfId="55955"/>
    <cellStyle name="Note 5 7 2 2 3" xfId="38908"/>
    <cellStyle name="Note 5 7 2 3" xfId="21116"/>
    <cellStyle name="Note 5 7 2 3 2" xfId="49977"/>
    <cellStyle name="Note 5 7 2 4" xfId="32867"/>
    <cellStyle name="Note 5 7 3" xfId="7161"/>
    <cellStyle name="Note 5 7 3 2" xfId="24208"/>
    <cellStyle name="Note 5 7 3 2 2" xfId="53069"/>
    <cellStyle name="Note 5 7 3 3" xfId="36022"/>
    <cellStyle name="Note 5 7 4" xfId="12105"/>
    <cellStyle name="Note 5 7 4 2" xfId="18436"/>
    <cellStyle name="Note 5 7 4 2 2" xfId="47297"/>
    <cellStyle name="Note 5 7 4 3" xfId="40966"/>
    <cellStyle name="Note 5 7 5" xfId="15756"/>
    <cellStyle name="Note 5 7 5 2" xfId="44617"/>
    <cellStyle name="Note 5 7 6" xfId="29981"/>
    <cellStyle name="Note 5 8" xfId="1325"/>
    <cellStyle name="Note 5 8 2" xfId="4212"/>
    <cellStyle name="Note 5 8 2 2" xfId="10253"/>
    <cellStyle name="Note 5 8 2 2 2" xfId="27300"/>
    <cellStyle name="Note 5 8 2 2 2 2" xfId="56161"/>
    <cellStyle name="Note 5 8 2 2 3" xfId="39114"/>
    <cellStyle name="Note 5 8 2 3" xfId="21322"/>
    <cellStyle name="Note 5 8 2 3 2" xfId="50183"/>
    <cellStyle name="Note 5 8 2 4" xfId="33073"/>
    <cellStyle name="Note 5 8 3" xfId="7367"/>
    <cellStyle name="Note 5 8 3 2" xfId="24414"/>
    <cellStyle name="Note 5 8 3 2 2" xfId="53275"/>
    <cellStyle name="Note 5 8 3 3" xfId="36228"/>
    <cellStyle name="Note 5 8 4" xfId="13953"/>
    <cellStyle name="Note 5 8 4 2" xfId="18642"/>
    <cellStyle name="Note 5 8 4 2 2" xfId="47503"/>
    <cellStyle name="Note 5 8 4 3" xfId="42814"/>
    <cellStyle name="Note 5 8 5" xfId="15962"/>
    <cellStyle name="Note 5 8 5 2" xfId="44823"/>
    <cellStyle name="Note 5 8 6" xfId="30187"/>
    <cellStyle name="Note 5 9" xfId="1531"/>
    <cellStyle name="Note 5 9 2" xfId="4418"/>
    <cellStyle name="Note 5 9 2 2" xfId="10459"/>
    <cellStyle name="Note 5 9 2 2 2" xfId="27506"/>
    <cellStyle name="Note 5 9 2 2 2 2" xfId="56367"/>
    <cellStyle name="Note 5 9 2 2 3" xfId="39320"/>
    <cellStyle name="Note 5 9 2 3" xfId="21528"/>
    <cellStyle name="Note 5 9 2 3 2" xfId="50389"/>
    <cellStyle name="Note 5 9 2 4" xfId="33279"/>
    <cellStyle name="Note 5 9 3" xfId="7573"/>
    <cellStyle name="Note 5 9 3 2" xfId="24620"/>
    <cellStyle name="Note 5 9 3 2 2" xfId="53481"/>
    <cellStyle name="Note 5 9 3 3" xfId="36434"/>
    <cellStyle name="Note 5 9 4" xfId="12172"/>
    <cellStyle name="Note 5 9 4 2" xfId="18848"/>
    <cellStyle name="Note 5 9 4 2 2" xfId="47709"/>
    <cellStyle name="Note 5 9 4 3" xfId="41033"/>
    <cellStyle name="Note 5 9 5" xfId="16168"/>
    <cellStyle name="Note 5 9 5 2" xfId="45029"/>
    <cellStyle name="Note 5 9 6" xfId="30393"/>
    <cellStyle name="Output" xfId="58" builtinId="21" customBuiltin="1"/>
    <cellStyle name="Percent" xfId="2534" builtinId="5"/>
    <cellStyle name="Percent 2" xfId="45"/>
    <cellStyle name="Percent 3" xfId="46"/>
    <cellStyle name="Percent 3 10" xfId="1723"/>
    <cellStyle name="Percent 3 10 2" xfId="4610"/>
    <cellStyle name="Percent 3 10 2 2" xfId="10651"/>
    <cellStyle name="Percent 3 10 2 2 2" xfId="27698"/>
    <cellStyle name="Percent 3 10 2 2 2 2" xfId="56559"/>
    <cellStyle name="Percent 3 10 2 2 3" xfId="39512"/>
    <cellStyle name="Percent 3 10 2 3" xfId="21720"/>
    <cellStyle name="Percent 3 10 2 3 2" xfId="50581"/>
    <cellStyle name="Percent 3 10 2 4" xfId="33471"/>
    <cellStyle name="Percent 3 10 3" xfId="7765"/>
    <cellStyle name="Percent 3 10 3 2" xfId="24812"/>
    <cellStyle name="Percent 3 10 3 2 2" xfId="53673"/>
    <cellStyle name="Percent 3 10 3 3" xfId="36626"/>
    <cellStyle name="Percent 3 10 4" xfId="12488"/>
    <cellStyle name="Percent 3 10 4 2" xfId="19040"/>
    <cellStyle name="Percent 3 10 4 2 2" xfId="47901"/>
    <cellStyle name="Percent 3 10 4 3" xfId="41349"/>
    <cellStyle name="Percent 3 10 5" xfId="16360"/>
    <cellStyle name="Percent 3 10 5 2" xfId="45221"/>
    <cellStyle name="Percent 3 10 6" xfId="30585"/>
    <cellStyle name="Percent 3 11" xfId="1929"/>
    <cellStyle name="Percent 3 11 2" xfId="4816"/>
    <cellStyle name="Percent 3 11 2 2" xfId="10857"/>
    <cellStyle name="Percent 3 11 2 2 2" xfId="27904"/>
    <cellStyle name="Percent 3 11 2 2 2 2" xfId="56765"/>
    <cellStyle name="Percent 3 11 2 2 3" xfId="39718"/>
    <cellStyle name="Percent 3 11 2 3" xfId="21926"/>
    <cellStyle name="Percent 3 11 2 3 2" xfId="50787"/>
    <cellStyle name="Percent 3 11 2 4" xfId="33677"/>
    <cellStyle name="Percent 3 11 3" xfId="7971"/>
    <cellStyle name="Percent 3 11 3 2" xfId="25018"/>
    <cellStyle name="Percent 3 11 3 2 2" xfId="53879"/>
    <cellStyle name="Percent 3 11 3 3" xfId="36832"/>
    <cellStyle name="Percent 3 11 4" xfId="14339"/>
    <cellStyle name="Percent 3 11 4 2" xfId="19246"/>
    <cellStyle name="Percent 3 11 4 2 2" xfId="48107"/>
    <cellStyle name="Percent 3 11 4 3" xfId="43200"/>
    <cellStyle name="Percent 3 11 5" xfId="16566"/>
    <cellStyle name="Percent 3 11 5 2" xfId="45427"/>
    <cellStyle name="Percent 3 11 6" xfId="30791"/>
    <cellStyle name="Percent 3 12" xfId="2341"/>
    <cellStyle name="Percent 3 12 2" xfId="5228"/>
    <cellStyle name="Percent 3 12 2 2" xfId="11269"/>
    <cellStyle name="Percent 3 12 2 2 2" xfId="28316"/>
    <cellStyle name="Percent 3 12 2 2 2 2" xfId="57177"/>
    <cellStyle name="Percent 3 12 2 2 3" xfId="40130"/>
    <cellStyle name="Percent 3 12 2 3" xfId="22338"/>
    <cellStyle name="Percent 3 12 2 3 2" xfId="51199"/>
    <cellStyle name="Percent 3 12 2 4" xfId="34089"/>
    <cellStyle name="Percent 3 12 3" xfId="8383"/>
    <cellStyle name="Percent 3 12 3 2" xfId="25430"/>
    <cellStyle name="Percent 3 12 3 2 2" xfId="54291"/>
    <cellStyle name="Percent 3 12 3 3" xfId="37244"/>
    <cellStyle name="Percent 3 12 4" xfId="13908"/>
    <cellStyle name="Percent 3 12 4 2" xfId="19658"/>
    <cellStyle name="Percent 3 12 4 2 2" xfId="48519"/>
    <cellStyle name="Percent 3 12 4 3" xfId="42769"/>
    <cellStyle name="Percent 3 12 5" xfId="16978"/>
    <cellStyle name="Percent 3 12 5 2" xfId="45839"/>
    <cellStyle name="Percent 3 12 6" xfId="31203"/>
    <cellStyle name="Percent 3 13" xfId="2550"/>
    <cellStyle name="Percent 3 13 2" xfId="5436"/>
    <cellStyle name="Percent 3 13 2 2" xfId="11477"/>
    <cellStyle name="Percent 3 13 2 2 2" xfId="28524"/>
    <cellStyle name="Percent 3 13 2 2 2 2" xfId="57385"/>
    <cellStyle name="Percent 3 13 2 2 3" xfId="40338"/>
    <cellStyle name="Percent 3 13 2 3" xfId="22546"/>
    <cellStyle name="Percent 3 13 2 3 2" xfId="51407"/>
    <cellStyle name="Percent 3 13 2 4" xfId="34297"/>
    <cellStyle name="Percent 3 13 3" xfId="8591"/>
    <cellStyle name="Percent 3 13 3 2" xfId="25638"/>
    <cellStyle name="Percent 3 13 3 2 2" xfId="54499"/>
    <cellStyle name="Percent 3 13 3 3" xfId="37452"/>
    <cellStyle name="Percent 3 13 4" xfId="12518"/>
    <cellStyle name="Percent 3 13 4 2" xfId="19866"/>
    <cellStyle name="Percent 3 13 4 2 2" xfId="48727"/>
    <cellStyle name="Percent 3 13 4 3" xfId="41379"/>
    <cellStyle name="Percent 3 13 5" xfId="17186"/>
    <cellStyle name="Percent 3 13 5 2" xfId="46047"/>
    <cellStyle name="Percent 3 13 6" xfId="31411"/>
    <cellStyle name="Percent 3 14" xfId="2962"/>
    <cellStyle name="Percent 3 14 2" xfId="9003"/>
    <cellStyle name="Percent 3 14 2 2" xfId="26050"/>
    <cellStyle name="Percent 3 14 2 2 2" xfId="54911"/>
    <cellStyle name="Percent 3 14 2 3" xfId="37864"/>
    <cellStyle name="Percent 3 14 3" xfId="12152"/>
    <cellStyle name="Percent 3 14 3 2" xfId="20072"/>
    <cellStyle name="Percent 3 14 3 2 2" xfId="48933"/>
    <cellStyle name="Percent 3 14 3 3" xfId="41013"/>
    <cellStyle name="Percent 3 14 4" xfId="14712"/>
    <cellStyle name="Percent 3 14 4 2" xfId="43573"/>
    <cellStyle name="Percent 3 14 5" xfId="31823"/>
    <cellStyle name="Percent 3 15" xfId="2756"/>
    <cellStyle name="Percent 3 15 2" xfId="8797"/>
    <cellStyle name="Percent 3 15 2 2" xfId="25844"/>
    <cellStyle name="Percent 3 15 2 2 2" xfId="54705"/>
    <cellStyle name="Percent 3 15 2 3" xfId="37658"/>
    <cellStyle name="Percent 3 15 3" xfId="17392"/>
    <cellStyle name="Percent 3 15 3 2" xfId="46253"/>
    <cellStyle name="Percent 3 15 4" xfId="31617"/>
    <cellStyle name="Percent 3 16" xfId="5642"/>
    <cellStyle name="Percent 3 16 2" xfId="11683"/>
    <cellStyle name="Percent 3 16 2 2" xfId="28730"/>
    <cellStyle name="Percent 3 16 2 2 2" xfId="57591"/>
    <cellStyle name="Percent 3 16 2 3" xfId="40544"/>
    <cellStyle name="Percent 3 16 3" xfId="22752"/>
    <cellStyle name="Percent 3 16 3 2" xfId="51613"/>
    <cellStyle name="Percent 3 16 4" xfId="34503"/>
    <cellStyle name="Percent 3 17" xfId="5853"/>
    <cellStyle name="Percent 3 17 2" xfId="22958"/>
    <cellStyle name="Percent 3 17 2 2" xfId="51819"/>
    <cellStyle name="Percent 3 17 3" xfId="34714"/>
    <cellStyle name="Percent 3 18" xfId="6117"/>
    <cellStyle name="Percent 3 18 2" xfId="23164"/>
    <cellStyle name="Percent 3 18 2 2" xfId="52025"/>
    <cellStyle name="Percent 3 18 3" xfId="34978"/>
    <cellStyle name="Percent 3 19" xfId="14506"/>
    <cellStyle name="Percent 3 19 2" xfId="43367"/>
    <cellStyle name="Percent 3 2" xfId="281"/>
    <cellStyle name="Percent 3 2 10" xfId="2444"/>
    <cellStyle name="Percent 3 2 10 2" xfId="5331"/>
    <cellStyle name="Percent 3 2 10 2 2" xfId="11372"/>
    <cellStyle name="Percent 3 2 10 2 2 2" xfId="28419"/>
    <cellStyle name="Percent 3 2 10 2 2 2 2" xfId="57280"/>
    <cellStyle name="Percent 3 2 10 2 2 3" xfId="40233"/>
    <cellStyle name="Percent 3 2 10 2 3" xfId="22441"/>
    <cellStyle name="Percent 3 2 10 2 3 2" xfId="51302"/>
    <cellStyle name="Percent 3 2 10 2 4" xfId="34192"/>
    <cellStyle name="Percent 3 2 10 3" xfId="8486"/>
    <cellStyle name="Percent 3 2 10 3 2" xfId="25533"/>
    <cellStyle name="Percent 3 2 10 3 2 2" xfId="54394"/>
    <cellStyle name="Percent 3 2 10 3 3" xfId="37347"/>
    <cellStyle name="Percent 3 2 10 4" xfId="13320"/>
    <cellStyle name="Percent 3 2 10 4 2" xfId="19761"/>
    <cellStyle name="Percent 3 2 10 4 2 2" xfId="48622"/>
    <cellStyle name="Percent 3 2 10 4 3" xfId="42181"/>
    <cellStyle name="Percent 3 2 10 5" xfId="17081"/>
    <cellStyle name="Percent 3 2 10 5 2" xfId="45942"/>
    <cellStyle name="Percent 3 2 10 6" xfId="31306"/>
    <cellStyle name="Percent 3 2 11" xfId="2653"/>
    <cellStyle name="Percent 3 2 11 2" xfId="5539"/>
    <cellStyle name="Percent 3 2 11 2 2" xfId="11580"/>
    <cellStyle name="Percent 3 2 11 2 2 2" xfId="28627"/>
    <cellStyle name="Percent 3 2 11 2 2 2 2" xfId="57488"/>
    <cellStyle name="Percent 3 2 11 2 2 3" xfId="40441"/>
    <cellStyle name="Percent 3 2 11 2 3" xfId="22649"/>
    <cellStyle name="Percent 3 2 11 2 3 2" xfId="51510"/>
    <cellStyle name="Percent 3 2 11 2 4" xfId="34400"/>
    <cellStyle name="Percent 3 2 11 3" xfId="8694"/>
    <cellStyle name="Percent 3 2 11 3 2" xfId="25741"/>
    <cellStyle name="Percent 3 2 11 3 2 2" xfId="54602"/>
    <cellStyle name="Percent 3 2 11 3 3" xfId="37555"/>
    <cellStyle name="Percent 3 2 11 4" xfId="13964"/>
    <cellStyle name="Percent 3 2 11 4 2" xfId="19969"/>
    <cellStyle name="Percent 3 2 11 4 2 2" xfId="48830"/>
    <cellStyle name="Percent 3 2 11 4 3" xfId="42825"/>
    <cellStyle name="Percent 3 2 11 5" xfId="17289"/>
    <cellStyle name="Percent 3 2 11 5 2" xfId="46150"/>
    <cellStyle name="Percent 3 2 11 6" xfId="31514"/>
    <cellStyle name="Percent 3 2 12" xfId="3168"/>
    <cellStyle name="Percent 3 2 12 2" xfId="9209"/>
    <cellStyle name="Percent 3 2 12 2 2" xfId="26256"/>
    <cellStyle name="Percent 3 2 12 2 2 2" xfId="55117"/>
    <cellStyle name="Percent 3 2 12 2 3" xfId="38070"/>
    <cellStyle name="Percent 3 2 12 3" xfId="13338"/>
    <cellStyle name="Percent 3 2 12 3 2" xfId="20278"/>
    <cellStyle name="Percent 3 2 12 3 2 2" xfId="49139"/>
    <cellStyle name="Percent 3 2 12 3 3" xfId="42199"/>
    <cellStyle name="Percent 3 2 12 4" xfId="14918"/>
    <cellStyle name="Percent 3 2 12 4 2" xfId="43779"/>
    <cellStyle name="Percent 3 2 12 5" xfId="32029"/>
    <cellStyle name="Percent 3 2 13" xfId="2859"/>
    <cellStyle name="Percent 3 2 13 2" xfId="8900"/>
    <cellStyle name="Percent 3 2 13 2 2" xfId="25947"/>
    <cellStyle name="Percent 3 2 13 2 2 2" xfId="54808"/>
    <cellStyle name="Percent 3 2 13 2 3" xfId="37761"/>
    <cellStyle name="Percent 3 2 13 3" xfId="17495"/>
    <cellStyle name="Percent 3 2 13 3 2" xfId="46356"/>
    <cellStyle name="Percent 3 2 13 4" xfId="31720"/>
    <cellStyle name="Percent 3 2 14" xfId="5745"/>
    <cellStyle name="Percent 3 2 14 2" xfId="11786"/>
    <cellStyle name="Percent 3 2 14 2 2" xfId="28833"/>
    <cellStyle name="Percent 3 2 14 2 2 2" xfId="57694"/>
    <cellStyle name="Percent 3 2 14 2 3" xfId="40647"/>
    <cellStyle name="Percent 3 2 14 3" xfId="22855"/>
    <cellStyle name="Percent 3 2 14 3 2" xfId="51716"/>
    <cellStyle name="Percent 3 2 14 4" xfId="34606"/>
    <cellStyle name="Percent 3 2 15" xfId="5962"/>
    <cellStyle name="Percent 3 2 15 2" xfId="23061"/>
    <cellStyle name="Percent 3 2 15 2 2" xfId="51922"/>
    <cellStyle name="Percent 3 2 15 3" xfId="34823"/>
    <cellStyle name="Percent 3 2 16" xfId="6323"/>
    <cellStyle name="Percent 3 2 16 2" xfId="23370"/>
    <cellStyle name="Percent 3 2 16 2 2" xfId="52231"/>
    <cellStyle name="Percent 3 2 16 3" xfId="35184"/>
    <cellStyle name="Percent 3 2 17" xfId="14609"/>
    <cellStyle name="Percent 3 2 17 2" xfId="43470"/>
    <cellStyle name="Percent 3 2 18" xfId="29143"/>
    <cellStyle name="Percent 3 2 2" xfId="487"/>
    <cellStyle name="Percent 3 2 2 2" xfId="2238"/>
    <cellStyle name="Percent 3 2 2 2 2" xfId="5125"/>
    <cellStyle name="Percent 3 2 2 2 2 2" xfId="11166"/>
    <cellStyle name="Percent 3 2 2 2 2 2 2" xfId="28213"/>
    <cellStyle name="Percent 3 2 2 2 2 2 2 2" xfId="57074"/>
    <cellStyle name="Percent 3 2 2 2 2 2 3" xfId="40027"/>
    <cellStyle name="Percent 3 2 2 2 2 3" xfId="22235"/>
    <cellStyle name="Percent 3 2 2 2 2 3 2" xfId="51096"/>
    <cellStyle name="Percent 3 2 2 2 2 4" xfId="33986"/>
    <cellStyle name="Percent 3 2 2 2 3" xfId="8280"/>
    <cellStyle name="Percent 3 2 2 2 3 2" xfId="25327"/>
    <cellStyle name="Percent 3 2 2 2 3 2 2" xfId="54188"/>
    <cellStyle name="Percent 3 2 2 2 3 3" xfId="37141"/>
    <cellStyle name="Percent 3 2 2 2 4" xfId="13434"/>
    <cellStyle name="Percent 3 2 2 2 4 2" xfId="19555"/>
    <cellStyle name="Percent 3 2 2 2 4 2 2" xfId="48416"/>
    <cellStyle name="Percent 3 2 2 2 4 3" xfId="42295"/>
    <cellStyle name="Percent 3 2 2 2 5" xfId="16875"/>
    <cellStyle name="Percent 3 2 2 2 5 2" xfId="45736"/>
    <cellStyle name="Percent 3 2 2 2 6" xfId="31100"/>
    <cellStyle name="Percent 3 2 2 3" xfId="3374"/>
    <cellStyle name="Percent 3 2 2 3 2" xfId="9415"/>
    <cellStyle name="Percent 3 2 2 3 2 2" xfId="26462"/>
    <cellStyle name="Percent 3 2 2 3 2 2 2" xfId="55323"/>
    <cellStyle name="Percent 3 2 2 3 2 3" xfId="38276"/>
    <cellStyle name="Percent 3 2 2 3 3" xfId="20484"/>
    <cellStyle name="Percent 3 2 2 3 3 2" xfId="49345"/>
    <cellStyle name="Percent 3 2 2 3 4" xfId="32235"/>
    <cellStyle name="Percent 3 2 2 4" xfId="6529"/>
    <cellStyle name="Percent 3 2 2 4 2" xfId="23576"/>
    <cellStyle name="Percent 3 2 2 4 2 2" xfId="52437"/>
    <cellStyle name="Percent 3 2 2 4 3" xfId="35390"/>
    <cellStyle name="Percent 3 2 2 5" xfId="14408"/>
    <cellStyle name="Percent 3 2 2 5 2" xfId="17804"/>
    <cellStyle name="Percent 3 2 2 5 2 2" xfId="46665"/>
    <cellStyle name="Percent 3 2 2 5 3" xfId="43269"/>
    <cellStyle name="Percent 3 2 2 6" xfId="15124"/>
    <cellStyle name="Percent 3 2 2 6 2" xfId="43985"/>
    <cellStyle name="Percent 3 2 2 7" xfId="29349"/>
    <cellStyle name="Percent 3 2 3" xfId="796"/>
    <cellStyle name="Percent 3 2 3 2" xfId="3683"/>
    <cellStyle name="Percent 3 2 3 2 2" xfId="9724"/>
    <cellStyle name="Percent 3 2 3 2 2 2" xfId="26771"/>
    <cellStyle name="Percent 3 2 3 2 2 2 2" xfId="55632"/>
    <cellStyle name="Percent 3 2 3 2 2 3" xfId="38585"/>
    <cellStyle name="Percent 3 2 3 2 3" xfId="20793"/>
    <cellStyle name="Percent 3 2 3 2 3 2" xfId="49654"/>
    <cellStyle name="Percent 3 2 3 2 4" xfId="32544"/>
    <cellStyle name="Percent 3 2 3 3" xfId="6838"/>
    <cellStyle name="Percent 3 2 3 3 2" xfId="23885"/>
    <cellStyle name="Percent 3 2 3 3 2 2" xfId="52746"/>
    <cellStyle name="Percent 3 2 3 3 3" xfId="35699"/>
    <cellStyle name="Percent 3 2 3 4" xfId="13045"/>
    <cellStyle name="Percent 3 2 3 4 2" xfId="18113"/>
    <cellStyle name="Percent 3 2 3 4 2 2" xfId="46974"/>
    <cellStyle name="Percent 3 2 3 4 3" xfId="41906"/>
    <cellStyle name="Percent 3 2 3 5" xfId="15433"/>
    <cellStyle name="Percent 3 2 3 5 2" xfId="44294"/>
    <cellStyle name="Percent 3 2 3 6" xfId="29658"/>
    <cellStyle name="Percent 3 2 4" xfId="1002"/>
    <cellStyle name="Percent 3 2 4 2" xfId="3889"/>
    <cellStyle name="Percent 3 2 4 2 2" xfId="9930"/>
    <cellStyle name="Percent 3 2 4 2 2 2" xfId="26977"/>
    <cellStyle name="Percent 3 2 4 2 2 2 2" xfId="55838"/>
    <cellStyle name="Percent 3 2 4 2 2 3" xfId="38791"/>
    <cellStyle name="Percent 3 2 4 2 3" xfId="20999"/>
    <cellStyle name="Percent 3 2 4 2 3 2" xfId="49860"/>
    <cellStyle name="Percent 3 2 4 2 4" xfId="32750"/>
    <cellStyle name="Percent 3 2 4 3" xfId="7044"/>
    <cellStyle name="Percent 3 2 4 3 2" xfId="24091"/>
    <cellStyle name="Percent 3 2 4 3 2 2" xfId="52952"/>
    <cellStyle name="Percent 3 2 4 3 3" xfId="35905"/>
    <cellStyle name="Percent 3 2 4 4" xfId="13749"/>
    <cellStyle name="Percent 3 2 4 4 2" xfId="18319"/>
    <cellStyle name="Percent 3 2 4 4 2 2" xfId="47180"/>
    <cellStyle name="Percent 3 2 4 4 3" xfId="42610"/>
    <cellStyle name="Percent 3 2 4 5" xfId="15639"/>
    <cellStyle name="Percent 3 2 4 5 2" xfId="44500"/>
    <cellStyle name="Percent 3 2 4 6" xfId="29864"/>
    <cellStyle name="Percent 3 2 5" xfId="1208"/>
    <cellStyle name="Percent 3 2 5 2" xfId="4095"/>
    <cellStyle name="Percent 3 2 5 2 2" xfId="10136"/>
    <cellStyle name="Percent 3 2 5 2 2 2" xfId="27183"/>
    <cellStyle name="Percent 3 2 5 2 2 2 2" xfId="56044"/>
    <cellStyle name="Percent 3 2 5 2 2 3" xfId="38997"/>
    <cellStyle name="Percent 3 2 5 2 3" xfId="21205"/>
    <cellStyle name="Percent 3 2 5 2 3 2" xfId="50066"/>
    <cellStyle name="Percent 3 2 5 2 4" xfId="32956"/>
    <cellStyle name="Percent 3 2 5 3" xfId="7250"/>
    <cellStyle name="Percent 3 2 5 3 2" xfId="24297"/>
    <cellStyle name="Percent 3 2 5 3 2 2" xfId="53158"/>
    <cellStyle name="Percent 3 2 5 3 3" xfId="36111"/>
    <cellStyle name="Percent 3 2 5 4" xfId="14206"/>
    <cellStyle name="Percent 3 2 5 4 2" xfId="18525"/>
    <cellStyle name="Percent 3 2 5 4 2 2" xfId="47386"/>
    <cellStyle name="Percent 3 2 5 4 3" xfId="43067"/>
    <cellStyle name="Percent 3 2 5 5" xfId="15845"/>
    <cellStyle name="Percent 3 2 5 5 2" xfId="44706"/>
    <cellStyle name="Percent 3 2 5 6" xfId="30070"/>
    <cellStyle name="Percent 3 2 6" xfId="1414"/>
    <cellStyle name="Percent 3 2 6 2" xfId="4301"/>
    <cellStyle name="Percent 3 2 6 2 2" xfId="10342"/>
    <cellStyle name="Percent 3 2 6 2 2 2" xfId="27389"/>
    <cellStyle name="Percent 3 2 6 2 2 2 2" xfId="56250"/>
    <cellStyle name="Percent 3 2 6 2 2 3" xfId="39203"/>
    <cellStyle name="Percent 3 2 6 2 3" xfId="21411"/>
    <cellStyle name="Percent 3 2 6 2 3 2" xfId="50272"/>
    <cellStyle name="Percent 3 2 6 2 4" xfId="33162"/>
    <cellStyle name="Percent 3 2 6 3" xfId="7456"/>
    <cellStyle name="Percent 3 2 6 3 2" xfId="24503"/>
    <cellStyle name="Percent 3 2 6 3 2 2" xfId="53364"/>
    <cellStyle name="Percent 3 2 6 3 3" xfId="36317"/>
    <cellStyle name="Percent 3 2 6 4" xfId="12087"/>
    <cellStyle name="Percent 3 2 6 4 2" xfId="18731"/>
    <cellStyle name="Percent 3 2 6 4 2 2" xfId="47592"/>
    <cellStyle name="Percent 3 2 6 4 3" xfId="40948"/>
    <cellStyle name="Percent 3 2 6 5" xfId="16051"/>
    <cellStyle name="Percent 3 2 6 5 2" xfId="44912"/>
    <cellStyle name="Percent 3 2 6 6" xfId="30276"/>
    <cellStyle name="Percent 3 2 7" xfId="1620"/>
    <cellStyle name="Percent 3 2 7 2" xfId="4507"/>
    <cellStyle name="Percent 3 2 7 2 2" xfId="10548"/>
    <cellStyle name="Percent 3 2 7 2 2 2" xfId="27595"/>
    <cellStyle name="Percent 3 2 7 2 2 2 2" xfId="56456"/>
    <cellStyle name="Percent 3 2 7 2 2 3" xfId="39409"/>
    <cellStyle name="Percent 3 2 7 2 3" xfId="21617"/>
    <cellStyle name="Percent 3 2 7 2 3 2" xfId="50478"/>
    <cellStyle name="Percent 3 2 7 2 4" xfId="33368"/>
    <cellStyle name="Percent 3 2 7 3" xfId="7662"/>
    <cellStyle name="Percent 3 2 7 3 2" xfId="24709"/>
    <cellStyle name="Percent 3 2 7 3 2 2" xfId="53570"/>
    <cellStyle name="Percent 3 2 7 3 3" xfId="36523"/>
    <cellStyle name="Percent 3 2 7 4" xfId="12868"/>
    <cellStyle name="Percent 3 2 7 4 2" xfId="18937"/>
    <cellStyle name="Percent 3 2 7 4 2 2" xfId="47798"/>
    <cellStyle name="Percent 3 2 7 4 3" xfId="41729"/>
    <cellStyle name="Percent 3 2 7 5" xfId="16257"/>
    <cellStyle name="Percent 3 2 7 5 2" xfId="45118"/>
    <cellStyle name="Percent 3 2 7 6" xfId="30482"/>
    <cellStyle name="Percent 3 2 8" xfId="1826"/>
    <cellStyle name="Percent 3 2 8 2" xfId="4713"/>
    <cellStyle name="Percent 3 2 8 2 2" xfId="10754"/>
    <cellStyle name="Percent 3 2 8 2 2 2" xfId="27801"/>
    <cellStyle name="Percent 3 2 8 2 2 2 2" xfId="56662"/>
    <cellStyle name="Percent 3 2 8 2 2 3" xfId="39615"/>
    <cellStyle name="Percent 3 2 8 2 3" xfId="21823"/>
    <cellStyle name="Percent 3 2 8 2 3 2" xfId="50684"/>
    <cellStyle name="Percent 3 2 8 2 4" xfId="33574"/>
    <cellStyle name="Percent 3 2 8 3" xfId="7868"/>
    <cellStyle name="Percent 3 2 8 3 2" xfId="24915"/>
    <cellStyle name="Percent 3 2 8 3 2 2" xfId="53776"/>
    <cellStyle name="Percent 3 2 8 3 3" xfId="36729"/>
    <cellStyle name="Percent 3 2 8 4" xfId="13056"/>
    <cellStyle name="Percent 3 2 8 4 2" xfId="19143"/>
    <cellStyle name="Percent 3 2 8 4 2 2" xfId="48004"/>
    <cellStyle name="Percent 3 2 8 4 3" xfId="41917"/>
    <cellStyle name="Percent 3 2 8 5" xfId="16463"/>
    <cellStyle name="Percent 3 2 8 5 2" xfId="45324"/>
    <cellStyle name="Percent 3 2 8 6" xfId="30688"/>
    <cellStyle name="Percent 3 2 9" xfId="2032"/>
    <cellStyle name="Percent 3 2 9 2" xfId="4919"/>
    <cellStyle name="Percent 3 2 9 2 2" xfId="10960"/>
    <cellStyle name="Percent 3 2 9 2 2 2" xfId="28007"/>
    <cellStyle name="Percent 3 2 9 2 2 2 2" xfId="56868"/>
    <cellStyle name="Percent 3 2 9 2 2 3" xfId="39821"/>
    <cellStyle name="Percent 3 2 9 2 3" xfId="22029"/>
    <cellStyle name="Percent 3 2 9 2 3 2" xfId="50890"/>
    <cellStyle name="Percent 3 2 9 2 4" xfId="33780"/>
    <cellStyle name="Percent 3 2 9 3" xfId="8074"/>
    <cellStyle name="Percent 3 2 9 3 2" xfId="25121"/>
    <cellStyle name="Percent 3 2 9 3 2 2" xfId="53982"/>
    <cellStyle name="Percent 3 2 9 3 3" xfId="36935"/>
    <cellStyle name="Percent 3 2 9 4" xfId="12251"/>
    <cellStyle name="Percent 3 2 9 4 2" xfId="19349"/>
    <cellStyle name="Percent 3 2 9 4 2 2" xfId="48210"/>
    <cellStyle name="Percent 3 2 9 4 3" xfId="41112"/>
    <cellStyle name="Percent 3 2 9 5" xfId="16669"/>
    <cellStyle name="Percent 3 2 9 5 2" xfId="45530"/>
    <cellStyle name="Percent 3 2 9 6" xfId="30894"/>
    <cellStyle name="Percent 3 20" xfId="28937"/>
    <cellStyle name="Percent 3 3" xfId="178"/>
    <cellStyle name="Percent 3 3 2" xfId="590"/>
    <cellStyle name="Percent 3 3 2 2" xfId="3477"/>
    <cellStyle name="Percent 3 3 2 2 2" xfId="9518"/>
    <cellStyle name="Percent 3 3 2 2 2 2" xfId="26565"/>
    <cellStyle name="Percent 3 3 2 2 2 2 2" xfId="55426"/>
    <cellStyle name="Percent 3 3 2 2 2 3" xfId="38379"/>
    <cellStyle name="Percent 3 3 2 2 3" xfId="20587"/>
    <cellStyle name="Percent 3 3 2 2 3 2" xfId="49448"/>
    <cellStyle name="Percent 3 3 2 2 4" xfId="32338"/>
    <cellStyle name="Percent 3 3 2 3" xfId="6632"/>
    <cellStyle name="Percent 3 3 2 3 2" xfId="23679"/>
    <cellStyle name="Percent 3 3 2 3 2 2" xfId="52540"/>
    <cellStyle name="Percent 3 3 2 3 3" xfId="35493"/>
    <cellStyle name="Percent 3 3 2 4" xfId="12180"/>
    <cellStyle name="Percent 3 3 2 4 2" xfId="17907"/>
    <cellStyle name="Percent 3 3 2 4 2 2" xfId="46768"/>
    <cellStyle name="Percent 3 3 2 4 3" xfId="41041"/>
    <cellStyle name="Percent 3 3 2 5" xfId="15227"/>
    <cellStyle name="Percent 3 3 2 5 2" xfId="44088"/>
    <cellStyle name="Percent 3 3 2 6" xfId="29452"/>
    <cellStyle name="Percent 3 3 3" xfId="2135"/>
    <cellStyle name="Percent 3 3 3 2" xfId="5022"/>
    <cellStyle name="Percent 3 3 3 2 2" xfId="11063"/>
    <cellStyle name="Percent 3 3 3 2 2 2" xfId="28110"/>
    <cellStyle name="Percent 3 3 3 2 2 2 2" xfId="56971"/>
    <cellStyle name="Percent 3 3 3 2 2 3" xfId="39924"/>
    <cellStyle name="Percent 3 3 3 2 3" xfId="22132"/>
    <cellStyle name="Percent 3 3 3 2 3 2" xfId="50993"/>
    <cellStyle name="Percent 3 3 3 2 4" xfId="33883"/>
    <cellStyle name="Percent 3 3 3 3" xfId="8177"/>
    <cellStyle name="Percent 3 3 3 3 2" xfId="25224"/>
    <cellStyle name="Percent 3 3 3 3 2 2" xfId="54085"/>
    <cellStyle name="Percent 3 3 3 3 3" xfId="37038"/>
    <cellStyle name="Percent 3 3 3 4" xfId="13867"/>
    <cellStyle name="Percent 3 3 3 4 2" xfId="19452"/>
    <cellStyle name="Percent 3 3 3 4 2 2" xfId="48313"/>
    <cellStyle name="Percent 3 3 3 4 3" xfId="42728"/>
    <cellStyle name="Percent 3 3 3 5" xfId="16772"/>
    <cellStyle name="Percent 3 3 3 5 2" xfId="45633"/>
    <cellStyle name="Percent 3 3 3 6" xfId="30997"/>
    <cellStyle name="Percent 3 3 4" xfId="3065"/>
    <cellStyle name="Percent 3 3 4 2" xfId="9106"/>
    <cellStyle name="Percent 3 3 4 2 2" xfId="26153"/>
    <cellStyle name="Percent 3 3 4 2 2 2" xfId="55014"/>
    <cellStyle name="Percent 3 3 4 2 3" xfId="37967"/>
    <cellStyle name="Percent 3 3 4 3" xfId="20175"/>
    <cellStyle name="Percent 3 3 4 3 2" xfId="49036"/>
    <cellStyle name="Percent 3 3 4 4" xfId="31926"/>
    <cellStyle name="Percent 3 3 5" xfId="6220"/>
    <cellStyle name="Percent 3 3 5 2" xfId="23267"/>
    <cellStyle name="Percent 3 3 5 2 2" xfId="52128"/>
    <cellStyle name="Percent 3 3 5 3" xfId="35081"/>
    <cellStyle name="Percent 3 3 6" xfId="11946"/>
    <cellStyle name="Percent 3 3 6 2" xfId="17598"/>
    <cellStyle name="Percent 3 3 6 2 2" xfId="46459"/>
    <cellStyle name="Percent 3 3 6 3" xfId="40807"/>
    <cellStyle name="Percent 3 3 7" xfId="14815"/>
    <cellStyle name="Percent 3 3 7 2" xfId="43676"/>
    <cellStyle name="Percent 3 3 8" xfId="29040"/>
    <cellStyle name="Percent 3 4" xfId="384"/>
    <cellStyle name="Percent 3 4 2" xfId="3271"/>
    <cellStyle name="Percent 3 4 2 2" xfId="9312"/>
    <cellStyle name="Percent 3 4 2 2 2" xfId="26359"/>
    <cellStyle name="Percent 3 4 2 2 2 2" xfId="55220"/>
    <cellStyle name="Percent 3 4 2 2 3" xfId="38173"/>
    <cellStyle name="Percent 3 4 2 3" xfId="20381"/>
    <cellStyle name="Percent 3 4 2 3 2" xfId="49242"/>
    <cellStyle name="Percent 3 4 2 4" xfId="32132"/>
    <cellStyle name="Percent 3 4 3" xfId="6426"/>
    <cellStyle name="Percent 3 4 3 2" xfId="23473"/>
    <cellStyle name="Percent 3 4 3 2 2" xfId="52334"/>
    <cellStyle name="Percent 3 4 3 3" xfId="35287"/>
    <cellStyle name="Percent 3 4 4" xfId="13086"/>
    <cellStyle name="Percent 3 4 4 2" xfId="17701"/>
    <cellStyle name="Percent 3 4 4 2 2" xfId="46562"/>
    <cellStyle name="Percent 3 4 4 3" xfId="41947"/>
    <cellStyle name="Percent 3 4 5" xfId="15021"/>
    <cellStyle name="Percent 3 4 5 2" xfId="43882"/>
    <cellStyle name="Percent 3 4 6" xfId="29246"/>
    <cellStyle name="Percent 3 5" xfId="693"/>
    <cellStyle name="Percent 3 5 2" xfId="3580"/>
    <cellStyle name="Percent 3 5 2 2" xfId="9621"/>
    <cellStyle name="Percent 3 5 2 2 2" xfId="26668"/>
    <cellStyle name="Percent 3 5 2 2 2 2" xfId="55529"/>
    <cellStyle name="Percent 3 5 2 2 3" xfId="38482"/>
    <cellStyle name="Percent 3 5 2 3" xfId="20690"/>
    <cellStyle name="Percent 3 5 2 3 2" xfId="49551"/>
    <cellStyle name="Percent 3 5 2 4" xfId="32441"/>
    <cellStyle name="Percent 3 5 3" xfId="6735"/>
    <cellStyle name="Percent 3 5 3 2" xfId="23782"/>
    <cellStyle name="Percent 3 5 3 2 2" xfId="52643"/>
    <cellStyle name="Percent 3 5 3 3" xfId="35596"/>
    <cellStyle name="Percent 3 5 4" xfId="13928"/>
    <cellStyle name="Percent 3 5 4 2" xfId="18010"/>
    <cellStyle name="Percent 3 5 4 2 2" xfId="46871"/>
    <cellStyle name="Percent 3 5 4 3" xfId="42789"/>
    <cellStyle name="Percent 3 5 5" xfId="15330"/>
    <cellStyle name="Percent 3 5 5 2" xfId="44191"/>
    <cellStyle name="Percent 3 5 6" xfId="29555"/>
    <cellStyle name="Percent 3 6" xfId="899"/>
    <cellStyle name="Percent 3 6 2" xfId="3786"/>
    <cellStyle name="Percent 3 6 2 2" xfId="9827"/>
    <cellStyle name="Percent 3 6 2 2 2" xfId="26874"/>
    <cellStyle name="Percent 3 6 2 2 2 2" xfId="55735"/>
    <cellStyle name="Percent 3 6 2 2 3" xfId="38688"/>
    <cellStyle name="Percent 3 6 2 3" xfId="20896"/>
    <cellStyle name="Percent 3 6 2 3 2" xfId="49757"/>
    <cellStyle name="Percent 3 6 2 4" xfId="32647"/>
    <cellStyle name="Percent 3 6 3" xfId="6941"/>
    <cellStyle name="Percent 3 6 3 2" xfId="23988"/>
    <cellStyle name="Percent 3 6 3 2 2" xfId="52849"/>
    <cellStyle name="Percent 3 6 3 3" xfId="35802"/>
    <cellStyle name="Percent 3 6 4" xfId="13737"/>
    <cellStyle name="Percent 3 6 4 2" xfId="18216"/>
    <cellStyle name="Percent 3 6 4 2 2" xfId="47077"/>
    <cellStyle name="Percent 3 6 4 3" xfId="42598"/>
    <cellStyle name="Percent 3 6 5" xfId="15536"/>
    <cellStyle name="Percent 3 6 5 2" xfId="44397"/>
    <cellStyle name="Percent 3 6 6" xfId="29761"/>
    <cellStyle name="Percent 3 7" xfId="1105"/>
    <cellStyle name="Percent 3 7 2" xfId="3992"/>
    <cellStyle name="Percent 3 7 2 2" xfId="10033"/>
    <cellStyle name="Percent 3 7 2 2 2" xfId="27080"/>
    <cellStyle name="Percent 3 7 2 2 2 2" xfId="55941"/>
    <cellStyle name="Percent 3 7 2 2 3" xfId="38894"/>
    <cellStyle name="Percent 3 7 2 3" xfId="21102"/>
    <cellStyle name="Percent 3 7 2 3 2" xfId="49963"/>
    <cellStyle name="Percent 3 7 2 4" xfId="32853"/>
    <cellStyle name="Percent 3 7 3" xfId="7147"/>
    <cellStyle name="Percent 3 7 3 2" xfId="24194"/>
    <cellStyle name="Percent 3 7 3 2 2" xfId="53055"/>
    <cellStyle name="Percent 3 7 3 3" xfId="36008"/>
    <cellStyle name="Percent 3 7 4" xfId="13725"/>
    <cellStyle name="Percent 3 7 4 2" xfId="18422"/>
    <cellStyle name="Percent 3 7 4 2 2" xfId="47283"/>
    <cellStyle name="Percent 3 7 4 3" xfId="42586"/>
    <cellStyle name="Percent 3 7 5" xfId="15742"/>
    <cellStyle name="Percent 3 7 5 2" xfId="44603"/>
    <cellStyle name="Percent 3 7 6" xfId="29967"/>
    <cellStyle name="Percent 3 8" xfId="1311"/>
    <cellStyle name="Percent 3 8 2" xfId="4198"/>
    <cellStyle name="Percent 3 8 2 2" xfId="10239"/>
    <cellStyle name="Percent 3 8 2 2 2" xfId="27286"/>
    <cellStyle name="Percent 3 8 2 2 2 2" xfId="56147"/>
    <cellStyle name="Percent 3 8 2 2 3" xfId="39100"/>
    <cellStyle name="Percent 3 8 2 3" xfId="21308"/>
    <cellStyle name="Percent 3 8 2 3 2" xfId="50169"/>
    <cellStyle name="Percent 3 8 2 4" xfId="33059"/>
    <cellStyle name="Percent 3 8 3" xfId="7353"/>
    <cellStyle name="Percent 3 8 3 2" xfId="24400"/>
    <cellStyle name="Percent 3 8 3 2 2" xfId="53261"/>
    <cellStyle name="Percent 3 8 3 3" xfId="36214"/>
    <cellStyle name="Percent 3 8 4" xfId="12795"/>
    <cellStyle name="Percent 3 8 4 2" xfId="18628"/>
    <cellStyle name="Percent 3 8 4 2 2" xfId="47489"/>
    <cellStyle name="Percent 3 8 4 3" xfId="41656"/>
    <cellStyle name="Percent 3 8 5" xfId="15948"/>
    <cellStyle name="Percent 3 8 5 2" xfId="44809"/>
    <cellStyle name="Percent 3 8 6" xfId="30173"/>
    <cellStyle name="Percent 3 9" xfId="1517"/>
    <cellStyle name="Percent 3 9 2" xfId="4404"/>
    <cellStyle name="Percent 3 9 2 2" xfId="10445"/>
    <cellStyle name="Percent 3 9 2 2 2" xfId="27492"/>
    <cellStyle name="Percent 3 9 2 2 2 2" xfId="56353"/>
    <cellStyle name="Percent 3 9 2 2 3" xfId="39306"/>
    <cellStyle name="Percent 3 9 2 3" xfId="21514"/>
    <cellStyle name="Percent 3 9 2 3 2" xfId="50375"/>
    <cellStyle name="Percent 3 9 2 4" xfId="33265"/>
    <cellStyle name="Percent 3 9 3" xfId="7559"/>
    <cellStyle name="Percent 3 9 3 2" xfId="24606"/>
    <cellStyle name="Percent 3 9 3 2 2" xfId="53467"/>
    <cellStyle name="Percent 3 9 3 3" xfId="36420"/>
    <cellStyle name="Percent 3 9 4" xfId="12603"/>
    <cellStyle name="Percent 3 9 4 2" xfId="18834"/>
    <cellStyle name="Percent 3 9 4 2 2" xfId="47695"/>
    <cellStyle name="Percent 3 9 4 3" xfId="41464"/>
    <cellStyle name="Percent 3 9 5" xfId="16154"/>
    <cellStyle name="Percent 3 9 5 2" xfId="45015"/>
    <cellStyle name="Percent 3 9 6" xfId="30379"/>
    <cellStyle name="Percent 4" xfId="47"/>
    <cellStyle name="Percent 4 10" xfId="1724"/>
    <cellStyle name="Percent 4 10 2" xfId="4611"/>
    <cellStyle name="Percent 4 10 2 2" xfId="10652"/>
    <cellStyle name="Percent 4 10 2 2 2" xfId="27699"/>
    <cellStyle name="Percent 4 10 2 2 2 2" xfId="56560"/>
    <cellStyle name="Percent 4 10 2 2 3" xfId="39513"/>
    <cellStyle name="Percent 4 10 2 3" xfId="21721"/>
    <cellStyle name="Percent 4 10 2 3 2" xfId="50582"/>
    <cellStyle name="Percent 4 10 2 4" xfId="33472"/>
    <cellStyle name="Percent 4 10 3" xfId="7766"/>
    <cellStyle name="Percent 4 10 3 2" xfId="24813"/>
    <cellStyle name="Percent 4 10 3 2 2" xfId="53674"/>
    <cellStyle name="Percent 4 10 3 3" xfId="36627"/>
    <cellStyle name="Percent 4 10 4" xfId="13246"/>
    <cellStyle name="Percent 4 10 4 2" xfId="19041"/>
    <cellStyle name="Percent 4 10 4 2 2" xfId="47902"/>
    <cellStyle name="Percent 4 10 4 3" xfId="42107"/>
    <cellStyle name="Percent 4 10 5" xfId="16361"/>
    <cellStyle name="Percent 4 10 5 2" xfId="45222"/>
    <cellStyle name="Percent 4 10 6" xfId="30586"/>
    <cellStyle name="Percent 4 11" xfId="1930"/>
    <cellStyle name="Percent 4 11 2" xfId="4817"/>
    <cellStyle name="Percent 4 11 2 2" xfId="10858"/>
    <cellStyle name="Percent 4 11 2 2 2" xfId="27905"/>
    <cellStyle name="Percent 4 11 2 2 2 2" xfId="56766"/>
    <cellStyle name="Percent 4 11 2 2 3" xfId="39719"/>
    <cellStyle name="Percent 4 11 2 3" xfId="21927"/>
    <cellStyle name="Percent 4 11 2 3 2" xfId="50788"/>
    <cellStyle name="Percent 4 11 2 4" xfId="33678"/>
    <cellStyle name="Percent 4 11 3" xfId="7972"/>
    <cellStyle name="Percent 4 11 3 2" xfId="25019"/>
    <cellStyle name="Percent 4 11 3 2 2" xfId="53880"/>
    <cellStyle name="Percent 4 11 3 3" xfId="36833"/>
    <cellStyle name="Percent 4 11 4" xfId="14138"/>
    <cellStyle name="Percent 4 11 4 2" xfId="19247"/>
    <cellStyle name="Percent 4 11 4 2 2" xfId="48108"/>
    <cellStyle name="Percent 4 11 4 3" xfId="42999"/>
    <cellStyle name="Percent 4 11 5" xfId="16567"/>
    <cellStyle name="Percent 4 11 5 2" xfId="45428"/>
    <cellStyle name="Percent 4 11 6" xfId="30792"/>
    <cellStyle name="Percent 4 12" xfId="2342"/>
    <cellStyle name="Percent 4 12 2" xfId="5229"/>
    <cellStyle name="Percent 4 12 2 2" xfId="11270"/>
    <cellStyle name="Percent 4 12 2 2 2" xfId="28317"/>
    <cellStyle name="Percent 4 12 2 2 2 2" xfId="57178"/>
    <cellStyle name="Percent 4 12 2 2 3" xfId="40131"/>
    <cellStyle name="Percent 4 12 2 3" xfId="22339"/>
    <cellStyle name="Percent 4 12 2 3 2" xfId="51200"/>
    <cellStyle name="Percent 4 12 2 4" xfId="34090"/>
    <cellStyle name="Percent 4 12 3" xfId="8384"/>
    <cellStyle name="Percent 4 12 3 2" xfId="25431"/>
    <cellStyle name="Percent 4 12 3 2 2" xfId="54292"/>
    <cellStyle name="Percent 4 12 3 3" xfId="37245"/>
    <cellStyle name="Percent 4 12 4" xfId="13470"/>
    <cellStyle name="Percent 4 12 4 2" xfId="19659"/>
    <cellStyle name="Percent 4 12 4 2 2" xfId="48520"/>
    <cellStyle name="Percent 4 12 4 3" xfId="42331"/>
    <cellStyle name="Percent 4 12 5" xfId="16979"/>
    <cellStyle name="Percent 4 12 5 2" xfId="45840"/>
    <cellStyle name="Percent 4 12 6" xfId="31204"/>
    <cellStyle name="Percent 4 13" xfId="2551"/>
    <cellStyle name="Percent 4 13 2" xfId="5437"/>
    <cellStyle name="Percent 4 13 2 2" xfId="11478"/>
    <cellStyle name="Percent 4 13 2 2 2" xfId="28525"/>
    <cellStyle name="Percent 4 13 2 2 2 2" xfId="57386"/>
    <cellStyle name="Percent 4 13 2 2 3" xfId="40339"/>
    <cellStyle name="Percent 4 13 2 3" xfId="22547"/>
    <cellStyle name="Percent 4 13 2 3 2" xfId="51408"/>
    <cellStyle name="Percent 4 13 2 4" xfId="34298"/>
    <cellStyle name="Percent 4 13 3" xfId="8592"/>
    <cellStyle name="Percent 4 13 3 2" xfId="25639"/>
    <cellStyle name="Percent 4 13 3 2 2" xfId="54500"/>
    <cellStyle name="Percent 4 13 3 3" xfId="37453"/>
    <cellStyle name="Percent 4 13 4" xfId="13950"/>
    <cellStyle name="Percent 4 13 4 2" xfId="19867"/>
    <cellStyle name="Percent 4 13 4 2 2" xfId="48728"/>
    <cellStyle name="Percent 4 13 4 3" xfId="42811"/>
    <cellStyle name="Percent 4 13 5" xfId="17187"/>
    <cellStyle name="Percent 4 13 5 2" xfId="46048"/>
    <cellStyle name="Percent 4 13 6" xfId="31412"/>
    <cellStyle name="Percent 4 14" xfId="2963"/>
    <cellStyle name="Percent 4 14 2" xfId="9004"/>
    <cellStyle name="Percent 4 14 2 2" xfId="26051"/>
    <cellStyle name="Percent 4 14 2 2 2" xfId="54912"/>
    <cellStyle name="Percent 4 14 2 3" xfId="37865"/>
    <cellStyle name="Percent 4 14 3" xfId="12471"/>
    <cellStyle name="Percent 4 14 3 2" xfId="20073"/>
    <cellStyle name="Percent 4 14 3 2 2" xfId="48934"/>
    <cellStyle name="Percent 4 14 3 3" xfId="41332"/>
    <cellStyle name="Percent 4 14 4" xfId="14713"/>
    <cellStyle name="Percent 4 14 4 2" xfId="43574"/>
    <cellStyle name="Percent 4 14 5" xfId="31824"/>
    <cellStyle name="Percent 4 15" xfId="2757"/>
    <cellStyle name="Percent 4 15 2" xfId="8798"/>
    <cellStyle name="Percent 4 15 2 2" xfId="25845"/>
    <cellStyle name="Percent 4 15 2 2 2" xfId="54706"/>
    <cellStyle name="Percent 4 15 2 3" xfId="37659"/>
    <cellStyle name="Percent 4 15 3" xfId="17393"/>
    <cellStyle name="Percent 4 15 3 2" xfId="46254"/>
    <cellStyle name="Percent 4 15 4" xfId="31618"/>
    <cellStyle name="Percent 4 16" xfId="5643"/>
    <cellStyle name="Percent 4 16 2" xfId="11684"/>
    <cellStyle name="Percent 4 16 2 2" xfId="28731"/>
    <cellStyle name="Percent 4 16 2 2 2" xfId="57592"/>
    <cellStyle name="Percent 4 16 2 3" xfId="40545"/>
    <cellStyle name="Percent 4 16 3" xfId="22753"/>
    <cellStyle name="Percent 4 16 3 2" xfId="51614"/>
    <cellStyle name="Percent 4 16 4" xfId="34504"/>
    <cellStyle name="Percent 4 17" xfId="5854"/>
    <cellStyle name="Percent 4 17 2" xfId="22959"/>
    <cellStyle name="Percent 4 17 2 2" xfId="51820"/>
    <cellStyle name="Percent 4 17 3" xfId="34715"/>
    <cellStyle name="Percent 4 18" xfId="6118"/>
    <cellStyle name="Percent 4 18 2" xfId="23165"/>
    <cellStyle name="Percent 4 18 2 2" xfId="52026"/>
    <cellStyle name="Percent 4 18 3" xfId="34979"/>
    <cellStyle name="Percent 4 19" xfId="14507"/>
    <cellStyle name="Percent 4 19 2" xfId="43368"/>
    <cellStyle name="Percent 4 2" xfId="282"/>
    <cellStyle name="Percent 4 2 10" xfId="2445"/>
    <cellStyle name="Percent 4 2 10 2" xfId="5332"/>
    <cellStyle name="Percent 4 2 10 2 2" xfId="11373"/>
    <cellStyle name="Percent 4 2 10 2 2 2" xfId="28420"/>
    <cellStyle name="Percent 4 2 10 2 2 2 2" xfId="57281"/>
    <cellStyle name="Percent 4 2 10 2 2 3" xfId="40234"/>
    <cellStyle name="Percent 4 2 10 2 3" xfId="22442"/>
    <cellStyle name="Percent 4 2 10 2 3 2" xfId="51303"/>
    <cellStyle name="Percent 4 2 10 2 4" xfId="34193"/>
    <cellStyle name="Percent 4 2 10 3" xfId="8487"/>
    <cellStyle name="Percent 4 2 10 3 2" xfId="25534"/>
    <cellStyle name="Percent 4 2 10 3 2 2" xfId="54395"/>
    <cellStyle name="Percent 4 2 10 3 3" xfId="37348"/>
    <cellStyle name="Percent 4 2 10 4" xfId="12946"/>
    <cellStyle name="Percent 4 2 10 4 2" xfId="19762"/>
    <cellStyle name="Percent 4 2 10 4 2 2" xfId="48623"/>
    <cellStyle name="Percent 4 2 10 4 3" xfId="41807"/>
    <cellStyle name="Percent 4 2 10 5" xfId="17082"/>
    <cellStyle name="Percent 4 2 10 5 2" xfId="45943"/>
    <cellStyle name="Percent 4 2 10 6" xfId="31307"/>
    <cellStyle name="Percent 4 2 11" xfId="2654"/>
    <cellStyle name="Percent 4 2 11 2" xfId="5540"/>
    <cellStyle name="Percent 4 2 11 2 2" xfId="11581"/>
    <cellStyle name="Percent 4 2 11 2 2 2" xfId="28628"/>
    <cellStyle name="Percent 4 2 11 2 2 2 2" xfId="57489"/>
    <cellStyle name="Percent 4 2 11 2 2 3" xfId="40442"/>
    <cellStyle name="Percent 4 2 11 2 3" xfId="22650"/>
    <cellStyle name="Percent 4 2 11 2 3 2" xfId="51511"/>
    <cellStyle name="Percent 4 2 11 2 4" xfId="34401"/>
    <cellStyle name="Percent 4 2 11 3" xfId="8695"/>
    <cellStyle name="Percent 4 2 11 3 2" xfId="25742"/>
    <cellStyle name="Percent 4 2 11 3 2 2" xfId="54603"/>
    <cellStyle name="Percent 4 2 11 3 3" xfId="37556"/>
    <cellStyle name="Percent 4 2 11 4" xfId="12757"/>
    <cellStyle name="Percent 4 2 11 4 2" xfId="19970"/>
    <cellStyle name="Percent 4 2 11 4 2 2" xfId="48831"/>
    <cellStyle name="Percent 4 2 11 4 3" xfId="41618"/>
    <cellStyle name="Percent 4 2 11 5" xfId="17290"/>
    <cellStyle name="Percent 4 2 11 5 2" xfId="46151"/>
    <cellStyle name="Percent 4 2 11 6" xfId="31515"/>
    <cellStyle name="Percent 4 2 12" xfId="3169"/>
    <cellStyle name="Percent 4 2 12 2" xfId="9210"/>
    <cellStyle name="Percent 4 2 12 2 2" xfId="26257"/>
    <cellStyle name="Percent 4 2 12 2 2 2" xfId="55118"/>
    <cellStyle name="Percent 4 2 12 2 3" xfId="38071"/>
    <cellStyle name="Percent 4 2 12 3" xfId="11910"/>
    <cellStyle name="Percent 4 2 12 3 2" xfId="20279"/>
    <cellStyle name="Percent 4 2 12 3 2 2" xfId="49140"/>
    <cellStyle name="Percent 4 2 12 3 3" xfId="40771"/>
    <cellStyle name="Percent 4 2 12 4" xfId="14919"/>
    <cellStyle name="Percent 4 2 12 4 2" xfId="43780"/>
    <cellStyle name="Percent 4 2 12 5" xfId="32030"/>
    <cellStyle name="Percent 4 2 13" xfId="2860"/>
    <cellStyle name="Percent 4 2 13 2" xfId="8901"/>
    <cellStyle name="Percent 4 2 13 2 2" xfId="25948"/>
    <cellStyle name="Percent 4 2 13 2 2 2" xfId="54809"/>
    <cellStyle name="Percent 4 2 13 2 3" xfId="37762"/>
    <cellStyle name="Percent 4 2 13 3" xfId="17496"/>
    <cellStyle name="Percent 4 2 13 3 2" xfId="46357"/>
    <cellStyle name="Percent 4 2 13 4" xfId="31721"/>
    <cellStyle name="Percent 4 2 14" xfId="5746"/>
    <cellStyle name="Percent 4 2 14 2" xfId="11787"/>
    <cellStyle name="Percent 4 2 14 2 2" xfId="28834"/>
    <cellStyle name="Percent 4 2 14 2 2 2" xfId="57695"/>
    <cellStyle name="Percent 4 2 14 2 3" xfId="40648"/>
    <cellStyle name="Percent 4 2 14 3" xfId="22856"/>
    <cellStyle name="Percent 4 2 14 3 2" xfId="51717"/>
    <cellStyle name="Percent 4 2 14 4" xfId="34607"/>
    <cellStyle name="Percent 4 2 15" xfId="5963"/>
    <cellStyle name="Percent 4 2 15 2" xfId="23062"/>
    <cellStyle name="Percent 4 2 15 2 2" xfId="51923"/>
    <cellStyle name="Percent 4 2 15 3" xfId="34824"/>
    <cellStyle name="Percent 4 2 16" xfId="6324"/>
    <cellStyle name="Percent 4 2 16 2" xfId="23371"/>
    <cellStyle name="Percent 4 2 16 2 2" xfId="52232"/>
    <cellStyle name="Percent 4 2 16 3" xfId="35185"/>
    <cellStyle name="Percent 4 2 17" xfId="14610"/>
    <cellStyle name="Percent 4 2 17 2" xfId="43471"/>
    <cellStyle name="Percent 4 2 18" xfId="29144"/>
    <cellStyle name="Percent 4 2 2" xfId="488"/>
    <cellStyle name="Percent 4 2 2 2" xfId="2239"/>
    <cellStyle name="Percent 4 2 2 2 2" xfId="5126"/>
    <cellStyle name="Percent 4 2 2 2 2 2" xfId="11167"/>
    <cellStyle name="Percent 4 2 2 2 2 2 2" xfId="28214"/>
    <cellStyle name="Percent 4 2 2 2 2 2 2 2" xfId="57075"/>
    <cellStyle name="Percent 4 2 2 2 2 2 3" xfId="40028"/>
    <cellStyle name="Percent 4 2 2 2 2 3" xfId="22236"/>
    <cellStyle name="Percent 4 2 2 2 2 3 2" xfId="51097"/>
    <cellStyle name="Percent 4 2 2 2 2 4" xfId="33987"/>
    <cellStyle name="Percent 4 2 2 2 3" xfId="8281"/>
    <cellStyle name="Percent 4 2 2 2 3 2" xfId="25328"/>
    <cellStyle name="Percent 4 2 2 2 3 2 2" xfId="54189"/>
    <cellStyle name="Percent 4 2 2 2 3 3" xfId="37142"/>
    <cellStyle name="Percent 4 2 2 2 4" xfId="12630"/>
    <cellStyle name="Percent 4 2 2 2 4 2" xfId="19556"/>
    <cellStyle name="Percent 4 2 2 2 4 2 2" xfId="48417"/>
    <cellStyle name="Percent 4 2 2 2 4 3" xfId="41491"/>
    <cellStyle name="Percent 4 2 2 2 5" xfId="16876"/>
    <cellStyle name="Percent 4 2 2 2 5 2" xfId="45737"/>
    <cellStyle name="Percent 4 2 2 2 6" xfId="31101"/>
    <cellStyle name="Percent 4 2 2 3" xfId="3375"/>
    <cellStyle name="Percent 4 2 2 3 2" xfId="9416"/>
    <cellStyle name="Percent 4 2 2 3 2 2" xfId="26463"/>
    <cellStyle name="Percent 4 2 2 3 2 2 2" xfId="55324"/>
    <cellStyle name="Percent 4 2 2 3 2 3" xfId="38277"/>
    <cellStyle name="Percent 4 2 2 3 3" xfId="20485"/>
    <cellStyle name="Percent 4 2 2 3 3 2" xfId="49346"/>
    <cellStyle name="Percent 4 2 2 3 4" xfId="32236"/>
    <cellStyle name="Percent 4 2 2 4" xfId="6530"/>
    <cellStyle name="Percent 4 2 2 4 2" xfId="23577"/>
    <cellStyle name="Percent 4 2 2 4 2 2" xfId="52438"/>
    <cellStyle name="Percent 4 2 2 4 3" xfId="35391"/>
    <cellStyle name="Percent 4 2 2 5" xfId="14466"/>
    <cellStyle name="Percent 4 2 2 5 2" xfId="17805"/>
    <cellStyle name="Percent 4 2 2 5 2 2" xfId="46666"/>
    <cellStyle name="Percent 4 2 2 5 3" xfId="43327"/>
    <cellStyle name="Percent 4 2 2 6" xfId="15125"/>
    <cellStyle name="Percent 4 2 2 6 2" xfId="43986"/>
    <cellStyle name="Percent 4 2 2 7" xfId="29350"/>
    <cellStyle name="Percent 4 2 3" xfId="797"/>
    <cellStyle name="Percent 4 2 3 2" xfId="3684"/>
    <cellStyle name="Percent 4 2 3 2 2" xfId="9725"/>
    <cellStyle name="Percent 4 2 3 2 2 2" xfId="26772"/>
    <cellStyle name="Percent 4 2 3 2 2 2 2" xfId="55633"/>
    <cellStyle name="Percent 4 2 3 2 2 3" xfId="38586"/>
    <cellStyle name="Percent 4 2 3 2 3" xfId="20794"/>
    <cellStyle name="Percent 4 2 3 2 3 2" xfId="49655"/>
    <cellStyle name="Percent 4 2 3 2 4" xfId="32545"/>
    <cellStyle name="Percent 4 2 3 3" xfId="6839"/>
    <cellStyle name="Percent 4 2 3 3 2" xfId="23886"/>
    <cellStyle name="Percent 4 2 3 3 2 2" xfId="52747"/>
    <cellStyle name="Percent 4 2 3 3 3" xfId="35700"/>
    <cellStyle name="Percent 4 2 3 4" xfId="12633"/>
    <cellStyle name="Percent 4 2 3 4 2" xfId="18114"/>
    <cellStyle name="Percent 4 2 3 4 2 2" xfId="46975"/>
    <cellStyle name="Percent 4 2 3 4 3" xfId="41494"/>
    <cellStyle name="Percent 4 2 3 5" xfId="15434"/>
    <cellStyle name="Percent 4 2 3 5 2" xfId="44295"/>
    <cellStyle name="Percent 4 2 3 6" xfId="29659"/>
    <cellStyle name="Percent 4 2 4" xfId="1003"/>
    <cellStyle name="Percent 4 2 4 2" xfId="3890"/>
    <cellStyle name="Percent 4 2 4 2 2" xfId="9931"/>
    <cellStyle name="Percent 4 2 4 2 2 2" xfId="26978"/>
    <cellStyle name="Percent 4 2 4 2 2 2 2" xfId="55839"/>
    <cellStyle name="Percent 4 2 4 2 2 3" xfId="38792"/>
    <cellStyle name="Percent 4 2 4 2 3" xfId="21000"/>
    <cellStyle name="Percent 4 2 4 2 3 2" xfId="49861"/>
    <cellStyle name="Percent 4 2 4 2 4" xfId="32751"/>
    <cellStyle name="Percent 4 2 4 3" xfId="7045"/>
    <cellStyle name="Percent 4 2 4 3 2" xfId="24092"/>
    <cellStyle name="Percent 4 2 4 3 2 2" xfId="52953"/>
    <cellStyle name="Percent 4 2 4 3 3" xfId="35906"/>
    <cellStyle name="Percent 4 2 4 4" xfId="13542"/>
    <cellStyle name="Percent 4 2 4 4 2" xfId="18320"/>
    <cellStyle name="Percent 4 2 4 4 2 2" xfId="47181"/>
    <cellStyle name="Percent 4 2 4 4 3" xfId="42403"/>
    <cellStyle name="Percent 4 2 4 5" xfId="15640"/>
    <cellStyle name="Percent 4 2 4 5 2" xfId="44501"/>
    <cellStyle name="Percent 4 2 4 6" xfId="29865"/>
    <cellStyle name="Percent 4 2 5" xfId="1209"/>
    <cellStyle name="Percent 4 2 5 2" xfId="4096"/>
    <cellStyle name="Percent 4 2 5 2 2" xfId="10137"/>
    <cellStyle name="Percent 4 2 5 2 2 2" xfId="27184"/>
    <cellStyle name="Percent 4 2 5 2 2 2 2" xfId="56045"/>
    <cellStyle name="Percent 4 2 5 2 2 3" xfId="38998"/>
    <cellStyle name="Percent 4 2 5 2 3" xfId="21206"/>
    <cellStyle name="Percent 4 2 5 2 3 2" xfId="50067"/>
    <cellStyle name="Percent 4 2 5 2 4" xfId="32957"/>
    <cellStyle name="Percent 4 2 5 3" xfId="7251"/>
    <cellStyle name="Percent 4 2 5 3 2" xfId="24298"/>
    <cellStyle name="Percent 4 2 5 3 2 2" xfId="53159"/>
    <cellStyle name="Percent 4 2 5 3 3" xfId="36112"/>
    <cellStyle name="Percent 4 2 5 4" xfId="13118"/>
    <cellStyle name="Percent 4 2 5 4 2" xfId="18526"/>
    <cellStyle name="Percent 4 2 5 4 2 2" xfId="47387"/>
    <cellStyle name="Percent 4 2 5 4 3" xfId="41979"/>
    <cellStyle name="Percent 4 2 5 5" xfId="15846"/>
    <cellStyle name="Percent 4 2 5 5 2" xfId="44707"/>
    <cellStyle name="Percent 4 2 5 6" xfId="30071"/>
    <cellStyle name="Percent 4 2 6" xfId="1415"/>
    <cellStyle name="Percent 4 2 6 2" xfId="4302"/>
    <cellStyle name="Percent 4 2 6 2 2" xfId="10343"/>
    <cellStyle name="Percent 4 2 6 2 2 2" xfId="27390"/>
    <cellStyle name="Percent 4 2 6 2 2 2 2" xfId="56251"/>
    <cellStyle name="Percent 4 2 6 2 2 3" xfId="39204"/>
    <cellStyle name="Percent 4 2 6 2 3" xfId="21412"/>
    <cellStyle name="Percent 4 2 6 2 3 2" xfId="50273"/>
    <cellStyle name="Percent 4 2 6 2 4" xfId="33163"/>
    <cellStyle name="Percent 4 2 6 3" xfId="7457"/>
    <cellStyle name="Percent 4 2 6 3 2" xfId="24504"/>
    <cellStyle name="Percent 4 2 6 3 2 2" xfId="53365"/>
    <cellStyle name="Percent 4 2 6 3 3" xfId="36318"/>
    <cellStyle name="Percent 4 2 6 4" xfId="14007"/>
    <cellStyle name="Percent 4 2 6 4 2" xfId="18732"/>
    <cellStyle name="Percent 4 2 6 4 2 2" xfId="47593"/>
    <cellStyle name="Percent 4 2 6 4 3" xfId="42868"/>
    <cellStyle name="Percent 4 2 6 5" xfId="16052"/>
    <cellStyle name="Percent 4 2 6 5 2" xfId="44913"/>
    <cellStyle name="Percent 4 2 6 6" xfId="30277"/>
    <cellStyle name="Percent 4 2 7" xfId="1621"/>
    <cellStyle name="Percent 4 2 7 2" xfId="4508"/>
    <cellStyle name="Percent 4 2 7 2 2" xfId="10549"/>
    <cellStyle name="Percent 4 2 7 2 2 2" xfId="27596"/>
    <cellStyle name="Percent 4 2 7 2 2 2 2" xfId="56457"/>
    <cellStyle name="Percent 4 2 7 2 2 3" xfId="39410"/>
    <cellStyle name="Percent 4 2 7 2 3" xfId="21618"/>
    <cellStyle name="Percent 4 2 7 2 3 2" xfId="50479"/>
    <cellStyle name="Percent 4 2 7 2 4" xfId="33369"/>
    <cellStyle name="Percent 4 2 7 3" xfId="7663"/>
    <cellStyle name="Percent 4 2 7 3 2" xfId="24710"/>
    <cellStyle name="Percent 4 2 7 3 2 2" xfId="53571"/>
    <cellStyle name="Percent 4 2 7 3 3" xfId="36524"/>
    <cellStyle name="Percent 4 2 7 4" xfId="13186"/>
    <cellStyle name="Percent 4 2 7 4 2" xfId="18938"/>
    <cellStyle name="Percent 4 2 7 4 2 2" xfId="47799"/>
    <cellStyle name="Percent 4 2 7 4 3" xfId="42047"/>
    <cellStyle name="Percent 4 2 7 5" xfId="16258"/>
    <cellStyle name="Percent 4 2 7 5 2" xfId="45119"/>
    <cellStyle name="Percent 4 2 7 6" xfId="30483"/>
    <cellStyle name="Percent 4 2 8" xfId="1827"/>
    <cellStyle name="Percent 4 2 8 2" xfId="4714"/>
    <cellStyle name="Percent 4 2 8 2 2" xfId="10755"/>
    <cellStyle name="Percent 4 2 8 2 2 2" xfId="27802"/>
    <cellStyle name="Percent 4 2 8 2 2 2 2" xfId="56663"/>
    <cellStyle name="Percent 4 2 8 2 2 3" xfId="39616"/>
    <cellStyle name="Percent 4 2 8 2 3" xfId="21824"/>
    <cellStyle name="Percent 4 2 8 2 3 2" xfId="50685"/>
    <cellStyle name="Percent 4 2 8 2 4" xfId="33575"/>
    <cellStyle name="Percent 4 2 8 3" xfId="7869"/>
    <cellStyle name="Percent 4 2 8 3 2" xfId="24916"/>
    <cellStyle name="Percent 4 2 8 3 2 2" xfId="53777"/>
    <cellStyle name="Percent 4 2 8 3 3" xfId="36730"/>
    <cellStyle name="Percent 4 2 8 4" xfId="12323"/>
    <cellStyle name="Percent 4 2 8 4 2" xfId="19144"/>
    <cellStyle name="Percent 4 2 8 4 2 2" xfId="48005"/>
    <cellStyle name="Percent 4 2 8 4 3" xfId="41184"/>
    <cellStyle name="Percent 4 2 8 5" xfId="16464"/>
    <cellStyle name="Percent 4 2 8 5 2" xfId="45325"/>
    <cellStyle name="Percent 4 2 8 6" xfId="30689"/>
    <cellStyle name="Percent 4 2 9" xfId="2033"/>
    <cellStyle name="Percent 4 2 9 2" xfId="4920"/>
    <cellStyle name="Percent 4 2 9 2 2" xfId="10961"/>
    <cellStyle name="Percent 4 2 9 2 2 2" xfId="28008"/>
    <cellStyle name="Percent 4 2 9 2 2 2 2" xfId="56869"/>
    <cellStyle name="Percent 4 2 9 2 2 3" xfId="39822"/>
    <cellStyle name="Percent 4 2 9 2 3" xfId="22030"/>
    <cellStyle name="Percent 4 2 9 2 3 2" xfId="50891"/>
    <cellStyle name="Percent 4 2 9 2 4" xfId="33781"/>
    <cellStyle name="Percent 4 2 9 3" xfId="8075"/>
    <cellStyle name="Percent 4 2 9 3 2" xfId="25122"/>
    <cellStyle name="Percent 4 2 9 3 2 2" xfId="53983"/>
    <cellStyle name="Percent 4 2 9 3 3" xfId="36936"/>
    <cellStyle name="Percent 4 2 9 4" xfId="13054"/>
    <cellStyle name="Percent 4 2 9 4 2" xfId="19350"/>
    <cellStyle name="Percent 4 2 9 4 2 2" xfId="48211"/>
    <cellStyle name="Percent 4 2 9 4 3" xfId="41915"/>
    <cellStyle name="Percent 4 2 9 5" xfId="16670"/>
    <cellStyle name="Percent 4 2 9 5 2" xfId="45531"/>
    <cellStyle name="Percent 4 2 9 6" xfId="30895"/>
    <cellStyle name="Percent 4 20" xfId="28938"/>
    <cellStyle name="Percent 4 3" xfId="179"/>
    <cellStyle name="Percent 4 3 2" xfId="591"/>
    <cellStyle name="Percent 4 3 2 2" xfId="3478"/>
    <cellStyle name="Percent 4 3 2 2 2" xfId="9519"/>
    <cellStyle name="Percent 4 3 2 2 2 2" xfId="26566"/>
    <cellStyle name="Percent 4 3 2 2 2 2 2" xfId="55427"/>
    <cellStyle name="Percent 4 3 2 2 2 3" xfId="38380"/>
    <cellStyle name="Percent 4 3 2 2 3" xfId="20588"/>
    <cellStyle name="Percent 4 3 2 2 3 2" xfId="49449"/>
    <cellStyle name="Percent 4 3 2 2 4" xfId="32339"/>
    <cellStyle name="Percent 4 3 2 3" xfId="6633"/>
    <cellStyle name="Percent 4 3 2 3 2" xfId="23680"/>
    <cellStyle name="Percent 4 3 2 3 2 2" xfId="52541"/>
    <cellStyle name="Percent 4 3 2 3 3" xfId="35494"/>
    <cellStyle name="Percent 4 3 2 4" xfId="14398"/>
    <cellStyle name="Percent 4 3 2 4 2" xfId="17908"/>
    <cellStyle name="Percent 4 3 2 4 2 2" xfId="46769"/>
    <cellStyle name="Percent 4 3 2 4 3" xfId="43259"/>
    <cellStyle name="Percent 4 3 2 5" xfId="15228"/>
    <cellStyle name="Percent 4 3 2 5 2" xfId="44089"/>
    <cellStyle name="Percent 4 3 2 6" xfId="29453"/>
    <cellStyle name="Percent 4 3 3" xfId="2136"/>
    <cellStyle name="Percent 4 3 3 2" xfId="5023"/>
    <cellStyle name="Percent 4 3 3 2 2" xfId="11064"/>
    <cellStyle name="Percent 4 3 3 2 2 2" xfId="28111"/>
    <cellStyle name="Percent 4 3 3 2 2 2 2" xfId="56972"/>
    <cellStyle name="Percent 4 3 3 2 2 3" xfId="39925"/>
    <cellStyle name="Percent 4 3 3 2 3" xfId="22133"/>
    <cellStyle name="Percent 4 3 3 2 3 2" xfId="50994"/>
    <cellStyle name="Percent 4 3 3 2 4" xfId="33884"/>
    <cellStyle name="Percent 4 3 3 3" xfId="8178"/>
    <cellStyle name="Percent 4 3 3 3 2" xfId="25225"/>
    <cellStyle name="Percent 4 3 3 3 2 2" xfId="54086"/>
    <cellStyle name="Percent 4 3 3 3 3" xfId="37039"/>
    <cellStyle name="Percent 4 3 3 4" xfId="12265"/>
    <cellStyle name="Percent 4 3 3 4 2" xfId="19453"/>
    <cellStyle name="Percent 4 3 3 4 2 2" xfId="48314"/>
    <cellStyle name="Percent 4 3 3 4 3" xfId="41126"/>
    <cellStyle name="Percent 4 3 3 5" xfId="16773"/>
    <cellStyle name="Percent 4 3 3 5 2" xfId="45634"/>
    <cellStyle name="Percent 4 3 3 6" xfId="30998"/>
    <cellStyle name="Percent 4 3 4" xfId="3066"/>
    <cellStyle name="Percent 4 3 4 2" xfId="9107"/>
    <cellStyle name="Percent 4 3 4 2 2" xfId="26154"/>
    <cellStyle name="Percent 4 3 4 2 2 2" xfId="55015"/>
    <cellStyle name="Percent 4 3 4 2 3" xfId="37968"/>
    <cellStyle name="Percent 4 3 4 3" xfId="20176"/>
    <cellStyle name="Percent 4 3 4 3 2" xfId="49037"/>
    <cellStyle name="Percent 4 3 4 4" xfId="31927"/>
    <cellStyle name="Percent 4 3 5" xfId="6221"/>
    <cellStyle name="Percent 4 3 5 2" xfId="23268"/>
    <cellStyle name="Percent 4 3 5 2 2" xfId="52129"/>
    <cellStyle name="Percent 4 3 5 3" xfId="35082"/>
    <cellStyle name="Percent 4 3 6" xfId="13792"/>
    <cellStyle name="Percent 4 3 6 2" xfId="17599"/>
    <cellStyle name="Percent 4 3 6 2 2" xfId="46460"/>
    <cellStyle name="Percent 4 3 6 3" xfId="42653"/>
    <cellStyle name="Percent 4 3 7" xfId="14816"/>
    <cellStyle name="Percent 4 3 7 2" xfId="43677"/>
    <cellStyle name="Percent 4 3 8" xfId="29041"/>
    <cellStyle name="Percent 4 4" xfId="385"/>
    <cellStyle name="Percent 4 4 2" xfId="3272"/>
    <cellStyle name="Percent 4 4 2 2" xfId="9313"/>
    <cellStyle name="Percent 4 4 2 2 2" xfId="26360"/>
    <cellStyle name="Percent 4 4 2 2 2 2" xfId="55221"/>
    <cellStyle name="Percent 4 4 2 2 3" xfId="38174"/>
    <cellStyle name="Percent 4 4 2 3" xfId="20382"/>
    <cellStyle name="Percent 4 4 2 3 2" xfId="49243"/>
    <cellStyle name="Percent 4 4 2 4" xfId="32133"/>
    <cellStyle name="Percent 4 4 3" xfId="6427"/>
    <cellStyle name="Percent 4 4 3 2" xfId="23474"/>
    <cellStyle name="Percent 4 4 3 2 2" xfId="52335"/>
    <cellStyle name="Percent 4 4 3 3" xfId="35288"/>
    <cellStyle name="Percent 4 4 4" xfId="12556"/>
    <cellStyle name="Percent 4 4 4 2" xfId="17702"/>
    <cellStyle name="Percent 4 4 4 2 2" xfId="46563"/>
    <cellStyle name="Percent 4 4 4 3" xfId="41417"/>
    <cellStyle name="Percent 4 4 5" xfId="15022"/>
    <cellStyle name="Percent 4 4 5 2" xfId="43883"/>
    <cellStyle name="Percent 4 4 6" xfId="29247"/>
    <cellStyle name="Percent 4 5" xfId="694"/>
    <cellStyle name="Percent 4 5 2" xfId="3581"/>
    <cellStyle name="Percent 4 5 2 2" xfId="9622"/>
    <cellStyle name="Percent 4 5 2 2 2" xfId="26669"/>
    <cellStyle name="Percent 4 5 2 2 2 2" xfId="55530"/>
    <cellStyle name="Percent 4 5 2 2 3" xfId="38483"/>
    <cellStyle name="Percent 4 5 2 3" xfId="20691"/>
    <cellStyle name="Percent 4 5 2 3 2" xfId="49552"/>
    <cellStyle name="Percent 4 5 2 4" xfId="32442"/>
    <cellStyle name="Percent 4 5 3" xfId="6736"/>
    <cellStyle name="Percent 4 5 3 2" xfId="23783"/>
    <cellStyle name="Percent 4 5 3 2 2" xfId="52644"/>
    <cellStyle name="Percent 4 5 3 3" xfId="35597"/>
    <cellStyle name="Percent 4 5 4" xfId="6101"/>
    <cellStyle name="Percent 4 5 4 2" xfId="18011"/>
    <cellStyle name="Percent 4 5 4 2 2" xfId="46872"/>
    <cellStyle name="Percent 4 5 4 3" xfId="34962"/>
    <cellStyle name="Percent 4 5 5" xfId="15331"/>
    <cellStyle name="Percent 4 5 5 2" xfId="44192"/>
    <cellStyle name="Percent 4 5 6" xfId="29556"/>
    <cellStyle name="Percent 4 6" xfId="900"/>
    <cellStyle name="Percent 4 6 2" xfId="3787"/>
    <cellStyle name="Percent 4 6 2 2" xfId="9828"/>
    <cellStyle name="Percent 4 6 2 2 2" xfId="26875"/>
    <cellStyle name="Percent 4 6 2 2 2 2" xfId="55736"/>
    <cellStyle name="Percent 4 6 2 2 3" xfId="38689"/>
    <cellStyle name="Percent 4 6 2 3" xfId="20897"/>
    <cellStyle name="Percent 4 6 2 3 2" xfId="49758"/>
    <cellStyle name="Percent 4 6 2 4" xfId="32648"/>
    <cellStyle name="Percent 4 6 3" xfId="6942"/>
    <cellStyle name="Percent 4 6 3 2" xfId="23989"/>
    <cellStyle name="Percent 4 6 3 2 2" xfId="52850"/>
    <cellStyle name="Percent 4 6 3 3" xfId="35803"/>
    <cellStyle name="Percent 4 6 4" xfId="14065"/>
    <cellStyle name="Percent 4 6 4 2" xfId="18217"/>
    <cellStyle name="Percent 4 6 4 2 2" xfId="47078"/>
    <cellStyle name="Percent 4 6 4 3" xfId="42926"/>
    <cellStyle name="Percent 4 6 5" xfId="15537"/>
    <cellStyle name="Percent 4 6 5 2" xfId="44398"/>
    <cellStyle name="Percent 4 6 6" xfId="29762"/>
    <cellStyle name="Percent 4 7" xfId="1106"/>
    <cellStyle name="Percent 4 7 2" xfId="3993"/>
    <cellStyle name="Percent 4 7 2 2" xfId="10034"/>
    <cellStyle name="Percent 4 7 2 2 2" xfId="27081"/>
    <cellStyle name="Percent 4 7 2 2 2 2" xfId="55942"/>
    <cellStyle name="Percent 4 7 2 2 3" xfId="38895"/>
    <cellStyle name="Percent 4 7 2 3" xfId="21103"/>
    <cellStyle name="Percent 4 7 2 3 2" xfId="49964"/>
    <cellStyle name="Percent 4 7 2 4" xfId="32854"/>
    <cellStyle name="Percent 4 7 3" xfId="7148"/>
    <cellStyle name="Percent 4 7 3 2" xfId="24195"/>
    <cellStyle name="Percent 4 7 3 2 2" xfId="53056"/>
    <cellStyle name="Percent 4 7 3 3" xfId="36009"/>
    <cellStyle name="Percent 4 7 4" xfId="13663"/>
    <cellStyle name="Percent 4 7 4 2" xfId="18423"/>
    <cellStyle name="Percent 4 7 4 2 2" xfId="47284"/>
    <cellStyle name="Percent 4 7 4 3" xfId="42524"/>
    <cellStyle name="Percent 4 7 5" xfId="15743"/>
    <cellStyle name="Percent 4 7 5 2" xfId="44604"/>
    <cellStyle name="Percent 4 7 6" xfId="29968"/>
    <cellStyle name="Percent 4 8" xfId="1312"/>
    <cellStyle name="Percent 4 8 2" xfId="4199"/>
    <cellStyle name="Percent 4 8 2 2" xfId="10240"/>
    <cellStyle name="Percent 4 8 2 2 2" xfId="27287"/>
    <cellStyle name="Percent 4 8 2 2 2 2" xfId="56148"/>
    <cellStyle name="Percent 4 8 2 2 3" xfId="39101"/>
    <cellStyle name="Percent 4 8 2 3" xfId="21309"/>
    <cellStyle name="Percent 4 8 2 3 2" xfId="50170"/>
    <cellStyle name="Percent 4 8 2 4" xfId="33060"/>
    <cellStyle name="Percent 4 8 3" xfId="7354"/>
    <cellStyle name="Percent 4 8 3 2" xfId="24401"/>
    <cellStyle name="Percent 4 8 3 2 2" xfId="53262"/>
    <cellStyle name="Percent 4 8 3 3" xfId="36215"/>
    <cellStyle name="Percent 4 8 4" xfId="12991"/>
    <cellStyle name="Percent 4 8 4 2" xfId="18629"/>
    <cellStyle name="Percent 4 8 4 2 2" xfId="47490"/>
    <cellStyle name="Percent 4 8 4 3" xfId="41852"/>
    <cellStyle name="Percent 4 8 5" xfId="15949"/>
    <cellStyle name="Percent 4 8 5 2" xfId="44810"/>
    <cellStyle name="Percent 4 8 6" xfId="30174"/>
    <cellStyle name="Percent 4 9" xfId="1518"/>
    <cellStyle name="Percent 4 9 2" xfId="4405"/>
    <cellStyle name="Percent 4 9 2 2" xfId="10446"/>
    <cellStyle name="Percent 4 9 2 2 2" xfId="27493"/>
    <cellStyle name="Percent 4 9 2 2 2 2" xfId="56354"/>
    <cellStyle name="Percent 4 9 2 2 3" xfId="39307"/>
    <cellStyle name="Percent 4 9 2 3" xfId="21515"/>
    <cellStyle name="Percent 4 9 2 3 2" xfId="50376"/>
    <cellStyle name="Percent 4 9 2 4" xfId="33266"/>
    <cellStyle name="Percent 4 9 3" xfId="7560"/>
    <cellStyle name="Percent 4 9 3 2" xfId="24607"/>
    <cellStyle name="Percent 4 9 3 2 2" xfId="53468"/>
    <cellStyle name="Percent 4 9 3 3" xfId="36421"/>
    <cellStyle name="Percent 4 9 4" xfId="13566"/>
    <cellStyle name="Percent 4 9 4 2" xfId="18835"/>
    <cellStyle name="Percent 4 9 4 2 2" xfId="47696"/>
    <cellStyle name="Percent 4 9 4 3" xfId="42427"/>
    <cellStyle name="Percent 4 9 5" xfId="16155"/>
    <cellStyle name="Percent 4 9 5 2" xfId="45016"/>
    <cellStyle name="Percent 4 9 6" xfId="30380"/>
    <cellStyle name="Percent 5" xfId="157"/>
    <cellStyle name="Percent 5 10" xfId="1805"/>
    <cellStyle name="Percent 5 10 2" xfId="4692"/>
    <cellStyle name="Percent 5 10 2 2" xfId="10733"/>
    <cellStyle name="Percent 5 10 2 2 2" xfId="27780"/>
    <cellStyle name="Percent 5 10 2 2 2 2" xfId="56641"/>
    <cellStyle name="Percent 5 10 2 2 3" xfId="39594"/>
    <cellStyle name="Percent 5 10 2 3" xfId="21802"/>
    <cellStyle name="Percent 5 10 2 3 2" xfId="50663"/>
    <cellStyle name="Percent 5 10 2 4" xfId="33553"/>
    <cellStyle name="Percent 5 10 3" xfId="7847"/>
    <cellStyle name="Percent 5 10 3 2" xfId="24894"/>
    <cellStyle name="Percent 5 10 3 2 2" xfId="53755"/>
    <cellStyle name="Percent 5 10 3 3" xfId="36708"/>
    <cellStyle name="Percent 5 10 4" xfId="13462"/>
    <cellStyle name="Percent 5 10 4 2" xfId="19122"/>
    <cellStyle name="Percent 5 10 4 2 2" xfId="47983"/>
    <cellStyle name="Percent 5 10 4 3" xfId="42323"/>
    <cellStyle name="Percent 5 10 5" xfId="16442"/>
    <cellStyle name="Percent 5 10 5 2" xfId="45303"/>
    <cellStyle name="Percent 5 10 6" xfId="30667"/>
    <cellStyle name="Percent 5 11" xfId="2011"/>
    <cellStyle name="Percent 5 11 2" xfId="4898"/>
    <cellStyle name="Percent 5 11 2 2" xfId="10939"/>
    <cellStyle name="Percent 5 11 2 2 2" xfId="27986"/>
    <cellStyle name="Percent 5 11 2 2 2 2" xfId="56847"/>
    <cellStyle name="Percent 5 11 2 2 3" xfId="39800"/>
    <cellStyle name="Percent 5 11 2 3" xfId="22008"/>
    <cellStyle name="Percent 5 11 2 3 2" xfId="50869"/>
    <cellStyle name="Percent 5 11 2 4" xfId="33759"/>
    <cellStyle name="Percent 5 11 3" xfId="8053"/>
    <cellStyle name="Percent 5 11 3 2" xfId="25100"/>
    <cellStyle name="Percent 5 11 3 2 2" xfId="53961"/>
    <cellStyle name="Percent 5 11 3 3" xfId="36914"/>
    <cellStyle name="Percent 5 11 4" xfId="6071"/>
    <cellStyle name="Percent 5 11 4 2" xfId="19328"/>
    <cellStyle name="Percent 5 11 4 2 2" xfId="48189"/>
    <cellStyle name="Percent 5 11 4 3" xfId="34932"/>
    <cellStyle name="Percent 5 11 5" xfId="16648"/>
    <cellStyle name="Percent 5 11 5 2" xfId="45509"/>
    <cellStyle name="Percent 5 11 6" xfId="30873"/>
    <cellStyle name="Percent 5 12" xfId="2423"/>
    <cellStyle name="Percent 5 12 2" xfId="5310"/>
    <cellStyle name="Percent 5 12 2 2" xfId="11351"/>
    <cellStyle name="Percent 5 12 2 2 2" xfId="28398"/>
    <cellStyle name="Percent 5 12 2 2 2 2" xfId="57259"/>
    <cellStyle name="Percent 5 12 2 2 3" xfId="40212"/>
    <cellStyle name="Percent 5 12 2 3" xfId="22420"/>
    <cellStyle name="Percent 5 12 2 3 2" xfId="51281"/>
    <cellStyle name="Percent 5 12 2 4" xfId="34171"/>
    <cellStyle name="Percent 5 12 3" xfId="8465"/>
    <cellStyle name="Percent 5 12 3 2" xfId="25512"/>
    <cellStyle name="Percent 5 12 3 2 2" xfId="54373"/>
    <cellStyle name="Percent 5 12 3 3" xfId="37326"/>
    <cellStyle name="Percent 5 12 4" xfId="14103"/>
    <cellStyle name="Percent 5 12 4 2" xfId="19740"/>
    <cellStyle name="Percent 5 12 4 2 2" xfId="48601"/>
    <cellStyle name="Percent 5 12 4 3" xfId="42964"/>
    <cellStyle name="Percent 5 12 5" xfId="17060"/>
    <cellStyle name="Percent 5 12 5 2" xfId="45921"/>
    <cellStyle name="Percent 5 12 6" xfId="31285"/>
    <cellStyle name="Percent 5 13" xfId="2632"/>
    <cellStyle name="Percent 5 13 2" xfId="5518"/>
    <cellStyle name="Percent 5 13 2 2" xfId="11559"/>
    <cellStyle name="Percent 5 13 2 2 2" xfId="28606"/>
    <cellStyle name="Percent 5 13 2 2 2 2" xfId="57467"/>
    <cellStyle name="Percent 5 13 2 2 3" xfId="40420"/>
    <cellStyle name="Percent 5 13 2 3" xfId="22628"/>
    <cellStyle name="Percent 5 13 2 3 2" xfId="51489"/>
    <cellStyle name="Percent 5 13 2 4" xfId="34379"/>
    <cellStyle name="Percent 5 13 3" xfId="8673"/>
    <cellStyle name="Percent 5 13 3 2" xfId="25720"/>
    <cellStyle name="Percent 5 13 3 2 2" xfId="54581"/>
    <cellStyle name="Percent 5 13 3 3" xfId="37534"/>
    <cellStyle name="Percent 5 13 4" xfId="14341"/>
    <cellStyle name="Percent 5 13 4 2" xfId="19948"/>
    <cellStyle name="Percent 5 13 4 2 2" xfId="48809"/>
    <cellStyle name="Percent 5 13 4 3" xfId="43202"/>
    <cellStyle name="Percent 5 13 5" xfId="17268"/>
    <cellStyle name="Percent 5 13 5 2" xfId="46129"/>
    <cellStyle name="Percent 5 13 6" xfId="31493"/>
    <cellStyle name="Percent 5 14" xfId="3044"/>
    <cellStyle name="Percent 5 14 2" xfId="9085"/>
    <cellStyle name="Percent 5 14 2 2" xfId="26132"/>
    <cellStyle name="Percent 5 14 2 2 2" xfId="54993"/>
    <cellStyle name="Percent 5 14 2 3" xfId="37946"/>
    <cellStyle name="Percent 5 14 3" xfId="13438"/>
    <cellStyle name="Percent 5 14 3 2" xfId="20154"/>
    <cellStyle name="Percent 5 14 3 2 2" xfId="49015"/>
    <cellStyle name="Percent 5 14 3 3" xfId="42299"/>
    <cellStyle name="Percent 5 14 4" xfId="14794"/>
    <cellStyle name="Percent 5 14 4 2" xfId="43655"/>
    <cellStyle name="Percent 5 14 5" xfId="31905"/>
    <cellStyle name="Percent 5 15" xfId="2838"/>
    <cellStyle name="Percent 5 15 2" xfId="8879"/>
    <cellStyle name="Percent 5 15 2 2" xfId="25926"/>
    <cellStyle name="Percent 5 15 2 2 2" xfId="54787"/>
    <cellStyle name="Percent 5 15 2 3" xfId="37740"/>
    <cellStyle name="Percent 5 15 3" xfId="17474"/>
    <cellStyle name="Percent 5 15 3 2" xfId="46335"/>
    <cellStyle name="Percent 5 15 4" xfId="31699"/>
    <cellStyle name="Percent 5 16" xfId="5724"/>
    <cellStyle name="Percent 5 16 2" xfId="11765"/>
    <cellStyle name="Percent 5 16 2 2" xfId="28812"/>
    <cellStyle name="Percent 5 16 2 2 2" xfId="57673"/>
    <cellStyle name="Percent 5 16 2 3" xfId="40626"/>
    <cellStyle name="Percent 5 16 3" xfId="22834"/>
    <cellStyle name="Percent 5 16 3 2" xfId="51695"/>
    <cellStyle name="Percent 5 16 4" xfId="34585"/>
    <cellStyle name="Percent 5 17" xfId="5941"/>
    <cellStyle name="Percent 5 17 2" xfId="23040"/>
    <cellStyle name="Percent 5 17 2 2" xfId="51901"/>
    <cellStyle name="Percent 5 17 3" xfId="34802"/>
    <cellStyle name="Percent 5 18" xfId="6199"/>
    <cellStyle name="Percent 5 18 2" xfId="23246"/>
    <cellStyle name="Percent 5 18 2 2" xfId="52107"/>
    <cellStyle name="Percent 5 18 3" xfId="35060"/>
    <cellStyle name="Percent 5 19" xfId="14588"/>
    <cellStyle name="Percent 5 19 2" xfId="43449"/>
    <cellStyle name="Percent 5 2" xfId="363"/>
    <cellStyle name="Percent 5 2 10" xfId="2526"/>
    <cellStyle name="Percent 5 2 10 2" xfId="5413"/>
    <cellStyle name="Percent 5 2 10 2 2" xfId="11454"/>
    <cellStyle name="Percent 5 2 10 2 2 2" xfId="28501"/>
    <cellStyle name="Percent 5 2 10 2 2 2 2" xfId="57362"/>
    <cellStyle name="Percent 5 2 10 2 2 3" xfId="40315"/>
    <cellStyle name="Percent 5 2 10 2 3" xfId="22523"/>
    <cellStyle name="Percent 5 2 10 2 3 2" xfId="51384"/>
    <cellStyle name="Percent 5 2 10 2 4" xfId="34274"/>
    <cellStyle name="Percent 5 2 10 3" xfId="8568"/>
    <cellStyle name="Percent 5 2 10 3 2" xfId="25615"/>
    <cellStyle name="Percent 5 2 10 3 2 2" xfId="54476"/>
    <cellStyle name="Percent 5 2 10 3 3" xfId="37429"/>
    <cellStyle name="Percent 5 2 10 4" xfId="12254"/>
    <cellStyle name="Percent 5 2 10 4 2" xfId="19843"/>
    <cellStyle name="Percent 5 2 10 4 2 2" xfId="48704"/>
    <cellStyle name="Percent 5 2 10 4 3" xfId="41115"/>
    <cellStyle name="Percent 5 2 10 5" xfId="17163"/>
    <cellStyle name="Percent 5 2 10 5 2" xfId="46024"/>
    <cellStyle name="Percent 5 2 10 6" xfId="31388"/>
    <cellStyle name="Percent 5 2 11" xfId="2735"/>
    <cellStyle name="Percent 5 2 11 2" xfId="5621"/>
    <cellStyle name="Percent 5 2 11 2 2" xfId="11662"/>
    <cellStyle name="Percent 5 2 11 2 2 2" xfId="28709"/>
    <cellStyle name="Percent 5 2 11 2 2 2 2" xfId="57570"/>
    <cellStyle name="Percent 5 2 11 2 2 3" xfId="40523"/>
    <cellStyle name="Percent 5 2 11 2 3" xfId="22731"/>
    <cellStyle name="Percent 5 2 11 2 3 2" xfId="51592"/>
    <cellStyle name="Percent 5 2 11 2 4" xfId="34482"/>
    <cellStyle name="Percent 5 2 11 3" xfId="8776"/>
    <cellStyle name="Percent 5 2 11 3 2" xfId="25823"/>
    <cellStyle name="Percent 5 2 11 3 2 2" xfId="54684"/>
    <cellStyle name="Percent 5 2 11 3 3" xfId="37637"/>
    <cellStyle name="Percent 5 2 11 4" xfId="13970"/>
    <cellStyle name="Percent 5 2 11 4 2" xfId="20051"/>
    <cellStyle name="Percent 5 2 11 4 2 2" xfId="48912"/>
    <cellStyle name="Percent 5 2 11 4 3" xfId="42831"/>
    <cellStyle name="Percent 5 2 11 5" xfId="17371"/>
    <cellStyle name="Percent 5 2 11 5 2" xfId="46232"/>
    <cellStyle name="Percent 5 2 11 6" xfId="31596"/>
    <cellStyle name="Percent 5 2 12" xfId="3250"/>
    <cellStyle name="Percent 5 2 12 2" xfId="9291"/>
    <cellStyle name="Percent 5 2 12 2 2" xfId="26338"/>
    <cellStyle name="Percent 5 2 12 2 2 2" xfId="55199"/>
    <cellStyle name="Percent 5 2 12 2 3" xfId="38152"/>
    <cellStyle name="Percent 5 2 12 3" xfId="14043"/>
    <cellStyle name="Percent 5 2 12 3 2" xfId="20360"/>
    <cellStyle name="Percent 5 2 12 3 2 2" xfId="49221"/>
    <cellStyle name="Percent 5 2 12 3 3" xfId="42904"/>
    <cellStyle name="Percent 5 2 12 4" xfId="15000"/>
    <cellStyle name="Percent 5 2 12 4 2" xfId="43861"/>
    <cellStyle name="Percent 5 2 12 5" xfId="32111"/>
    <cellStyle name="Percent 5 2 13" xfId="2941"/>
    <cellStyle name="Percent 5 2 13 2" xfId="8982"/>
    <cellStyle name="Percent 5 2 13 2 2" xfId="26029"/>
    <cellStyle name="Percent 5 2 13 2 2 2" xfId="54890"/>
    <cellStyle name="Percent 5 2 13 2 3" xfId="37843"/>
    <cellStyle name="Percent 5 2 13 3" xfId="17577"/>
    <cellStyle name="Percent 5 2 13 3 2" xfId="46438"/>
    <cellStyle name="Percent 5 2 13 4" xfId="31802"/>
    <cellStyle name="Percent 5 2 14" xfId="5827"/>
    <cellStyle name="Percent 5 2 14 2" xfId="11868"/>
    <cellStyle name="Percent 5 2 14 2 2" xfId="28915"/>
    <cellStyle name="Percent 5 2 14 2 2 2" xfId="57776"/>
    <cellStyle name="Percent 5 2 14 2 3" xfId="40729"/>
    <cellStyle name="Percent 5 2 14 3" xfId="22937"/>
    <cellStyle name="Percent 5 2 14 3 2" xfId="51798"/>
    <cellStyle name="Percent 5 2 14 4" xfId="34688"/>
    <cellStyle name="Percent 5 2 15" xfId="6044"/>
    <cellStyle name="Percent 5 2 15 2" xfId="23143"/>
    <cellStyle name="Percent 5 2 15 2 2" xfId="52004"/>
    <cellStyle name="Percent 5 2 15 3" xfId="34905"/>
    <cellStyle name="Percent 5 2 16" xfId="6405"/>
    <cellStyle name="Percent 5 2 16 2" xfId="23452"/>
    <cellStyle name="Percent 5 2 16 2 2" xfId="52313"/>
    <cellStyle name="Percent 5 2 16 3" xfId="35266"/>
    <cellStyle name="Percent 5 2 17" xfId="14691"/>
    <cellStyle name="Percent 5 2 17 2" xfId="43552"/>
    <cellStyle name="Percent 5 2 18" xfId="29225"/>
    <cellStyle name="Percent 5 2 2" xfId="569"/>
    <cellStyle name="Percent 5 2 2 2" xfId="2320"/>
    <cellStyle name="Percent 5 2 2 2 2" xfId="5207"/>
    <cellStyle name="Percent 5 2 2 2 2 2" xfId="11248"/>
    <cellStyle name="Percent 5 2 2 2 2 2 2" xfId="28295"/>
    <cellStyle name="Percent 5 2 2 2 2 2 2 2" xfId="57156"/>
    <cellStyle name="Percent 5 2 2 2 2 2 3" xfId="40109"/>
    <cellStyle name="Percent 5 2 2 2 2 3" xfId="22317"/>
    <cellStyle name="Percent 5 2 2 2 2 3 2" xfId="51178"/>
    <cellStyle name="Percent 5 2 2 2 2 4" xfId="34068"/>
    <cellStyle name="Percent 5 2 2 2 3" xfId="8362"/>
    <cellStyle name="Percent 5 2 2 2 3 2" xfId="25409"/>
    <cellStyle name="Percent 5 2 2 2 3 2 2" xfId="54270"/>
    <cellStyle name="Percent 5 2 2 2 3 3" xfId="37223"/>
    <cellStyle name="Percent 5 2 2 2 4" xfId="13195"/>
    <cellStyle name="Percent 5 2 2 2 4 2" xfId="19637"/>
    <cellStyle name="Percent 5 2 2 2 4 2 2" xfId="48498"/>
    <cellStyle name="Percent 5 2 2 2 4 3" xfId="42056"/>
    <cellStyle name="Percent 5 2 2 2 5" xfId="16957"/>
    <cellStyle name="Percent 5 2 2 2 5 2" xfId="45818"/>
    <cellStyle name="Percent 5 2 2 2 6" xfId="31182"/>
    <cellStyle name="Percent 5 2 2 3" xfId="3456"/>
    <cellStyle name="Percent 5 2 2 3 2" xfId="9497"/>
    <cellStyle name="Percent 5 2 2 3 2 2" xfId="26544"/>
    <cellStyle name="Percent 5 2 2 3 2 2 2" xfId="55405"/>
    <cellStyle name="Percent 5 2 2 3 2 3" xfId="38358"/>
    <cellStyle name="Percent 5 2 2 3 3" xfId="20566"/>
    <cellStyle name="Percent 5 2 2 3 3 2" xfId="49427"/>
    <cellStyle name="Percent 5 2 2 3 4" xfId="32317"/>
    <cellStyle name="Percent 5 2 2 4" xfId="6611"/>
    <cellStyle name="Percent 5 2 2 4 2" xfId="23658"/>
    <cellStyle name="Percent 5 2 2 4 2 2" xfId="52519"/>
    <cellStyle name="Percent 5 2 2 4 3" xfId="35472"/>
    <cellStyle name="Percent 5 2 2 5" xfId="11937"/>
    <cellStyle name="Percent 5 2 2 5 2" xfId="17886"/>
    <cellStyle name="Percent 5 2 2 5 2 2" xfId="46747"/>
    <cellStyle name="Percent 5 2 2 5 3" xfId="40798"/>
    <cellStyle name="Percent 5 2 2 6" xfId="15206"/>
    <cellStyle name="Percent 5 2 2 6 2" xfId="44067"/>
    <cellStyle name="Percent 5 2 2 7" xfId="29431"/>
    <cellStyle name="Percent 5 2 3" xfId="878"/>
    <cellStyle name="Percent 5 2 3 2" xfId="3765"/>
    <cellStyle name="Percent 5 2 3 2 2" xfId="9806"/>
    <cellStyle name="Percent 5 2 3 2 2 2" xfId="26853"/>
    <cellStyle name="Percent 5 2 3 2 2 2 2" xfId="55714"/>
    <cellStyle name="Percent 5 2 3 2 2 3" xfId="38667"/>
    <cellStyle name="Percent 5 2 3 2 3" xfId="20875"/>
    <cellStyle name="Percent 5 2 3 2 3 2" xfId="49736"/>
    <cellStyle name="Percent 5 2 3 2 4" xfId="32626"/>
    <cellStyle name="Percent 5 2 3 3" xfId="6920"/>
    <cellStyle name="Percent 5 2 3 3 2" xfId="23967"/>
    <cellStyle name="Percent 5 2 3 3 2 2" xfId="52828"/>
    <cellStyle name="Percent 5 2 3 3 3" xfId="35781"/>
    <cellStyle name="Percent 5 2 3 4" xfId="14279"/>
    <cellStyle name="Percent 5 2 3 4 2" xfId="18195"/>
    <cellStyle name="Percent 5 2 3 4 2 2" xfId="47056"/>
    <cellStyle name="Percent 5 2 3 4 3" xfId="43140"/>
    <cellStyle name="Percent 5 2 3 5" xfId="15515"/>
    <cellStyle name="Percent 5 2 3 5 2" xfId="44376"/>
    <cellStyle name="Percent 5 2 3 6" xfId="29740"/>
    <cellStyle name="Percent 5 2 4" xfId="1084"/>
    <cellStyle name="Percent 5 2 4 2" xfId="3971"/>
    <cellStyle name="Percent 5 2 4 2 2" xfId="10012"/>
    <cellStyle name="Percent 5 2 4 2 2 2" xfId="27059"/>
    <cellStyle name="Percent 5 2 4 2 2 2 2" xfId="55920"/>
    <cellStyle name="Percent 5 2 4 2 2 3" xfId="38873"/>
    <cellStyle name="Percent 5 2 4 2 3" xfId="21081"/>
    <cellStyle name="Percent 5 2 4 2 3 2" xfId="49942"/>
    <cellStyle name="Percent 5 2 4 2 4" xfId="32832"/>
    <cellStyle name="Percent 5 2 4 3" xfId="7126"/>
    <cellStyle name="Percent 5 2 4 3 2" xfId="24173"/>
    <cellStyle name="Percent 5 2 4 3 2 2" xfId="53034"/>
    <cellStyle name="Percent 5 2 4 3 3" xfId="35987"/>
    <cellStyle name="Percent 5 2 4 4" xfId="14434"/>
    <cellStyle name="Percent 5 2 4 4 2" xfId="18401"/>
    <cellStyle name="Percent 5 2 4 4 2 2" xfId="47262"/>
    <cellStyle name="Percent 5 2 4 4 3" xfId="43295"/>
    <cellStyle name="Percent 5 2 4 5" xfId="15721"/>
    <cellStyle name="Percent 5 2 4 5 2" xfId="44582"/>
    <cellStyle name="Percent 5 2 4 6" xfId="29946"/>
    <cellStyle name="Percent 5 2 5" xfId="1290"/>
    <cellStyle name="Percent 5 2 5 2" xfId="4177"/>
    <cellStyle name="Percent 5 2 5 2 2" xfId="10218"/>
    <cellStyle name="Percent 5 2 5 2 2 2" xfId="27265"/>
    <cellStyle name="Percent 5 2 5 2 2 2 2" xfId="56126"/>
    <cellStyle name="Percent 5 2 5 2 2 3" xfId="39079"/>
    <cellStyle name="Percent 5 2 5 2 3" xfId="21287"/>
    <cellStyle name="Percent 5 2 5 2 3 2" xfId="50148"/>
    <cellStyle name="Percent 5 2 5 2 4" xfId="33038"/>
    <cellStyle name="Percent 5 2 5 3" xfId="7332"/>
    <cellStyle name="Percent 5 2 5 3 2" xfId="24379"/>
    <cellStyle name="Percent 5 2 5 3 2 2" xfId="53240"/>
    <cellStyle name="Percent 5 2 5 3 3" xfId="36193"/>
    <cellStyle name="Percent 5 2 5 4" xfId="14021"/>
    <cellStyle name="Percent 5 2 5 4 2" xfId="18607"/>
    <cellStyle name="Percent 5 2 5 4 2 2" xfId="47468"/>
    <cellStyle name="Percent 5 2 5 4 3" xfId="42882"/>
    <cellStyle name="Percent 5 2 5 5" xfId="15927"/>
    <cellStyle name="Percent 5 2 5 5 2" xfId="44788"/>
    <cellStyle name="Percent 5 2 5 6" xfId="30152"/>
    <cellStyle name="Percent 5 2 6" xfId="1496"/>
    <cellStyle name="Percent 5 2 6 2" xfId="4383"/>
    <cellStyle name="Percent 5 2 6 2 2" xfId="10424"/>
    <cellStyle name="Percent 5 2 6 2 2 2" xfId="27471"/>
    <cellStyle name="Percent 5 2 6 2 2 2 2" xfId="56332"/>
    <cellStyle name="Percent 5 2 6 2 2 3" xfId="39285"/>
    <cellStyle name="Percent 5 2 6 2 3" xfId="21493"/>
    <cellStyle name="Percent 5 2 6 2 3 2" xfId="50354"/>
    <cellStyle name="Percent 5 2 6 2 4" xfId="33244"/>
    <cellStyle name="Percent 5 2 6 3" xfId="7538"/>
    <cellStyle name="Percent 5 2 6 3 2" xfId="24585"/>
    <cellStyle name="Percent 5 2 6 3 2 2" xfId="53446"/>
    <cellStyle name="Percent 5 2 6 3 3" xfId="36399"/>
    <cellStyle name="Percent 5 2 6 4" xfId="13272"/>
    <cellStyle name="Percent 5 2 6 4 2" xfId="18813"/>
    <cellStyle name="Percent 5 2 6 4 2 2" xfId="47674"/>
    <cellStyle name="Percent 5 2 6 4 3" xfId="42133"/>
    <cellStyle name="Percent 5 2 6 5" xfId="16133"/>
    <cellStyle name="Percent 5 2 6 5 2" xfId="44994"/>
    <cellStyle name="Percent 5 2 6 6" xfId="30358"/>
    <cellStyle name="Percent 5 2 7" xfId="1702"/>
    <cellStyle name="Percent 5 2 7 2" xfId="4589"/>
    <cellStyle name="Percent 5 2 7 2 2" xfId="10630"/>
    <cellStyle name="Percent 5 2 7 2 2 2" xfId="27677"/>
    <cellStyle name="Percent 5 2 7 2 2 2 2" xfId="56538"/>
    <cellStyle name="Percent 5 2 7 2 2 3" xfId="39491"/>
    <cellStyle name="Percent 5 2 7 2 3" xfId="21699"/>
    <cellStyle name="Percent 5 2 7 2 3 2" xfId="50560"/>
    <cellStyle name="Percent 5 2 7 2 4" xfId="33450"/>
    <cellStyle name="Percent 5 2 7 3" xfId="7744"/>
    <cellStyle name="Percent 5 2 7 3 2" xfId="24791"/>
    <cellStyle name="Percent 5 2 7 3 2 2" xfId="53652"/>
    <cellStyle name="Percent 5 2 7 3 3" xfId="36605"/>
    <cellStyle name="Percent 5 2 7 4" xfId="12976"/>
    <cellStyle name="Percent 5 2 7 4 2" xfId="19019"/>
    <cellStyle name="Percent 5 2 7 4 2 2" xfId="47880"/>
    <cellStyle name="Percent 5 2 7 4 3" xfId="41837"/>
    <cellStyle name="Percent 5 2 7 5" xfId="16339"/>
    <cellStyle name="Percent 5 2 7 5 2" xfId="45200"/>
    <cellStyle name="Percent 5 2 7 6" xfId="30564"/>
    <cellStyle name="Percent 5 2 8" xfId="1908"/>
    <cellStyle name="Percent 5 2 8 2" xfId="4795"/>
    <cellStyle name="Percent 5 2 8 2 2" xfId="10836"/>
    <cellStyle name="Percent 5 2 8 2 2 2" xfId="27883"/>
    <cellStyle name="Percent 5 2 8 2 2 2 2" xfId="56744"/>
    <cellStyle name="Percent 5 2 8 2 2 3" xfId="39697"/>
    <cellStyle name="Percent 5 2 8 2 3" xfId="21905"/>
    <cellStyle name="Percent 5 2 8 2 3 2" xfId="50766"/>
    <cellStyle name="Percent 5 2 8 2 4" xfId="33656"/>
    <cellStyle name="Percent 5 2 8 3" xfId="7950"/>
    <cellStyle name="Percent 5 2 8 3 2" xfId="24997"/>
    <cellStyle name="Percent 5 2 8 3 2 2" xfId="53858"/>
    <cellStyle name="Percent 5 2 8 3 3" xfId="36811"/>
    <cellStyle name="Percent 5 2 8 4" xfId="12626"/>
    <cellStyle name="Percent 5 2 8 4 2" xfId="19225"/>
    <cellStyle name="Percent 5 2 8 4 2 2" xfId="48086"/>
    <cellStyle name="Percent 5 2 8 4 3" xfId="41487"/>
    <cellStyle name="Percent 5 2 8 5" xfId="16545"/>
    <cellStyle name="Percent 5 2 8 5 2" xfId="45406"/>
    <cellStyle name="Percent 5 2 8 6" xfId="30770"/>
    <cellStyle name="Percent 5 2 9" xfId="2114"/>
    <cellStyle name="Percent 5 2 9 2" xfId="5001"/>
    <cellStyle name="Percent 5 2 9 2 2" xfId="11042"/>
    <cellStyle name="Percent 5 2 9 2 2 2" xfId="28089"/>
    <cellStyle name="Percent 5 2 9 2 2 2 2" xfId="56950"/>
    <cellStyle name="Percent 5 2 9 2 2 3" xfId="39903"/>
    <cellStyle name="Percent 5 2 9 2 3" xfId="22111"/>
    <cellStyle name="Percent 5 2 9 2 3 2" xfId="50972"/>
    <cellStyle name="Percent 5 2 9 2 4" xfId="33862"/>
    <cellStyle name="Percent 5 2 9 3" xfId="8156"/>
    <cellStyle name="Percent 5 2 9 3 2" xfId="25203"/>
    <cellStyle name="Percent 5 2 9 3 2 2" xfId="54064"/>
    <cellStyle name="Percent 5 2 9 3 3" xfId="37017"/>
    <cellStyle name="Percent 5 2 9 4" xfId="13810"/>
    <cellStyle name="Percent 5 2 9 4 2" xfId="19431"/>
    <cellStyle name="Percent 5 2 9 4 2 2" xfId="48292"/>
    <cellStyle name="Percent 5 2 9 4 3" xfId="42671"/>
    <cellStyle name="Percent 5 2 9 5" xfId="16751"/>
    <cellStyle name="Percent 5 2 9 5 2" xfId="45612"/>
    <cellStyle name="Percent 5 2 9 6" xfId="30976"/>
    <cellStyle name="Percent 5 20" xfId="29019"/>
    <cellStyle name="Percent 5 3" xfId="260"/>
    <cellStyle name="Percent 5 3 2" xfId="672"/>
    <cellStyle name="Percent 5 3 2 2" xfId="3559"/>
    <cellStyle name="Percent 5 3 2 2 2" xfId="9600"/>
    <cellStyle name="Percent 5 3 2 2 2 2" xfId="26647"/>
    <cellStyle name="Percent 5 3 2 2 2 2 2" xfId="55508"/>
    <cellStyle name="Percent 5 3 2 2 2 3" xfId="38461"/>
    <cellStyle name="Percent 5 3 2 2 3" xfId="20669"/>
    <cellStyle name="Percent 5 3 2 2 3 2" xfId="49530"/>
    <cellStyle name="Percent 5 3 2 2 4" xfId="32420"/>
    <cellStyle name="Percent 5 3 2 3" xfId="6714"/>
    <cellStyle name="Percent 5 3 2 3 2" xfId="23761"/>
    <cellStyle name="Percent 5 3 2 3 2 2" xfId="52622"/>
    <cellStyle name="Percent 5 3 2 3 3" xfId="35575"/>
    <cellStyle name="Percent 5 3 2 4" xfId="14058"/>
    <cellStyle name="Percent 5 3 2 4 2" xfId="17989"/>
    <cellStyle name="Percent 5 3 2 4 2 2" xfId="46850"/>
    <cellStyle name="Percent 5 3 2 4 3" xfId="42919"/>
    <cellStyle name="Percent 5 3 2 5" xfId="15309"/>
    <cellStyle name="Percent 5 3 2 5 2" xfId="44170"/>
    <cellStyle name="Percent 5 3 2 6" xfId="29534"/>
    <cellStyle name="Percent 5 3 3" xfId="2217"/>
    <cellStyle name="Percent 5 3 3 2" xfId="5104"/>
    <cellStyle name="Percent 5 3 3 2 2" xfId="11145"/>
    <cellStyle name="Percent 5 3 3 2 2 2" xfId="28192"/>
    <cellStyle name="Percent 5 3 3 2 2 2 2" xfId="57053"/>
    <cellStyle name="Percent 5 3 3 2 2 3" xfId="40006"/>
    <cellStyle name="Percent 5 3 3 2 3" xfId="22214"/>
    <cellStyle name="Percent 5 3 3 2 3 2" xfId="51075"/>
    <cellStyle name="Percent 5 3 3 2 4" xfId="33965"/>
    <cellStyle name="Percent 5 3 3 3" xfId="8259"/>
    <cellStyle name="Percent 5 3 3 3 2" xfId="25306"/>
    <cellStyle name="Percent 5 3 3 3 2 2" xfId="54167"/>
    <cellStyle name="Percent 5 3 3 3 3" xfId="37120"/>
    <cellStyle name="Percent 5 3 3 4" xfId="13503"/>
    <cellStyle name="Percent 5 3 3 4 2" xfId="19534"/>
    <cellStyle name="Percent 5 3 3 4 2 2" xfId="48395"/>
    <cellStyle name="Percent 5 3 3 4 3" xfId="42364"/>
    <cellStyle name="Percent 5 3 3 5" xfId="16854"/>
    <cellStyle name="Percent 5 3 3 5 2" xfId="45715"/>
    <cellStyle name="Percent 5 3 3 6" xfId="31079"/>
    <cellStyle name="Percent 5 3 4" xfId="3147"/>
    <cellStyle name="Percent 5 3 4 2" xfId="9188"/>
    <cellStyle name="Percent 5 3 4 2 2" xfId="26235"/>
    <cellStyle name="Percent 5 3 4 2 2 2" xfId="55096"/>
    <cellStyle name="Percent 5 3 4 2 3" xfId="38049"/>
    <cellStyle name="Percent 5 3 4 3" xfId="20257"/>
    <cellStyle name="Percent 5 3 4 3 2" xfId="49118"/>
    <cellStyle name="Percent 5 3 4 4" xfId="32008"/>
    <cellStyle name="Percent 5 3 5" xfId="6302"/>
    <cellStyle name="Percent 5 3 5 2" xfId="23349"/>
    <cellStyle name="Percent 5 3 5 2 2" xfId="52210"/>
    <cellStyle name="Percent 5 3 5 3" xfId="35163"/>
    <cellStyle name="Percent 5 3 6" xfId="6087"/>
    <cellStyle name="Percent 5 3 6 2" xfId="17680"/>
    <cellStyle name="Percent 5 3 6 2 2" xfId="46541"/>
    <cellStyle name="Percent 5 3 6 3" xfId="34948"/>
    <cellStyle name="Percent 5 3 7" xfId="14897"/>
    <cellStyle name="Percent 5 3 7 2" xfId="43758"/>
    <cellStyle name="Percent 5 3 8" xfId="29122"/>
    <cellStyle name="Percent 5 4" xfId="466"/>
    <cellStyle name="Percent 5 4 2" xfId="3353"/>
    <cellStyle name="Percent 5 4 2 2" xfId="9394"/>
    <cellStyle name="Percent 5 4 2 2 2" xfId="26441"/>
    <cellStyle name="Percent 5 4 2 2 2 2" xfId="55302"/>
    <cellStyle name="Percent 5 4 2 2 3" xfId="38255"/>
    <cellStyle name="Percent 5 4 2 3" xfId="20463"/>
    <cellStyle name="Percent 5 4 2 3 2" xfId="49324"/>
    <cellStyle name="Percent 5 4 2 4" xfId="32214"/>
    <cellStyle name="Percent 5 4 3" xfId="6508"/>
    <cellStyle name="Percent 5 4 3 2" xfId="23555"/>
    <cellStyle name="Percent 5 4 3 2 2" xfId="52416"/>
    <cellStyle name="Percent 5 4 3 3" xfId="35369"/>
    <cellStyle name="Percent 5 4 4" xfId="12506"/>
    <cellStyle name="Percent 5 4 4 2" xfId="17783"/>
    <cellStyle name="Percent 5 4 4 2 2" xfId="46644"/>
    <cellStyle name="Percent 5 4 4 3" xfId="41367"/>
    <cellStyle name="Percent 5 4 5" xfId="15103"/>
    <cellStyle name="Percent 5 4 5 2" xfId="43964"/>
    <cellStyle name="Percent 5 4 6" xfId="29328"/>
    <cellStyle name="Percent 5 5" xfId="775"/>
    <cellStyle name="Percent 5 5 2" xfId="3662"/>
    <cellStyle name="Percent 5 5 2 2" xfId="9703"/>
    <cellStyle name="Percent 5 5 2 2 2" xfId="26750"/>
    <cellStyle name="Percent 5 5 2 2 2 2" xfId="55611"/>
    <cellStyle name="Percent 5 5 2 2 3" xfId="38564"/>
    <cellStyle name="Percent 5 5 2 3" xfId="20772"/>
    <cellStyle name="Percent 5 5 2 3 2" xfId="49633"/>
    <cellStyle name="Percent 5 5 2 4" xfId="32523"/>
    <cellStyle name="Percent 5 5 3" xfId="6817"/>
    <cellStyle name="Percent 5 5 3 2" xfId="23864"/>
    <cellStyle name="Percent 5 5 3 2 2" xfId="52725"/>
    <cellStyle name="Percent 5 5 3 3" xfId="35678"/>
    <cellStyle name="Percent 5 5 4" xfId="13355"/>
    <cellStyle name="Percent 5 5 4 2" xfId="18092"/>
    <cellStyle name="Percent 5 5 4 2 2" xfId="46953"/>
    <cellStyle name="Percent 5 5 4 3" xfId="42216"/>
    <cellStyle name="Percent 5 5 5" xfId="15412"/>
    <cellStyle name="Percent 5 5 5 2" xfId="44273"/>
    <cellStyle name="Percent 5 5 6" xfId="29637"/>
    <cellStyle name="Percent 5 6" xfId="981"/>
    <cellStyle name="Percent 5 6 2" xfId="3868"/>
    <cellStyle name="Percent 5 6 2 2" xfId="9909"/>
    <cellStyle name="Percent 5 6 2 2 2" xfId="26956"/>
    <cellStyle name="Percent 5 6 2 2 2 2" xfId="55817"/>
    <cellStyle name="Percent 5 6 2 2 3" xfId="38770"/>
    <cellStyle name="Percent 5 6 2 3" xfId="20978"/>
    <cellStyle name="Percent 5 6 2 3 2" xfId="49839"/>
    <cellStyle name="Percent 5 6 2 4" xfId="32729"/>
    <cellStyle name="Percent 5 6 3" xfId="7023"/>
    <cellStyle name="Percent 5 6 3 2" xfId="24070"/>
    <cellStyle name="Percent 5 6 3 2 2" xfId="52931"/>
    <cellStyle name="Percent 5 6 3 3" xfId="35884"/>
    <cellStyle name="Percent 5 6 4" xfId="6082"/>
    <cellStyle name="Percent 5 6 4 2" xfId="18298"/>
    <cellStyle name="Percent 5 6 4 2 2" xfId="47159"/>
    <cellStyle name="Percent 5 6 4 3" xfId="34943"/>
    <cellStyle name="Percent 5 6 5" xfId="15618"/>
    <cellStyle name="Percent 5 6 5 2" xfId="44479"/>
    <cellStyle name="Percent 5 6 6" xfId="29843"/>
    <cellStyle name="Percent 5 7" xfId="1187"/>
    <cellStyle name="Percent 5 7 2" xfId="4074"/>
    <cellStyle name="Percent 5 7 2 2" xfId="10115"/>
    <cellStyle name="Percent 5 7 2 2 2" xfId="27162"/>
    <cellStyle name="Percent 5 7 2 2 2 2" xfId="56023"/>
    <cellStyle name="Percent 5 7 2 2 3" xfId="38976"/>
    <cellStyle name="Percent 5 7 2 3" xfId="21184"/>
    <cellStyle name="Percent 5 7 2 3 2" xfId="50045"/>
    <cellStyle name="Percent 5 7 2 4" xfId="32935"/>
    <cellStyle name="Percent 5 7 3" xfId="7229"/>
    <cellStyle name="Percent 5 7 3 2" xfId="24276"/>
    <cellStyle name="Percent 5 7 3 2 2" xfId="53137"/>
    <cellStyle name="Percent 5 7 3 3" xfId="36090"/>
    <cellStyle name="Percent 5 7 4" xfId="14049"/>
    <cellStyle name="Percent 5 7 4 2" xfId="18504"/>
    <cellStyle name="Percent 5 7 4 2 2" xfId="47365"/>
    <cellStyle name="Percent 5 7 4 3" xfId="42910"/>
    <cellStyle name="Percent 5 7 5" xfId="15824"/>
    <cellStyle name="Percent 5 7 5 2" xfId="44685"/>
    <cellStyle name="Percent 5 7 6" xfId="30049"/>
    <cellStyle name="Percent 5 8" xfId="1393"/>
    <cellStyle name="Percent 5 8 2" xfId="4280"/>
    <cellStyle name="Percent 5 8 2 2" xfId="10321"/>
    <cellStyle name="Percent 5 8 2 2 2" xfId="27368"/>
    <cellStyle name="Percent 5 8 2 2 2 2" xfId="56229"/>
    <cellStyle name="Percent 5 8 2 2 3" xfId="39182"/>
    <cellStyle name="Percent 5 8 2 3" xfId="21390"/>
    <cellStyle name="Percent 5 8 2 3 2" xfId="50251"/>
    <cellStyle name="Percent 5 8 2 4" xfId="33141"/>
    <cellStyle name="Percent 5 8 3" xfId="7435"/>
    <cellStyle name="Percent 5 8 3 2" xfId="24482"/>
    <cellStyle name="Percent 5 8 3 2 2" xfId="53343"/>
    <cellStyle name="Percent 5 8 3 3" xfId="36296"/>
    <cellStyle name="Percent 5 8 4" xfId="11935"/>
    <cellStyle name="Percent 5 8 4 2" xfId="18710"/>
    <cellStyle name="Percent 5 8 4 2 2" xfId="47571"/>
    <cellStyle name="Percent 5 8 4 3" xfId="40796"/>
    <cellStyle name="Percent 5 8 5" xfId="16030"/>
    <cellStyle name="Percent 5 8 5 2" xfId="44891"/>
    <cellStyle name="Percent 5 8 6" xfId="30255"/>
    <cellStyle name="Percent 5 9" xfId="1599"/>
    <cellStyle name="Percent 5 9 2" xfId="4486"/>
    <cellStyle name="Percent 5 9 2 2" xfId="10527"/>
    <cellStyle name="Percent 5 9 2 2 2" xfId="27574"/>
    <cellStyle name="Percent 5 9 2 2 2 2" xfId="56435"/>
    <cellStyle name="Percent 5 9 2 2 3" xfId="39388"/>
    <cellStyle name="Percent 5 9 2 3" xfId="21596"/>
    <cellStyle name="Percent 5 9 2 3 2" xfId="50457"/>
    <cellStyle name="Percent 5 9 2 4" xfId="33347"/>
    <cellStyle name="Percent 5 9 3" xfId="7641"/>
    <cellStyle name="Percent 5 9 3 2" xfId="24688"/>
    <cellStyle name="Percent 5 9 3 2 2" xfId="53549"/>
    <cellStyle name="Percent 5 9 3 3" xfId="36502"/>
    <cellStyle name="Percent 5 9 4" xfId="13733"/>
    <cellStyle name="Percent 5 9 4 2" xfId="18916"/>
    <cellStyle name="Percent 5 9 4 2 2" xfId="47777"/>
    <cellStyle name="Percent 5 9 4 3" xfId="42594"/>
    <cellStyle name="Percent 5 9 5" xfId="16236"/>
    <cellStyle name="Percent 5 9 5 2" xfId="45097"/>
    <cellStyle name="Percent 5 9 6" xfId="30461"/>
    <cellStyle name="Percent 6" xfId="161"/>
    <cellStyle name="Percent 6 10" xfId="1809"/>
    <cellStyle name="Percent 6 10 2" xfId="4696"/>
    <cellStyle name="Percent 6 10 2 2" xfId="10737"/>
    <cellStyle name="Percent 6 10 2 2 2" xfId="27784"/>
    <cellStyle name="Percent 6 10 2 2 2 2" xfId="56645"/>
    <cellStyle name="Percent 6 10 2 2 3" xfId="39598"/>
    <cellStyle name="Percent 6 10 2 3" xfId="21806"/>
    <cellStyle name="Percent 6 10 2 3 2" xfId="50667"/>
    <cellStyle name="Percent 6 10 2 4" xfId="33557"/>
    <cellStyle name="Percent 6 10 3" xfId="7851"/>
    <cellStyle name="Percent 6 10 3 2" xfId="24898"/>
    <cellStyle name="Percent 6 10 3 2 2" xfId="53759"/>
    <cellStyle name="Percent 6 10 3 3" xfId="36712"/>
    <cellStyle name="Percent 6 10 4" xfId="12226"/>
    <cellStyle name="Percent 6 10 4 2" xfId="19126"/>
    <cellStyle name="Percent 6 10 4 2 2" xfId="47987"/>
    <cellStyle name="Percent 6 10 4 3" xfId="41087"/>
    <cellStyle name="Percent 6 10 5" xfId="16446"/>
    <cellStyle name="Percent 6 10 5 2" xfId="45307"/>
    <cellStyle name="Percent 6 10 6" xfId="30671"/>
    <cellStyle name="Percent 6 11" xfId="2015"/>
    <cellStyle name="Percent 6 11 2" xfId="4902"/>
    <cellStyle name="Percent 6 11 2 2" xfId="10943"/>
    <cellStyle name="Percent 6 11 2 2 2" xfId="27990"/>
    <cellStyle name="Percent 6 11 2 2 2 2" xfId="56851"/>
    <cellStyle name="Percent 6 11 2 2 3" xfId="39804"/>
    <cellStyle name="Percent 6 11 2 3" xfId="22012"/>
    <cellStyle name="Percent 6 11 2 3 2" xfId="50873"/>
    <cellStyle name="Percent 6 11 2 4" xfId="33763"/>
    <cellStyle name="Percent 6 11 3" xfId="8057"/>
    <cellStyle name="Percent 6 11 3 2" xfId="25104"/>
    <cellStyle name="Percent 6 11 3 2 2" xfId="53965"/>
    <cellStyle name="Percent 6 11 3 3" xfId="36918"/>
    <cellStyle name="Percent 6 11 4" xfId="12993"/>
    <cellStyle name="Percent 6 11 4 2" xfId="19332"/>
    <cellStyle name="Percent 6 11 4 2 2" xfId="48193"/>
    <cellStyle name="Percent 6 11 4 3" xfId="41854"/>
    <cellStyle name="Percent 6 11 5" xfId="16652"/>
    <cellStyle name="Percent 6 11 5 2" xfId="45513"/>
    <cellStyle name="Percent 6 11 6" xfId="30877"/>
    <cellStyle name="Percent 6 12" xfId="2427"/>
    <cellStyle name="Percent 6 12 2" xfId="5314"/>
    <cellStyle name="Percent 6 12 2 2" xfId="11355"/>
    <cellStyle name="Percent 6 12 2 2 2" xfId="28402"/>
    <cellStyle name="Percent 6 12 2 2 2 2" xfId="57263"/>
    <cellStyle name="Percent 6 12 2 2 3" xfId="40216"/>
    <cellStyle name="Percent 6 12 2 3" xfId="22424"/>
    <cellStyle name="Percent 6 12 2 3 2" xfId="51285"/>
    <cellStyle name="Percent 6 12 2 4" xfId="34175"/>
    <cellStyle name="Percent 6 12 3" xfId="8469"/>
    <cellStyle name="Percent 6 12 3 2" xfId="25516"/>
    <cellStyle name="Percent 6 12 3 2 2" xfId="54377"/>
    <cellStyle name="Percent 6 12 3 3" xfId="37330"/>
    <cellStyle name="Percent 6 12 4" xfId="12622"/>
    <cellStyle name="Percent 6 12 4 2" xfId="19744"/>
    <cellStyle name="Percent 6 12 4 2 2" xfId="48605"/>
    <cellStyle name="Percent 6 12 4 3" xfId="41483"/>
    <cellStyle name="Percent 6 12 5" xfId="17064"/>
    <cellStyle name="Percent 6 12 5 2" xfId="45925"/>
    <cellStyle name="Percent 6 12 6" xfId="31289"/>
    <cellStyle name="Percent 6 13" xfId="2636"/>
    <cellStyle name="Percent 6 13 2" xfId="5522"/>
    <cellStyle name="Percent 6 13 2 2" xfId="11563"/>
    <cellStyle name="Percent 6 13 2 2 2" xfId="28610"/>
    <cellStyle name="Percent 6 13 2 2 2 2" xfId="57471"/>
    <cellStyle name="Percent 6 13 2 2 3" xfId="40424"/>
    <cellStyle name="Percent 6 13 2 3" xfId="22632"/>
    <cellStyle name="Percent 6 13 2 3 2" xfId="51493"/>
    <cellStyle name="Percent 6 13 2 4" xfId="34383"/>
    <cellStyle name="Percent 6 13 3" xfId="8677"/>
    <cellStyle name="Percent 6 13 3 2" xfId="25724"/>
    <cellStyle name="Percent 6 13 3 2 2" xfId="54585"/>
    <cellStyle name="Percent 6 13 3 3" xfId="37538"/>
    <cellStyle name="Percent 6 13 4" xfId="14406"/>
    <cellStyle name="Percent 6 13 4 2" xfId="19952"/>
    <cellStyle name="Percent 6 13 4 2 2" xfId="48813"/>
    <cellStyle name="Percent 6 13 4 3" xfId="43267"/>
    <cellStyle name="Percent 6 13 5" xfId="17272"/>
    <cellStyle name="Percent 6 13 5 2" xfId="46133"/>
    <cellStyle name="Percent 6 13 6" xfId="31497"/>
    <cellStyle name="Percent 6 14" xfId="3048"/>
    <cellStyle name="Percent 6 14 2" xfId="9089"/>
    <cellStyle name="Percent 6 14 2 2" xfId="26136"/>
    <cellStyle name="Percent 6 14 2 2 2" xfId="54997"/>
    <cellStyle name="Percent 6 14 2 3" xfId="37950"/>
    <cellStyle name="Percent 6 14 3" xfId="12692"/>
    <cellStyle name="Percent 6 14 3 2" xfId="20158"/>
    <cellStyle name="Percent 6 14 3 2 2" xfId="49019"/>
    <cellStyle name="Percent 6 14 3 3" xfId="41553"/>
    <cellStyle name="Percent 6 14 4" xfId="14798"/>
    <cellStyle name="Percent 6 14 4 2" xfId="43659"/>
    <cellStyle name="Percent 6 14 5" xfId="31909"/>
    <cellStyle name="Percent 6 15" xfId="2842"/>
    <cellStyle name="Percent 6 15 2" xfId="8883"/>
    <cellStyle name="Percent 6 15 2 2" xfId="25930"/>
    <cellStyle name="Percent 6 15 2 2 2" xfId="54791"/>
    <cellStyle name="Percent 6 15 2 3" xfId="37744"/>
    <cellStyle name="Percent 6 15 3" xfId="17478"/>
    <cellStyle name="Percent 6 15 3 2" xfId="46339"/>
    <cellStyle name="Percent 6 15 4" xfId="31703"/>
    <cellStyle name="Percent 6 16" xfId="5728"/>
    <cellStyle name="Percent 6 16 2" xfId="11769"/>
    <cellStyle name="Percent 6 16 2 2" xfId="28816"/>
    <cellStyle name="Percent 6 16 2 2 2" xfId="57677"/>
    <cellStyle name="Percent 6 16 2 3" xfId="40630"/>
    <cellStyle name="Percent 6 16 3" xfId="22838"/>
    <cellStyle name="Percent 6 16 3 2" xfId="51699"/>
    <cellStyle name="Percent 6 16 4" xfId="34589"/>
    <cellStyle name="Percent 6 17" xfId="5945"/>
    <cellStyle name="Percent 6 17 2" xfId="23044"/>
    <cellStyle name="Percent 6 17 2 2" xfId="51905"/>
    <cellStyle name="Percent 6 17 3" xfId="34806"/>
    <cellStyle name="Percent 6 18" xfId="6203"/>
    <cellStyle name="Percent 6 18 2" xfId="23250"/>
    <cellStyle name="Percent 6 18 2 2" xfId="52111"/>
    <cellStyle name="Percent 6 18 3" xfId="35064"/>
    <cellStyle name="Percent 6 19" xfId="14592"/>
    <cellStyle name="Percent 6 19 2" xfId="43453"/>
    <cellStyle name="Percent 6 2" xfId="367"/>
    <cellStyle name="Percent 6 2 10" xfId="2530"/>
    <cellStyle name="Percent 6 2 10 2" xfId="5417"/>
    <cellStyle name="Percent 6 2 10 2 2" xfId="11458"/>
    <cellStyle name="Percent 6 2 10 2 2 2" xfId="28505"/>
    <cellStyle name="Percent 6 2 10 2 2 2 2" xfId="57366"/>
    <cellStyle name="Percent 6 2 10 2 2 3" xfId="40319"/>
    <cellStyle name="Percent 6 2 10 2 3" xfId="22527"/>
    <cellStyle name="Percent 6 2 10 2 3 2" xfId="51388"/>
    <cellStyle name="Percent 6 2 10 2 4" xfId="34278"/>
    <cellStyle name="Percent 6 2 10 3" xfId="8572"/>
    <cellStyle name="Percent 6 2 10 3 2" xfId="25619"/>
    <cellStyle name="Percent 6 2 10 3 2 2" xfId="54480"/>
    <cellStyle name="Percent 6 2 10 3 3" xfId="37433"/>
    <cellStyle name="Percent 6 2 10 4" xfId="13406"/>
    <cellStyle name="Percent 6 2 10 4 2" xfId="19847"/>
    <cellStyle name="Percent 6 2 10 4 2 2" xfId="48708"/>
    <cellStyle name="Percent 6 2 10 4 3" xfId="42267"/>
    <cellStyle name="Percent 6 2 10 5" xfId="17167"/>
    <cellStyle name="Percent 6 2 10 5 2" xfId="46028"/>
    <cellStyle name="Percent 6 2 10 6" xfId="31392"/>
    <cellStyle name="Percent 6 2 11" xfId="2739"/>
    <cellStyle name="Percent 6 2 11 2" xfId="5625"/>
    <cellStyle name="Percent 6 2 11 2 2" xfId="11666"/>
    <cellStyle name="Percent 6 2 11 2 2 2" xfId="28713"/>
    <cellStyle name="Percent 6 2 11 2 2 2 2" xfId="57574"/>
    <cellStyle name="Percent 6 2 11 2 2 3" xfId="40527"/>
    <cellStyle name="Percent 6 2 11 2 3" xfId="22735"/>
    <cellStyle name="Percent 6 2 11 2 3 2" xfId="51596"/>
    <cellStyle name="Percent 6 2 11 2 4" xfId="34486"/>
    <cellStyle name="Percent 6 2 11 3" xfId="8780"/>
    <cellStyle name="Percent 6 2 11 3 2" xfId="25827"/>
    <cellStyle name="Percent 6 2 11 3 2 2" xfId="54688"/>
    <cellStyle name="Percent 6 2 11 3 3" xfId="37641"/>
    <cellStyle name="Percent 6 2 11 4" xfId="13328"/>
    <cellStyle name="Percent 6 2 11 4 2" xfId="20055"/>
    <cellStyle name="Percent 6 2 11 4 2 2" xfId="48916"/>
    <cellStyle name="Percent 6 2 11 4 3" xfId="42189"/>
    <cellStyle name="Percent 6 2 11 5" xfId="17375"/>
    <cellStyle name="Percent 6 2 11 5 2" xfId="46236"/>
    <cellStyle name="Percent 6 2 11 6" xfId="31600"/>
    <cellStyle name="Percent 6 2 12" xfId="3254"/>
    <cellStyle name="Percent 6 2 12 2" xfId="9295"/>
    <cellStyle name="Percent 6 2 12 2 2" xfId="26342"/>
    <cellStyle name="Percent 6 2 12 2 2 2" xfId="55203"/>
    <cellStyle name="Percent 6 2 12 2 3" xfId="38156"/>
    <cellStyle name="Percent 6 2 12 3" xfId="12242"/>
    <cellStyle name="Percent 6 2 12 3 2" xfId="20364"/>
    <cellStyle name="Percent 6 2 12 3 2 2" xfId="49225"/>
    <cellStyle name="Percent 6 2 12 3 3" xfId="41103"/>
    <cellStyle name="Percent 6 2 12 4" xfId="15004"/>
    <cellStyle name="Percent 6 2 12 4 2" xfId="43865"/>
    <cellStyle name="Percent 6 2 12 5" xfId="32115"/>
    <cellStyle name="Percent 6 2 13" xfId="2945"/>
    <cellStyle name="Percent 6 2 13 2" xfId="8986"/>
    <cellStyle name="Percent 6 2 13 2 2" xfId="26033"/>
    <cellStyle name="Percent 6 2 13 2 2 2" xfId="54894"/>
    <cellStyle name="Percent 6 2 13 2 3" xfId="37847"/>
    <cellStyle name="Percent 6 2 13 3" xfId="17581"/>
    <cellStyle name="Percent 6 2 13 3 2" xfId="46442"/>
    <cellStyle name="Percent 6 2 13 4" xfId="31806"/>
    <cellStyle name="Percent 6 2 14" xfId="5831"/>
    <cellStyle name="Percent 6 2 14 2" xfId="11872"/>
    <cellStyle name="Percent 6 2 14 2 2" xfId="28919"/>
    <cellStyle name="Percent 6 2 14 2 2 2" xfId="57780"/>
    <cellStyle name="Percent 6 2 14 2 3" xfId="40733"/>
    <cellStyle name="Percent 6 2 14 3" xfId="22941"/>
    <cellStyle name="Percent 6 2 14 3 2" xfId="51802"/>
    <cellStyle name="Percent 6 2 14 4" xfId="34692"/>
    <cellStyle name="Percent 6 2 15" xfId="6048"/>
    <cellStyle name="Percent 6 2 15 2" xfId="23147"/>
    <cellStyle name="Percent 6 2 15 2 2" xfId="52008"/>
    <cellStyle name="Percent 6 2 15 3" xfId="34909"/>
    <cellStyle name="Percent 6 2 16" xfId="6409"/>
    <cellStyle name="Percent 6 2 16 2" xfId="23456"/>
    <cellStyle name="Percent 6 2 16 2 2" xfId="52317"/>
    <cellStyle name="Percent 6 2 16 3" xfId="35270"/>
    <cellStyle name="Percent 6 2 17" xfId="14695"/>
    <cellStyle name="Percent 6 2 17 2" xfId="43556"/>
    <cellStyle name="Percent 6 2 18" xfId="29229"/>
    <cellStyle name="Percent 6 2 2" xfId="573"/>
    <cellStyle name="Percent 6 2 2 2" xfId="2324"/>
    <cellStyle name="Percent 6 2 2 2 2" xfId="5211"/>
    <cellStyle name="Percent 6 2 2 2 2 2" xfId="11252"/>
    <cellStyle name="Percent 6 2 2 2 2 2 2" xfId="28299"/>
    <cellStyle name="Percent 6 2 2 2 2 2 2 2" xfId="57160"/>
    <cellStyle name="Percent 6 2 2 2 2 2 3" xfId="40113"/>
    <cellStyle name="Percent 6 2 2 2 2 3" xfId="22321"/>
    <cellStyle name="Percent 6 2 2 2 2 3 2" xfId="51182"/>
    <cellStyle name="Percent 6 2 2 2 2 4" xfId="34072"/>
    <cellStyle name="Percent 6 2 2 2 3" xfId="8366"/>
    <cellStyle name="Percent 6 2 2 2 3 2" xfId="25413"/>
    <cellStyle name="Percent 6 2 2 2 3 2 2" xfId="54274"/>
    <cellStyle name="Percent 6 2 2 2 3 3" xfId="37227"/>
    <cellStyle name="Percent 6 2 2 2 4" xfId="13534"/>
    <cellStyle name="Percent 6 2 2 2 4 2" xfId="19641"/>
    <cellStyle name="Percent 6 2 2 2 4 2 2" xfId="48502"/>
    <cellStyle name="Percent 6 2 2 2 4 3" xfId="42395"/>
    <cellStyle name="Percent 6 2 2 2 5" xfId="16961"/>
    <cellStyle name="Percent 6 2 2 2 5 2" xfId="45822"/>
    <cellStyle name="Percent 6 2 2 2 6" xfId="31186"/>
    <cellStyle name="Percent 6 2 2 3" xfId="3460"/>
    <cellStyle name="Percent 6 2 2 3 2" xfId="9501"/>
    <cellStyle name="Percent 6 2 2 3 2 2" xfId="26548"/>
    <cellStyle name="Percent 6 2 2 3 2 2 2" xfId="55409"/>
    <cellStyle name="Percent 6 2 2 3 2 3" xfId="38362"/>
    <cellStyle name="Percent 6 2 2 3 3" xfId="20570"/>
    <cellStyle name="Percent 6 2 2 3 3 2" xfId="49431"/>
    <cellStyle name="Percent 6 2 2 3 4" xfId="32321"/>
    <cellStyle name="Percent 6 2 2 4" xfId="6615"/>
    <cellStyle name="Percent 6 2 2 4 2" xfId="23662"/>
    <cellStyle name="Percent 6 2 2 4 2 2" xfId="52523"/>
    <cellStyle name="Percent 6 2 2 4 3" xfId="35476"/>
    <cellStyle name="Percent 6 2 2 5" xfId="12787"/>
    <cellStyle name="Percent 6 2 2 5 2" xfId="17890"/>
    <cellStyle name="Percent 6 2 2 5 2 2" xfId="46751"/>
    <cellStyle name="Percent 6 2 2 5 3" xfId="41648"/>
    <cellStyle name="Percent 6 2 2 6" xfId="15210"/>
    <cellStyle name="Percent 6 2 2 6 2" xfId="44071"/>
    <cellStyle name="Percent 6 2 2 7" xfId="29435"/>
    <cellStyle name="Percent 6 2 3" xfId="882"/>
    <cellStyle name="Percent 6 2 3 2" xfId="3769"/>
    <cellStyle name="Percent 6 2 3 2 2" xfId="9810"/>
    <cellStyle name="Percent 6 2 3 2 2 2" xfId="26857"/>
    <cellStyle name="Percent 6 2 3 2 2 2 2" xfId="55718"/>
    <cellStyle name="Percent 6 2 3 2 2 3" xfId="38671"/>
    <cellStyle name="Percent 6 2 3 2 3" xfId="20879"/>
    <cellStyle name="Percent 6 2 3 2 3 2" xfId="49740"/>
    <cellStyle name="Percent 6 2 3 2 4" xfId="32630"/>
    <cellStyle name="Percent 6 2 3 3" xfId="6924"/>
    <cellStyle name="Percent 6 2 3 3 2" xfId="23971"/>
    <cellStyle name="Percent 6 2 3 3 2 2" xfId="52832"/>
    <cellStyle name="Percent 6 2 3 3 3" xfId="35785"/>
    <cellStyle name="Percent 6 2 3 4" xfId="12999"/>
    <cellStyle name="Percent 6 2 3 4 2" xfId="18199"/>
    <cellStyle name="Percent 6 2 3 4 2 2" xfId="47060"/>
    <cellStyle name="Percent 6 2 3 4 3" xfId="41860"/>
    <cellStyle name="Percent 6 2 3 5" xfId="15519"/>
    <cellStyle name="Percent 6 2 3 5 2" xfId="44380"/>
    <cellStyle name="Percent 6 2 3 6" xfId="29744"/>
    <cellStyle name="Percent 6 2 4" xfId="1088"/>
    <cellStyle name="Percent 6 2 4 2" xfId="3975"/>
    <cellStyle name="Percent 6 2 4 2 2" xfId="10016"/>
    <cellStyle name="Percent 6 2 4 2 2 2" xfId="27063"/>
    <cellStyle name="Percent 6 2 4 2 2 2 2" xfId="55924"/>
    <cellStyle name="Percent 6 2 4 2 2 3" xfId="38877"/>
    <cellStyle name="Percent 6 2 4 2 3" xfId="21085"/>
    <cellStyle name="Percent 6 2 4 2 3 2" xfId="49946"/>
    <cellStyle name="Percent 6 2 4 2 4" xfId="32836"/>
    <cellStyle name="Percent 6 2 4 3" xfId="7130"/>
    <cellStyle name="Percent 6 2 4 3 2" xfId="24177"/>
    <cellStyle name="Percent 6 2 4 3 2 2" xfId="53038"/>
    <cellStyle name="Percent 6 2 4 3 3" xfId="35991"/>
    <cellStyle name="Percent 6 2 4 4" xfId="12394"/>
    <cellStyle name="Percent 6 2 4 4 2" xfId="18405"/>
    <cellStyle name="Percent 6 2 4 4 2 2" xfId="47266"/>
    <cellStyle name="Percent 6 2 4 4 3" xfId="41255"/>
    <cellStyle name="Percent 6 2 4 5" xfId="15725"/>
    <cellStyle name="Percent 6 2 4 5 2" xfId="44586"/>
    <cellStyle name="Percent 6 2 4 6" xfId="29950"/>
    <cellStyle name="Percent 6 2 5" xfId="1294"/>
    <cellStyle name="Percent 6 2 5 2" xfId="4181"/>
    <cellStyle name="Percent 6 2 5 2 2" xfId="10222"/>
    <cellStyle name="Percent 6 2 5 2 2 2" xfId="27269"/>
    <cellStyle name="Percent 6 2 5 2 2 2 2" xfId="56130"/>
    <cellStyle name="Percent 6 2 5 2 2 3" xfId="39083"/>
    <cellStyle name="Percent 6 2 5 2 3" xfId="21291"/>
    <cellStyle name="Percent 6 2 5 2 3 2" xfId="50152"/>
    <cellStyle name="Percent 6 2 5 2 4" xfId="33042"/>
    <cellStyle name="Percent 6 2 5 3" xfId="7336"/>
    <cellStyle name="Percent 6 2 5 3 2" xfId="24383"/>
    <cellStyle name="Percent 6 2 5 3 2 2" xfId="53244"/>
    <cellStyle name="Percent 6 2 5 3 3" xfId="36197"/>
    <cellStyle name="Percent 6 2 5 4" xfId="12206"/>
    <cellStyle name="Percent 6 2 5 4 2" xfId="18611"/>
    <cellStyle name="Percent 6 2 5 4 2 2" xfId="47472"/>
    <cellStyle name="Percent 6 2 5 4 3" xfId="41067"/>
    <cellStyle name="Percent 6 2 5 5" xfId="15931"/>
    <cellStyle name="Percent 6 2 5 5 2" xfId="44792"/>
    <cellStyle name="Percent 6 2 5 6" xfId="30156"/>
    <cellStyle name="Percent 6 2 6" xfId="1500"/>
    <cellStyle name="Percent 6 2 6 2" xfId="4387"/>
    <cellStyle name="Percent 6 2 6 2 2" xfId="10428"/>
    <cellStyle name="Percent 6 2 6 2 2 2" xfId="27475"/>
    <cellStyle name="Percent 6 2 6 2 2 2 2" xfId="56336"/>
    <cellStyle name="Percent 6 2 6 2 2 3" xfId="39289"/>
    <cellStyle name="Percent 6 2 6 2 3" xfId="21497"/>
    <cellStyle name="Percent 6 2 6 2 3 2" xfId="50358"/>
    <cellStyle name="Percent 6 2 6 2 4" xfId="33248"/>
    <cellStyle name="Percent 6 2 6 3" xfId="7542"/>
    <cellStyle name="Percent 6 2 6 3 2" xfId="24589"/>
    <cellStyle name="Percent 6 2 6 3 2 2" xfId="53450"/>
    <cellStyle name="Percent 6 2 6 3 3" xfId="36403"/>
    <cellStyle name="Percent 6 2 6 4" xfId="13380"/>
    <cellStyle name="Percent 6 2 6 4 2" xfId="18817"/>
    <cellStyle name="Percent 6 2 6 4 2 2" xfId="47678"/>
    <cellStyle name="Percent 6 2 6 4 3" xfId="42241"/>
    <cellStyle name="Percent 6 2 6 5" xfId="16137"/>
    <cellStyle name="Percent 6 2 6 5 2" xfId="44998"/>
    <cellStyle name="Percent 6 2 6 6" xfId="30362"/>
    <cellStyle name="Percent 6 2 7" xfId="1706"/>
    <cellStyle name="Percent 6 2 7 2" xfId="4593"/>
    <cellStyle name="Percent 6 2 7 2 2" xfId="10634"/>
    <cellStyle name="Percent 6 2 7 2 2 2" xfId="27681"/>
    <cellStyle name="Percent 6 2 7 2 2 2 2" xfId="56542"/>
    <cellStyle name="Percent 6 2 7 2 2 3" xfId="39495"/>
    <cellStyle name="Percent 6 2 7 2 3" xfId="21703"/>
    <cellStyle name="Percent 6 2 7 2 3 2" xfId="50564"/>
    <cellStyle name="Percent 6 2 7 2 4" xfId="33454"/>
    <cellStyle name="Percent 6 2 7 3" xfId="7748"/>
    <cellStyle name="Percent 6 2 7 3 2" xfId="24795"/>
    <cellStyle name="Percent 6 2 7 3 2 2" xfId="53656"/>
    <cellStyle name="Percent 6 2 7 3 3" xfId="36609"/>
    <cellStyle name="Percent 6 2 7 4" xfId="12841"/>
    <cellStyle name="Percent 6 2 7 4 2" xfId="19023"/>
    <cellStyle name="Percent 6 2 7 4 2 2" xfId="47884"/>
    <cellStyle name="Percent 6 2 7 4 3" xfId="41702"/>
    <cellStyle name="Percent 6 2 7 5" xfId="16343"/>
    <cellStyle name="Percent 6 2 7 5 2" xfId="45204"/>
    <cellStyle name="Percent 6 2 7 6" xfId="30568"/>
    <cellStyle name="Percent 6 2 8" xfId="1912"/>
    <cellStyle name="Percent 6 2 8 2" xfId="4799"/>
    <cellStyle name="Percent 6 2 8 2 2" xfId="10840"/>
    <cellStyle name="Percent 6 2 8 2 2 2" xfId="27887"/>
    <cellStyle name="Percent 6 2 8 2 2 2 2" xfId="56748"/>
    <cellStyle name="Percent 6 2 8 2 2 3" xfId="39701"/>
    <cellStyle name="Percent 6 2 8 2 3" xfId="21909"/>
    <cellStyle name="Percent 6 2 8 2 3 2" xfId="50770"/>
    <cellStyle name="Percent 6 2 8 2 4" xfId="33660"/>
    <cellStyle name="Percent 6 2 8 3" xfId="7954"/>
    <cellStyle name="Percent 6 2 8 3 2" xfId="25001"/>
    <cellStyle name="Percent 6 2 8 3 2 2" xfId="53862"/>
    <cellStyle name="Percent 6 2 8 3 3" xfId="36815"/>
    <cellStyle name="Percent 6 2 8 4" xfId="13155"/>
    <cellStyle name="Percent 6 2 8 4 2" xfId="19229"/>
    <cellStyle name="Percent 6 2 8 4 2 2" xfId="48090"/>
    <cellStyle name="Percent 6 2 8 4 3" xfId="42016"/>
    <cellStyle name="Percent 6 2 8 5" xfId="16549"/>
    <cellStyle name="Percent 6 2 8 5 2" xfId="45410"/>
    <cellStyle name="Percent 6 2 8 6" xfId="30774"/>
    <cellStyle name="Percent 6 2 9" xfId="2118"/>
    <cellStyle name="Percent 6 2 9 2" xfId="5005"/>
    <cellStyle name="Percent 6 2 9 2 2" xfId="11046"/>
    <cellStyle name="Percent 6 2 9 2 2 2" xfId="28093"/>
    <cellStyle name="Percent 6 2 9 2 2 2 2" xfId="56954"/>
    <cellStyle name="Percent 6 2 9 2 2 3" xfId="39907"/>
    <cellStyle name="Percent 6 2 9 2 3" xfId="22115"/>
    <cellStyle name="Percent 6 2 9 2 3 2" xfId="50976"/>
    <cellStyle name="Percent 6 2 9 2 4" xfId="33866"/>
    <cellStyle name="Percent 6 2 9 3" xfId="8160"/>
    <cellStyle name="Percent 6 2 9 3 2" xfId="25207"/>
    <cellStyle name="Percent 6 2 9 3 2 2" xfId="54068"/>
    <cellStyle name="Percent 6 2 9 3 3" xfId="37021"/>
    <cellStyle name="Percent 6 2 9 4" xfId="12109"/>
    <cellStyle name="Percent 6 2 9 4 2" xfId="19435"/>
    <cellStyle name="Percent 6 2 9 4 2 2" xfId="48296"/>
    <cellStyle name="Percent 6 2 9 4 3" xfId="40970"/>
    <cellStyle name="Percent 6 2 9 5" xfId="16755"/>
    <cellStyle name="Percent 6 2 9 5 2" xfId="45616"/>
    <cellStyle name="Percent 6 2 9 6" xfId="30980"/>
    <cellStyle name="Percent 6 20" xfId="29023"/>
    <cellStyle name="Percent 6 3" xfId="264"/>
    <cellStyle name="Percent 6 3 2" xfId="676"/>
    <cellStyle name="Percent 6 3 2 2" xfId="3563"/>
    <cellStyle name="Percent 6 3 2 2 2" xfId="9604"/>
    <cellStyle name="Percent 6 3 2 2 2 2" xfId="26651"/>
    <cellStyle name="Percent 6 3 2 2 2 2 2" xfId="55512"/>
    <cellStyle name="Percent 6 3 2 2 2 3" xfId="38465"/>
    <cellStyle name="Percent 6 3 2 2 3" xfId="20673"/>
    <cellStyle name="Percent 6 3 2 2 3 2" xfId="49534"/>
    <cellStyle name="Percent 6 3 2 2 4" xfId="32424"/>
    <cellStyle name="Percent 6 3 2 3" xfId="6718"/>
    <cellStyle name="Percent 6 3 2 3 2" xfId="23765"/>
    <cellStyle name="Percent 6 3 2 3 2 2" xfId="52626"/>
    <cellStyle name="Percent 6 3 2 3 3" xfId="35579"/>
    <cellStyle name="Percent 6 3 2 4" xfId="12730"/>
    <cellStyle name="Percent 6 3 2 4 2" xfId="17993"/>
    <cellStyle name="Percent 6 3 2 4 2 2" xfId="46854"/>
    <cellStyle name="Percent 6 3 2 4 3" xfId="41591"/>
    <cellStyle name="Percent 6 3 2 5" xfId="15313"/>
    <cellStyle name="Percent 6 3 2 5 2" xfId="44174"/>
    <cellStyle name="Percent 6 3 2 6" xfId="29538"/>
    <cellStyle name="Percent 6 3 3" xfId="2221"/>
    <cellStyle name="Percent 6 3 3 2" xfId="5108"/>
    <cellStyle name="Percent 6 3 3 2 2" xfId="11149"/>
    <cellStyle name="Percent 6 3 3 2 2 2" xfId="28196"/>
    <cellStyle name="Percent 6 3 3 2 2 2 2" xfId="57057"/>
    <cellStyle name="Percent 6 3 3 2 2 3" xfId="40010"/>
    <cellStyle name="Percent 6 3 3 2 3" xfId="22218"/>
    <cellStyle name="Percent 6 3 3 2 3 2" xfId="51079"/>
    <cellStyle name="Percent 6 3 3 2 4" xfId="33969"/>
    <cellStyle name="Percent 6 3 3 3" xfId="8263"/>
    <cellStyle name="Percent 6 3 3 3 2" xfId="25310"/>
    <cellStyle name="Percent 6 3 3 3 2 2" xfId="54171"/>
    <cellStyle name="Percent 6 3 3 3 3" xfId="37124"/>
    <cellStyle name="Percent 6 3 3 4" xfId="11924"/>
    <cellStyle name="Percent 6 3 3 4 2" xfId="19538"/>
    <cellStyle name="Percent 6 3 3 4 2 2" xfId="48399"/>
    <cellStyle name="Percent 6 3 3 4 3" xfId="40785"/>
    <cellStyle name="Percent 6 3 3 5" xfId="16858"/>
    <cellStyle name="Percent 6 3 3 5 2" xfId="45719"/>
    <cellStyle name="Percent 6 3 3 6" xfId="31083"/>
    <cellStyle name="Percent 6 3 4" xfId="3151"/>
    <cellStyle name="Percent 6 3 4 2" xfId="9192"/>
    <cellStyle name="Percent 6 3 4 2 2" xfId="26239"/>
    <cellStyle name="Percent 6 3 4 2 2 2" xfId="55100"/>
    <cellStyle name="Percent 6 3 4 2 3" xfId="38053"/>
    <cellStyle name="Percent 6 3 4 3" xfId="20261"/>
    <cellStyle name="Percent 6 3 4 3 2" xfId="49122"/>
    <cellStyle name="Percent 6 3 4 4" xfId="32012"/>
    <cellStyle name="Percent 6 3 5" xfId="6306"/>
    <cellStyle name="Percent 6 3 5 2" xfId="23353"/>
    <cellStyle name="Percent 6 3 5 2 2" xfId="52214"/>
    <cellStyle name="Percent 6 3 5 3" xfId="35167"/>
    <cellStyle name="Percent 6 3 6" xfId="12433"/>
    <cellStyle name="Percent 6 3 6 2" xfId="17684"/>
    <cellStyle name="Percent 6 3 6 2 2" xfId="46545"/>
    <cellStyle name="Percent 6 3 6 3" xfId="41294"/>
    <cellStyle name="Percent 6 3 7" xfId="14901"/>
    <cellStyle name="Percent 6 3 7 2" xfId="43762"/>
    <cellStyle name="Percent 6 3 8" xfId="29126"/>
    <cellStyle name="Percent 6 4" xfId="470"/>
    <cellStyle name="Percent 6 4 2" xfId="3357"/>
    <cellStyle name="Percent 6 4 2 2" xfId="9398"/>
    <cellStyle name="Percent 6 4 2 2 2" xfId="26445"/>
    <cellStyle name="Percent 6 4 2 2 2 2" xfId="55306"/>
    <cellStyle name="Percent 6 4 2 2 3" xfId="38259"/>
    <cellStyle name="Percent 6 4 2 3" xfId="20467"/>
    <cellStyle name="Percent 6 4 2 3 2" xfId="49328"/>
    <cellStyle name="Percent 6 4 2 4" xfId="32218"/>
    <cellStyle name="Percent 6 4 3" xfId="6512"/>
    <cellStyle name="Percent 6 4 3 2" xfId="23559"/>
    <cellStyle name="Percent 6 4 3 2 2" xfId="52420"/>
    <cellStyle name="Percent 6 4 3 3" xfId="35373"/>
    <cellStyle name="Percent 6 4 4" xfId="13849"/>
    <cellStyle name="Percent 6 4 4 2" xfId="17787"/>
    <cellStyle name="Percent 6 4 4 2 2" xfId="46648"/>
    <cellStyle name="Percent 6 4 4 3" xfId="42710"/>
    <cellStyle name="Percent 6 4 5" xfId="15107"/>
    <cellStyle name="Percent 6 4 5 2" xfId="43968"/>
    <cellStyle name="Percent 6 4 6" xfId="29332"/>
    <cellStyle name="Percent 6 5" xfId="779"/>
    <cellStyle name="Percent 6 5 2" xfId="3666"/>
    <cellStyle name="Percent 6 5 2 2" xfId="9707"/>
    <cellStyle name="Percent 6 5 2 2 2" xfId="26754"/>
    <cellStyle name="Percent 6 5 2 2 2 2" xfId="55615"/>
    <cellStyle name="Percent 6 5 2 2 3" xfId="38568"/>
    <cellStyle name="Percent 6 5 2 3" xfId="20776"/>
    <cellStyle name="Percent 6 5 2 3 2" xfId="49637"/>
    <cellStyle name="Percent 6 5 2 4" xfId="32527"/>
    <cellStyle name="Percent 6 5 3" xfId="6821"/>
    <cellStyle name="Percent 6 5 3 2" xfId="23868"/>
    <cellStyle name="Percent 6 5 3 2 2" xfId="52729"/>
    <cellStyle name="Percent 6 5 3 3" xfId="35682"/>
    <cellStyle name="Percent 6 5 4" xfId="12895"/>
    <cellStyle name="Percent 6 5 4 2" xfId="18096"/>
    <cellStyle name="Percent 6 5 4 2 2" xfId="46957"/>
    <cellStyle name="Percent 6 5 4 3" xfId="41756"/>
    <cellStyle name="Percent 6 5 5" xfId="15416"/>
    <cellStyle name="Percent 6 5 5 2" xfId="44277"/>
    <cellStyle name="Percent 6 5 6" xfId="29641"/>
    <cellStyle name="Percent 6 6" xfId="985"/>
    <cellStyle name="Percent 6 6 2" xfId="3872"/>
    <cellStyle name="Percent 6 6 2 2" xfId="9913"/>
    <cellStyle name="Percent 6 6 2 2 2" xfId="26960"/>
    <cellStyle name="Percent 6 6 2 2 2 2" xfId="55821"/>
    <cellStyle name="Percent 6 6 2 2 3" xfId="38774"/>
    <cellStyle name="Percent 6 6 2 3" xfId="20982"/>
    <cellStyle name="Percent 6 6 2 3 2" xfId="49843"/>
    <cellStyle name="Percent 6 6 2 4" xfId="32733"/>
    <cellStyle name="Percent 6 6 3" xfId="7027"/>
    <cellStyle name="Percent 6 6 3 2" xfId="24074"/>
    <cellStyle name="Percent 6 6 3 2 2" xfId="52935"/>
    <cellStyle name="Percent 6 6 3 3" xfId="35888"/>
    <cellStyle name="Percent 6 6 4" xfId="12108"/>
    <cellStyle name="Percent 6 6 4 2" xfId="18302"/>
    <cellStyle name="Percent 6 6 4 2 2" xfId="47163"/>
    <cellStyle name="Percent 6 6 4 3" xfId="40969"/>
    <cellStyle name="Percent 6 6 5" xfId="15622"/>
    <cellStyle name="Percent 6 6 5 2" xfId="44483"/>
    <cellStyle name="Percent 6 6 6" xfId="29847"/>
    <cellStyle name="Percent 6 7" xfId="1191"/>
    <cellStyle name="Percent 6 7 2" xfId="4078"/>
    <cellStyle name="Percent 6 7 2 2" xfId="10119"/>
    <cellStyle name="Percent 6 7 2 2 2" xfId="27166"/>
    <cellStyle name="Percent 6 7 2 2 2 2" xfId="56027"/>
    <cellStyle name="Percent 6 7 2 2 3" xfId="38980"/>
    <cellStyle name="Percent 6 7 2 3" xfId="21188"/>
    <cellStyle name="Percent 6 7 2 3 2" xfId="50049"/>
    <cellStyle name="Percent 6 7 2 4" xfId="32939"/>
    <cellStyle name="Percent 6 7 3" xfId="7233"/>
    <cellStyle name="Percent 6 7 3 2" xfId="24280"/>
    <cellStyle name="Percent 6 7 3 2 2" xfId="53141"/>
    <cellStyle name="Percent 6 7 3 3" xfId="36094"/>
    <cellStyle name="Percent 6 7 4" xfId="14212"/>
    <cellStyle name="Percent 6 7 4 2" xfId="18508"/>
    <cellStyle name="Percent 6 7 4 2 2" xfId="47369"/>
    <cellStyle name="Percent 6 7 4 3" xfId="43073"/>
    <cellStyle name="Percent 6 7 5" xfId="15828"/>
    <cellStyle name="Percent 6 7 5 2" xfId="44689"/>
    <cellStyle name="Percent 6 7 6" xfId="30053"/>
    <cellStyle name="Percent 6 8" xfId="1397"/>
    <cellStyle name="Percent 6 8 2" xfId="4284"/>
    <cellStyle name="Percent 6 8 2 2" xfId="10325"/>
    <cellStyle name="Percent 6 8 2 2 2" xfId="27372"/>
    <cellStyle name="Percent 6 8 2 2 2 2" xfId="56233"/>
    <cellStyle name="Percent 6 8 2 2 3" xfId="39186"/>
    <cellStyle name="Percent 6 8 2 3" xfId="21394"/>
    <cellStyle name="Percent 6 8 2 3 2" xfId="50255"/>
    <cellStyle name="Percent 6 8 2 4" xfId="33145"/>
    <cellStyle name="Percent 6 8 3" xfId="7439"/>
    <cellStyle name="Percent 6 8 3 2" xfId="24486"/>
    <cellStyle name="Percent 6 8 3 2 2" xfId="53347"/>
    <cellStyle name="Percent 6 8 3 3" xfId="36300"/>
    <cellStyle name="Percent 6 8 4" xfId="13654"/>
    <cellStyle name="Percent 6 8 4 2" xfId="18714"/>
    <cellStyle name="Percent 6 8 4 2 2" xfId="47575"/>
    <cellStyle name="Percent 6 8 4 3" xfId="42515"/>
    <cellStyle name="Percent 6 8 5" xfId="16034"/>
    <cellStyle name="Percent 6 8 5 2" xfId="44895"/>
    <cellStyle name="Percent 6 8 6" xfId="30259"/>
    <cellStyle name="Percent 6 9" xfId="1603"/>
    <cellStyle name="Percent 6 9 2" xfId="4490"/>
    <cellStyle name="Percent 6 9 2 2" xfId="10531"/>
    <cellStyle name="Percent 6 9 2 2 2" xfId="27578"/>
    <cellStyle name="Percent 6 9 2 2 2 2" xfId="56439"/>
    <cellStyle name="Percent 6 9 2 2 3" xfId="39392"/>
    <cellStyle name="Percent 6 9 2 3" xfId="21600"/>
    <cellStyle name="Percent 6 9 2 3 2" xfId="50461"/>
    <cellStyle name="Percent 6 9 2 4" xfId="33351"/>
    <cellStyle name="Percent 6 9 3" xfId="7645"/>
    <cellStyle name="Percent 6 9 3 2" xfId="24692"/>
    <cellStyle name="Percent 6 9 3 2 2" xfId="53553"/>
    <cellStyle name="Percent 6 9 3 3" xfId="36506"/>
    <cellStyle name="Percent 6 9 4" xfId="12563"/>
    <cellStyle name="Percent 6 9 4 2" xfId="18920"/>
    <cellStyle name="Percent 6 9 4 2 2" xfId="47781"/>
    <cellStyle name="Percent 6 9 4 3" xfId="41424"/>
    <cellStyle name="Percent 6 9 5" xfId="16240"/>
    <cellStyle name="Percent 6 9 5 2" xfId="45101"/>
    <cellStyle name="Percent 6 9 6" xfId="30465"/>
    <cellStyle name="Title" xfId="49" builtinId="15" customBuiltin="1"/>
    <cellStyle name="Total" xfId="64" builtinId="25" customBuiltin="1"/>
    <cellStyle name="Total 2" xfId="48"/>
    <cellStyle name="Warning Text" xfId="6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71"/>
  <sheetViews>
    <sheetView tabSelected="1" zoomScale="90" zoomScaleNormal="90" workbookViewId="0">
      <pane xSplit="1" ySplit="4" topLeftCell="B5" activePane="bottomRight" state="frozen"/>
      <selection activeCell="F24" sqref="F24"/>
      <selection pane="topRight" activeCell="F24" sqref="F24"/>
      <selection pane="bottomLeft" activeCell="F24" sqref="F24"/>
      <selection pane="bottomRight" sqref="A1:A1048576"/>
    </sheetView>
  </sheetViews>
  <sheetFormatPr defaultRowHeight="12.75" x14ac:dyDescent="0.2"/>
  <cols>
    <col min="1" max="1" width="58.5703125" customWidth="1"/>
    <col min="2" max="2" width="14.42578125" customWidth="1"/>
    <col min="3" max="3" width="13" customWidth="1"/>
    <col min="4" max="4" width="14.42578125" customWidth="1"/>
    <col min="5" max="5" width="13" customWidth="1"/>
    <col min="6" max="6" width="14.140625" customWidth="1"/>
    <col min="7" max="7" width="13.7109375" customWidth="1"/>
    <col min="8" max="9" width="16.85546875" hidden="1" customWidth="1"/>
    <col min="10" max="11" width="14.42578125" customWidth="1"/>
    <col min="12" max="12" width="12.85546875" customWidth="1"/>
    <col min="13" max="13" width="14.7109375" customWidth="1"/>
    <col min="14" max="14" width="12.5703125" hidden="1" customWidth="1"/>
    <col min="15" max="15" width="14.5703125" hidden="1" customWidth="1"/>
    <col min="16" max="16" width="14.5703125" style="432" customWidth="1"/>
    <col min="17" max="17" width="20.42578125" hidden="1" customWidth="1"/>
    <col min="18" max="18" width="52" hidden="1" customWidth="1"/>
  </cols>
  <sheetData>
    <row r="1" spans="1:18" ht="21" x14ac:dyDescent="0.35">
      <c r="A1" s="127" t="s">
        <v>527</v>
      </c>
    </row>
    <row r="2" spans="1:18" ht="18.75" x14ac:dyDescent="0.3">
      <c r="A2" s="10" t="s">
        <v>535</v>
      </c>
    </row>
    <row r="3" spans="1:18" ht="15.75" thickBot="1" x14ac:dyDescent="0.3">
      <c r="A3" s="11"/>
    </row>
    <row r="4" spans="1:18" ht="39.75" customHeight="1" x14ac:dyDescent="0.25">
      <c r="A4" s="128" t="s">
        <v>523</v>
      </c>
      <c r="B4" s="282" t="s">
        <v>776</v>
      </c>
      <c r="C4" s="283" t="s">
        <v>777</v>
      </c>
      <c r="D4" s="282" t="s">
        <v>778</v>
      </c>
      <c r="E4" s="283" t="s">
        <v>779</v>
      </c>
      <c r="F4" s="282" t="s">
        <v>529</v>
      </c>
      <c r="G4" s="283" t="s">
        <v>530</v>
      </c>
      <c r="H4" s="282" t="s">
        <v>780</v>
      </c>
      <c r="I4" s="283" t="s">
        <v>761</v>
      </c>
      <c r="J4" s="282" t="s">
        <v>531</v>
      </c>
      <c r="K4" s="296" t="s">
        <v>1589</v>
      </c>
      <c r="L4" s="299" t="s">
        <v>532</v>
      </c>
      <c r="M4" s="300" t="s">
        <v>533</v>
      </c>
      <c r="N4" s="130" t="s">
        <v>18</v>
      </c>
      <c r="O4" s="130" t="s">
        <v>383</v>
      </c>
      <c r="P4" s="130" t="s">
        <v>1154</v>
      </c>
      <c r="Q4" s="130" t="s">
        <v>1</v>
      </c>
      <c r="R4" s="130" t="s">
        <v>2</v>
      </c>
    </row>
    <row r="5" spans="1:18" ht="16.5" customHeight="1" x14ac:dyDescent="0.2">
      <c r="A5" s="129" t="s">
        <v>170</v>
      </c>
      <c r="B5" s="288">
        <v>2045943</v>
      </c>
      <c r="C5" s="289">
        <v>2173685</v>
      </c>
      <c r="D5" s="288">
        <v>2095437</v>
      </c>
      <c r="E5" s="289">
        <v>3317530</v>
      </c>
      <c r="F5" s="288">
        <v>2354652</v>
      </c>
      <c r="G5" s="289">
        <v>1214206</v>
      </c>
      <c r="H5" s="284">
        <f t="shared" ref="H5:H17" si="0">AVERAGE(B5,D5,F5)</f>
        <v>2165344</v>
      </c>
      <c r="I5" s="285">
        <f t="shared" ref="I5:I17" si="1">AVERAGE(C5,E5,G5)</f>
        <v>2235140.3333333335</v>
      </c>
      <c r="J5" s="288">
        <v>1010000</v>
      </c>
      <c r="K5" s="297">
        <f>Revenues!K6</f>
        <v>708673.62000000011</v>
      </c>
      <c r="L5" s="329">
        <v>830108</v>
      </c>
      <c r="M5" s="301">
        <f>Revenues!Y6</f>
        <v>0</v>
      </c>
      <c r="N5" s="131"/>
      <c r="O5" s="131">
        <f>SUM(M5:N5)</f>
        <v>0</v>
      </c>
      <c r="P5" s="476">
        <f t="shared" ref="P5:P18" si="2">(O5-J5)/J5</f>
        <v>-1</v>
      </c>
      <c r="Q5" s="2"/>
    </row>
    <row r="6" spans="1:18" ht="16.5" customHeight="1" x14ac:dyDescent="0.2">
      <c r="A6" s="129" t="s">
        <v>1483</v>
      </c>
      <c r="B6" s="288">
        <v>3026603</v>
      </c>
      <c r="C6" s="289">
        <v>2211249</v>
      </c>
      <c r="D6" s="288">
        <v>1975000</v>
      </c>
      <c r="E6" s="289">
        <v>977111</v>
      </c>
      <c r="F6" s="288">
        <v>1975000</v>
      </c>
      <c r="G6" s="289">
        <f>-16178+74075-57897+300000+48.25</f>
        <v>300048.25</v>
      </c>
      <c r="H6" s="284">
        <f t="shared" si="0"/>
        <v>2325534.3333333335</v>
      </c>
      <c r="I6" s="285">
        <f t="shared" si="1"/>
        <v>1162802.75</v>
      </c>
      <c r="J6" s="288">
        <v>407249</v>
      </c>
      <c r="K6" s="297">
        <f>Revenues!K19</f>
        <v>306600</v>
      </c>
      <c r="L6" s="329">
        <v>413849</v>
      </c>
      <c r="M6" s="301">
        <f>Revenues!Y19</f>
        <v>903821</v>
      </c>
      <c r="N6" s="131"/>
      <c r="O6" s="131">
        <f t="shared" ref="O6:O16" si="3">SUM(M6:N6)</f>
        <v>903821</v>
      </c>
      <c r="P6" s="476">
        <f t="shared" si="2"/>
        <v>1.219332644156278</v>
      </c>
      <c r="Q6" s="2"/>
    </row>
    <row r="7" spans="1:18" ht="16.5" customHeight="1" x14ac:dyDescent="0.2">
      <c r="A7" s="129" t="s">
        <v>176</v>
      </c>
      <c r="B7" s="288">
        <v>1998770</v>
      </c>
      <c r="C7" s="289">
        <v>1421151</v>
      </c>
      <c r="D7" s="288">
        <v>2239777</v>
      </c>
      <c r="E7" s="289">
        <v>1948320</v>
      </c>
      <c r="F7" s="288">
        <v>1926713</v>
      </c>
      <c r="G7" s="289">
        <v>2082572</v>
      </c>
      <c r="H7" s="284">
        <f t="shared" si="0"/>
        <v>2055086.6666666667</v>
      </c>
      <c r="I7" s="285">
        <f t="shared" si="1"/>
        <v>1817347.6666666667</v>
      </c>
      <c r="J7" s="288">
        <v>1675521</v>
      </c>
      <c r="K7" s="297">
        <f>Revenues!K36</f>
        <v>1445874.0299999998</v>
      </c>
      <c r="L7" s="329">
        <v>1735049</v>
      </c>
      <c r="M7" s="301">
        <f>Revenues!Y36</f>
        <v>1955116</v>
      </c>
      <c r="N7" s="131"/>
      <c r="O7" s="131">
        <f t="shared" si="3"/>
        <v>1955116</v>
      </c>
      <c r="P7" s="476">
        <f t="shared" si="2"/>
        <v>0.16687048386740602</v>
      </c>
      <c r="Q7" s="2"/>
    </row>
    <row r="8" spans="1:18" ht="16.5" customHeight="1" x14ac:dyDescent="0.2">
      <c r="A8" s="129" t="s">
        <v>388</v>
      </c>
      <c r="B8" s="288">
        <v>1022446</v>
      </c>
      <c r="C8" s="289">
        <v>338070</v>
      </c>
      <c r="D8" s="288">
        <v>2275915</v>
      </c>
      <c r="E8" s="289">
        <v>1256352</v>
      </c>
      <c r="F8" s="288">
        <v>2706945</v>
      </c>
      <c r="G8" s="289">
        <v>1441207</v>
      </c>
      <c r="H8" s="284">
        <f t="shared" si="0"/>
        <v>2001768.6666666667</v>
      </c>
      <c r="I8" s="285">
        <f t="shared" si="1"/>
        <v>1011876.3333333334</v>
      </c>
      <c r="J8" s="288">
        <v>1323312</v>
      </c>
      <c r="K8" s="297">
        <f>Revenues!K40</f>
        <v>1623933.5199999998</v>
      </c>
      <c r="L8" s="329">
        <v>1762981</v>
      </c>
      <c r="M8" s="301">
        <f>Revenues!Y40</f>
        <v>1837355.09665</v>
      </c>
      <c r="N8" s="131"/>
      <c r="O8" s="131">
        <f t="shared" si="3"/>
        <v>1837355.09665</v>
      </c>
      <c r="P8" s="476">
        <f t="shared" si="2"/>
        <v>0.38845192717212568</v>
      </c>
      <c r="Q8" s="2"/>
    </row>
    <row r="9" spans="1:18" ht="16.5" customHeight="1" x14ac:dyDescent="0.2">
      <c r="A9" s="45" t="s">
        <v>544</v>
      </c>
      <c r="B9" s="288">
        <v>139000</v>
      </c>
      <c r="C9" s="289">
        <v>146741</v>
      </c>
      <c r="D9" s="288">
        <v>139000</v>
      </c>
      <c r="E9" s="289">
        <v>178059</v>
      </c>
      <c r="F9" s="288">
        <v>215512</v>
      </c>
      <c r="G9" s="289">
        <v>591784</v>
      </c>
      <c r="H9" s="284">
        <f t="shared" si="0"/>
        <v>164504</v>
      </c>
      <c r="I9" s="285">
        <f t="shared" si="1"/>
        <v>305528</v>
      </c>
      <c r="J9" s="288">
        <v>250720</v>
      </c>
      <c r="K9" s="297">
        <f>Revenues!K52</f>
        <v>241945.4</v>
      </c>
      <c r="L9" s="329">
        <v>241945</v>
      </c>
      <c r="M9" s="301">
        <f>Revenues!Y52</f>
        <v>213723</v>
      </c>
      <c r="N9" s="131"/>
      <c r="O9" s="131">
        <f t="shared" si="3"/>
        <v>213723</v>
      </c>
      <c r="P9" s="476">
        <f t="shared" si="2"/>
        <v>-0.1475630185067007</v>
      </c>
      <c r="Q9" s="2"/>
    </row>
    <row r="10" spans="1:18" ht="16.5" customHeight="1" x14ac:dyDescent="0.2">
      <c r="A10" s="129" t="s">
        <v>386</v>
      </c>
      <c r="B10" s="288">
        <v>640000</v>
      </c>
      <c r="C10" s="289">
        <v>984147</v>
      </c>
      <c r="D10" s="288">
        <v>1150000</v>
      </c>
      <c r="E10" s="289">
        <v>1274330</v>
      </c>
      <c r="F10" s="288">
        <v>1510000</v>
      </c>
      <c r="G10" s="289">
        <v>1047412</v>
      </c>
      <c r="H10" s="284">
        <f t="shared" si="0"/>
        <v>1100000</v>
      </c>
      <c r="I10" s="285">
        <f t="shared" si="1"/>
        <v>1101963</v>
      </c>
      <c r="J10" s="288">
        <v>2639250</v>
      </c>
      <c r="K10" s="297">
        <f>Revenues!K56</f>
        <v>1689048.9700000002</v>
      </c>
      <c r="L10" s="329">
        <v>1690989</v>
      </c>
      <c r="M10" s="301">
        <f>Revenues!Y56-Revenues!Y57</f>
        <v>1107001.04</v>
      </c>
      <c r="N10" s="131"/>
      <c r="O10" s="131">
        <f t="shared" si="3"/>
        <v>1107001.04</v>
      </c>
      <c r="P10" s="476">
        <f t="shared" si="2"/>
        <v>-0.58056226579520698</v>
      </c>
      <c r="Q10" s="2"/>
    </row>
    <row r="11" spans="1:18" ht="16.5" customHeight="1" x14ac:dyDescent="0.2">
      <c r="A11" s="45" t="s">
        <v>387</v>
      </c>
      <c r="B11" s="288">
        <v>303521</v>
      </c>
      <c r="C11" s="289">
        <v>345680</v>
      </c>
      <c r="D11" s="288">
        <v>366688</v>
      </c>
      <c r="E11" s="289">
        <v>411970</v>
      </c>
      <c r="F11" s="288">
        <v>334961</v>
      </c>
      <c r="G11" s="289">
        <v>318966</v>
      </c>
      <c r="H11" s="284">
        <f t="shared" si="0"/>
        <v>335056.66666666669</v>
      </c>
      <c r="I11" s="285">
        <f t="shared" si="1"/>
        <v>358872</v>
      </c>
      <c r="J11" s="288">
        <v>331132</v>
      </c>
      <c r="K11" s="297">
        <f>Revenues!K77</f>
        <v>375536.64000000001</v>
      </c>
      <c r="L11" s="329">
        <v>375537</v>
      </c>
      <c r="M11" s="301">
        <f>Revenues!Y77</f>
        <v>265070</v>
      </c>
      <c r="N11" s="131"/>
      <c r="O11" s="131">
        <f t="shared" si="3"/>
        <v>265070</v>
      </c>
      <c r="P11" s="476">
        <f t="shared" si="2"/>
        <v>-0.19950352125436382</v>
      </c>
      <c r="Q11" s="2"/>
    </row>
    <row r="12" spans="1:18" ht="16.5" customHeight="1" x14ac:dyDescent="0.2">
      <c r="A12" s="129" t="s">
        <v>795</v>
      </c>
      <c r="B12" s="288">
        <v>583698</v>
      </c>
      <c r="C12" s="289">
        <v>808324</v>
      </c>
      <c r="D12" s="288">
        <v>726816</v>
      </c>
      <c r="E12" s="289">
        <f>1049659+62560</f>
        <v>1112219</v>
      </c>
      <c r="F12" s="288">
        <v>1095708</v>
      </c>
      <c r="G12" s="289">
        <v>1233842</v>
      </c>
      <c r="H12" s="284">
        <f t="shared" si="0"/>
        <v>802074</v>
      </c>
      <c r="I12" s="285">
        <f t="shared" si="1"/>
        <v>1051461.6666666667</v>
      </c>
      <c r="J12" s="288">
        <v>1313452</v>
      </c>
      <c r="K12" s="297">
        <f>Revenues!K84</f>
        <v>834099.96</v>
      </c>
      <c r="L12" s="329">
        <v>925425</v>
      </c>
      <c r="M12" s="301">
        <f>Revenues!Y84</f>
        <v>1325383.46</v>
      </c>
      <c r="N12" s="131"/>
      <c r="O12" s="131">
        <f t="shared" si="3"/>
        <v>1325383.46</v>
      </c>
      <c r="P12" s="476">
        <f t="shared" si="2"/>
        <v>9.0840472282199599E-3</v>
      </c>
      <c r="Q12" s="2"/>
    </row>
    <row r="13" spans="1:18" ht="16.5" customHeight="1" x14ac:dyDescent="0.2">
      <c r="A13" s="129" t="s">
        <v>543</v>
      </c>
      <c r="B13" s="288">
        <v>2178197</v>
      </c>
      <c r="C13" s="289">
        <v>2645533</v>
      </c>
      <c r="D13" s="288">
        <v>2480140</v>
      </c>
      <c r="E13" s="289">
        <v>2742656</v>
      </c>
      <c r="F13" s="288">
        <v>2747556</v>
      </c>
      <c r="G13" s="289">
        <v>2766598</v>
      </c>
      <c r="H13" s="284">
        <f t="shared" si="0"/>
        <v>2468631</v>
      </c>
      <c r="I13" s="285">
        <f t="shared" si="1"/>
        <v>2718262.3333333335</v>
      </c>
      <c r="J13" s="288">
        <v>2773561</v>
      </c>
      <c r="K13" s="297">
        <f>Revenues!K94</f>
        <v>2607195.3200000003</v>
      </c>
      <c r="L13" s="329">
        <v>2851278</v>
      </c>
      <c r="M13" s="301">
        <f>Revenues!Y94</f>
        <v>3156300.12</v>
      </c>
      <c r="N13" s="131"/>
      <c r="O13" s="131">
        <f t="shared" si="3"/>
        <v>3156300.12</v>
      </c>
      <c r="P13" s="476">
        <f t="shared" si="2"/>
        <v>0.13799556598899398</v>
      </c>
      <c r="Q13" s="2"/>
    </row>
    <row r="14" spans="1:18" ht="16.5" customHeight="1" x14ac:dyDescent="0.2">
      <c r="A14" s="129" t="s">
        <v>1309</v>
      </c>
      <c r="B14" s="284">
        <v>347015</v>
      </c>
      <c r="C14" s="285">
        <v>14925</v>
      </c>
      <c r="D14" s="284">
        <v>117326</v>
      </c>
      <c r="E14" s="285">
        <v>366974</v>
      </c>
      <c r="F14" s="284">
        <v>767326</v>
      </c>
      <c r="G14" s="285">
        <v>502273</v>
      </c>
      <c r="H14" s="284">
        <f t="shared" si="0"/>
        <v>410555.66666666669</v>
      </c>
      <c r="I14" s="285">
        <f t="shared" si="1"/>
        <v>294724</v>
      </c>
      <c r="J14" s="288">
        <f>592877+60143</f>
        <v>653020</v>
      </c>
      <c r="K14" s="297">
        <f>Revenues!K103</f>
        <v>637142.94999999995</v>
      </c>
      <c r="L14" s="329">
        <v>753869</v>
      </c>
      <c r="M14" s="301">
        <f>Revenues!Y103</f>
        <v>553904</v>
      </c>
      <c r="N14" s="131"/>
      <c r="O14" s="131">
        <f t="shared" si="3"/>
        <v>553904</v>
      </c>
      <c r="P14" s="476">
        <f t="shared" si="2"/>
        <v>-0.15178095617285842</v>
      </c>
      <c r="Q14" s="2"/>
    </row>
    <row r="15" spans="1:18" ht="16.5" customHeight="1" x14ac:dyDescent="0.2">
      <c r="A15" s="129" t="s">
        <v>385</v>
      </c>
      <c r="B15" s="288">
        <v>1505171</v>
      </c>
      <c r="C15" s="289">
        <v>1423202</v>
      </c>
      <c r="D15" s="288">
        <v>1150820</v>
      </c>
      <c r="E15" s="289">
        <v>1290971</v>
      </c>
      <c r="F15" s="288">
        <v>980965</v>
      </c>
      <c r="G15" s="289">
        <v>1091503</v>
      </c>
      <c r="H15" s="284">
        <f t="shared" si="0"/>
        <v>1212318.6666666667</v>
      </c>
      <c r="I15" s="285">
        <f t="shared" si="1"/>
        <v>1268558.6666666667</v>
      </c>
      <c r="J15" s="288">
        <v>2412826</v>
      </c>
      <c r="K15" s="297">
        <f>Revenues!K118</f>
        <v>1067150.23</v>
      </c>
      <c r="L15" s="329">
        <v>2334292</v>
      </c>
      <c r="M15" s="301">
        <f>Revenues!Y118</f>
        <v>846990.41999999993</v>
      </c>
      <c r="N15" s="131"/>
      <c r="O15" s="131">
        <f t="shared" si="3"/>
        <v>846990.41999999993</v>
      </c>
      <c r="P15" s="476">
        <f t="shared" si="2"/>
        <v>-0.6489633235053005</v>
      </c>
      <c r="Q15" s="2"/>
    </row>
    <row r="16" spans="1:18" ht="16.5" customHeight="1" x14ac:dyDescent="0.2">
      <c r="A16" s="129" t="s">
        <v>1310</v>
      </c>
      <c r="B16" s="288">
        <v>1200217</v>
      </c>
      <c r="C16" s="289">
        <v>1712534</v>
      </c>
      <c r="D16" s="288">
        <v>1300855</v>
      </c>
      <c r="E16" s="289">
        <v>499370</v>
      </c>
      <c r="F16" s="288">
        <f>1524511+1000000+505000</f>
        <v>3029511</v>
      </c>
      <c r="G16" s="289">
        <f>1322114+64499</f>
        <v>1386613</v>
      </c>
      <c r="H16" s="284">
        <f t="shared" si="0"/>
        <v>1843527.6666666667</v>
      </c>
      <c r="I16" s="285">
        <f t="shared" si="1"/>
        <v>1199505.6666666667</v>
      </c>
      <c r="J16" s="288">
        <f>1116721+344150+495000</f>
        <v>1955871</v>
      </c>
      <c r="K16" s="297">
        <f>Revenues!K123</f>
        <v>710117.76</v>
      </c>
      <c r="L16" s="329">
        <v>1220877</v>
      </c>
      <c r="M16" s="301">
        <f>Revenues!Y123+Revenues!Y57</f>
        <v>2232352.5425</v>
      </c>
      <c r="N16" s="131"/>
      <c r="O16" s="131">
        <f t="shared" si="3"/>
        <v>2232352.5425</v>
      </c>
      <c r="P16" s="476">
        <f t="shared" si="2"/>
        <v>0.14135980465991876</v>
      </c>
      <c r="Q16" s="2"/>
    </row>
    <row r="17" spans="1:18" ht="16.5" customHeight="1" x14ac:dyDescent="0.2">
      <c r="A17" s="45" t="s">
        <v>193</v>
      </c>
      <c r="B17" s="295">
        <v>0</v>
      </c>
      <c r="C17" s="309">
        <v>144319</v>
      </c>
      <c r="D17" s="295">
        <v>0</v>
      </c>
      <c r="E17" s="309">
        <v>9493</v>
      </c>
      <c r="F17" s="295">
        <v>0</v>
      </c>
      <c r="G17" s="309">
        <v>36818</v>
      </c>
      <c r="H17" s="284">
        <f t="shared" si="0"/>
        <v>0</v>
      </c>
      <c r="I17" s="285">
        <f t="shared" si="1"/>
        <v>63543.333333333336</v>
      </c>
      <c r="J17" s="295">
        <v>0</v>
      </c>
      <c r="K17" s="297">
        <f>Revenues!K140</f>
        <v>22991</v>
      </c>
      <c r="L17" s="329">
        <v>22991</v>
      </c>
      <c r="M17" s="301">
        <f>Revenues!Y140</f>
        <v>6000</v>
      </c>
      <c r="N17" s="131"/>
      <c r="O17" s="131">
        <f t="shared" ref="O17" si="4">SUM(M17:N17)</f>
        <v>6000</v>
      </c>
      <c r="P17" s="476" t="e">
        <f t="shared" si="2"/>
        <v>#DIV/0!</v>
      </c>
      <c r="Q17" s="2"/>
    </row>
    <row r="18" spans="1:18" ht="16.5" customHeight="1" thickBot="1" x14ac:dyDescent="0.25">
      <c r="A18" s="133" t="s">
        <v>528</v>
      </c>
      <c r="B18" s="286">
        <f t="shared" ref="B18:O18" si="5">SUM(B5:B17)</f>
        <v>14990581</v>
      </c>
      <c r="C18" s="287">
        <f t="shared" si="5"/>
        <v>14369560</v>
      </c>
      <c r="D18" s="286">
        <f t="shared" si="5"/>
        <v>16017774</v>
      </c>
      <c r="E18" s="287">
        <f t="shared" si="5"/>
        <v>15385355</v>
      </c>
      <c r="F18" s="286">
        <f t="shared" si="5"/>
        <v>19644849</v>
      </c>
      <c r="G18" s="287">
        <f t="shared" si="5"/>
        <v>14013842.25</v>
      </c>
      <c r="H18" s="286">
        <f t="shared" si="5"/>
        <v>16884401.333333332</v>
      </c>
      <c r="I18" s="287">
        <f t="shared" si="5"/>
        <v>14589585.75</v>
      </c>
      <c r="J18" s="286">
        <f t="shared" si="5"/>
        <v>16745914</v>
      </c>
      <c r="K18" s="132">
        <f t="shared" si="5"/>
        <v>12270309.4</v>
      </c>
      <c r="L18" s="302">
        <f t="shared" si="5"/>
        <v>15159190</v>
      </c>
      <c r="M18" s="303">
        <f t="shared" si="5"/>
        <v>14403016.67915</v>
      </c>
      <c r="N18" s="132">
        <f t="shared" si="5"/>
        <v>0</v>
      </c>
      <c r="O18" s="132">
        <f t="shared" si="5"/>
        <v>14403016.67915</v>
      </c>
      <c r="P18" s="477">
        <f t="shared" si="2"/>
        <v>-0.13990859626115359</v>
      </c>
      <c r="Q18" s="82"/>
      <c r="R18" s="29"/>
    </row>
    <row r="19" spans="1:18" x14ac:dyDescent="0.2">
      <c r="B19" s="522"/>
      <c r="C19" s="523"/>
      <c r="D19" s="522"/>
      <c r="E19" s="523"/>
      <c r="F19" s="522"/>
      <c r="G19" s="523"/>
      <c r="H19" s="522"/>
      <c r="I19" s="523"/>
      <c r="J19" s="522"/>
      <c r="K19" s="436"/>
      <c r="L19" s="439"/>
      <c r="M19" s="524"/>
      <c r="N19" s="367"/>
      <c r="O19" s="367"/>
      <c r="P19" s="476"/>
      <c r="Q19" s="29"/>
      <c r="R19" s="29"/>
    </row>
    <row r="20" spans="1:18" ht="18" x14ac:dyDescent="0.25">
      <c r="A20" s="128" t="s">
        <v>534</v>
      </c>
      <c r="B20" s="522"/>
      <c r="C20" s="523"/>
      <c r="D20" s="522"/>
      <c r="E20" s="523"/>
      <c r="F20" s="522"/>
      <c r="G20" s="523"/>
      <c r="H20" s="522"/>
      <c r="I20" s="523"/>
      <c r="J20" s="522"/>
      <c r="K20" s="482"/>
      <c r="L20" s="481"/>
      <c r="M20" s="524"/>
      <c r="N20" s="367"/>
      <c r="O20" s="367"/>
      <c r="P20" s="476"/>
      <c r="Q20" s="29"/>
      <c r="R20" s="29"/>
    </row>
    <row r="21" spans="1:18" ht="16.5" customHeight="1" x14ac:dyDescent="0.2">
      <c r="A21" s="129" t="s">
        <v>536</v>
      </c>
      <c r="B21" s="288">
        <v>9765084</v>
      </c>
      <c r="C21" s="289">
        <v>9324126</v>
      </c>
      <c r="D21" s="288">
        <v>10647007</v>
      </c>
      <c r="E21" s="289">
        <v>10096645</v>
      </c>
      <c r="F21" s="288">
        <v>13825940</v>
      </c>
      <c r="G21" s="289">
        <v>11646799</v>
      </c>
      <c r="H21" s="284">
        <f t="shared" ref="H21:H30" si="6">AVERAGE(B21,D21,F21)</f>
        <v>11412677</v>
      </c>
      <c r="I21" s="285">
        <f t="shared" ref="I21:I30" si="7">AVERAGE(C21,E21,G21)</f>
        <v>10355856.666666666</v>
      </c>
      <c r="J21" s="288">
        <f>'Total Expenses'!C4</f>
        <v>11439323</v>
      </c>
      <c r="K21" s="297">
        <v>9190394</v>
      </c>
      <c r="L21" s="329">
        <v>10000000</v>
      </c>
      <c r="M21" s="301">
        <f>'Total Expenses'!D68</f>
        <v>10391630.69314</v>
      </c>
      <c r="N21" s="131"/>
      <c r="O21" s="131">
        <f>SUM(M21:N21)</f>
        <v>10391630.69314</v>
      </c>
      <c r="P21" s="476">
        <f t="shared" ref="P21:P31" si="8">(O21-J21)/J21</f>
        <v>-9.1586915314831124E-2</v>
      </c>
      <c r="Q21" s="82"/>
      <c r="R21" s="29"/>
    </row>
    <row r="22" spans="1:18" ht="16.5" customHeight="1" x14ac:dyDescent="0.2">
      <c r="A22" s="129" t="s">
        <v>537</v>
      </c>
      <c r="B22" s="288">
        <v>346584</v>
      </c>
      <c r="C22" s="289">
        <v>279926</v>
      </c>
      <c r="D22" s="288">
        <v>387025</v>
      </c>
      <c r="E22" s="289">
        <v>326365</v>
      </c>
      <c r="F22" s="288">
        <v>463895</v>
      </c>
      <c r="G22" s="289">
        <v>241929</v>
      </c>
      <c r="H22" s="284">
        <f t="shared" si="6"/>
        <v>399168</v>
      </c>
      <c r="I22" s="285">
        <f t="shared" si="7"/>
        <v>282740</v>
      </c>
      <c r="J22" s="288">
        <f>'Total Expenses'!C7</f>
        <v>332257</v>
      </c>
      <c r="K22" s="297">
        <v>95971</v>
      </c>
      <c r="L22" s="329">
        <v>135000</v>
      </c>
      <c r="M22" s="301">
        <f>'Total Expenses'!G68</f>
        <v>315244.5</v>
      </c>
      <c r="N22" s="131"/>
      <c r="O22" s="131">
        <f t="shared" ref="O22:O30" si="9">SUM(M22:N22)</f>
        <v>315244.5</v>
      </c>
      <c r="P22" s="476">
        <f t="shared" si="8"/>
        <v>-5.1202833950827219E-2</v>
      </c>
      <c r="Q22" s="82"/>
      <c r="R22" s="29"/>
    </row>
    <row r="23" spans="1:18" ht="16.5" customHeight="1" x14ac:dyDescent="0.2">
      <c r="A23" s="129" t="s">
        <v>538</v>
      </c>
      <c r="B23" s="288">
        <v>1088849</v>
      </c>
      <c r="C23" s="289">
        <v>1033778</v>
      </c>
      <c r="D23" s="288">
        <v>1249981</v>
      </c>
      <c r="E23" s="289">
        <v>1145211</v>
      </c>
      <c r="F23" s="288">
        <v>1228526</v>
      </c>
      <c r="G23" s="289">
        <v>1061236</v>
      </c>
      <c r="H23" s="284">
        <f t="shared" si="6"/>
        <v>1189118.6666666667</v>
      </c>
      <c r="I23" s="285">
        <f t="shared" si="7"/>
        <v>1080075</v>
      </c>
      <c r="J23" s="288">
        <f>'Total Expenses'!C8</f>
        <v>954232</v>
      </c>
      <c r="K23" s="297">
        <v>1070908</v>
      </c>
      <c r="L23" s="329">
        <v>1165000</v>
      </c>
      <c r="M23" s="301">
        <f>'Total Expenses'!H68</f>
        <v>1254026.21</v>
      </c>
      <c r="N23" s="131"/>
      <c r="O23" s="131">
        <f t="shared" si="9"/>
        <v>1254026.21</v>
      </c>
      <c r="P23" s="476">
        <f t="shared" si="8"/>
        <v>0.31417329328716703</v>
      </c>
      <c r="Q23" s="82"/>
      <c r="R23" s="29"/>
    </row>
    <row r="24" spans="1:18" ht="16.5" customHeight="1" x14ac:dyDescent="0.2">
      <c r="A24" s="129" t="s">
        <v>507</v>
      </c>
      <c r="B24" s="288">
        <v>97024</v>
      </c>
      <c r="C24" s="289">
        <v>93588</v>
      </c>
      <c r="D24" s="288">
        <v>77637</v>
      </c>
      <c r="E24" s="289">
        <v>74838</v>
      </c>
      <c r="F24" s="288">
        <v>56819</v>
      </c>
      <c r="G24" s="289">
        <v>83006</v>
      </c>
      <c r="H24" s="284">
        <f t="shared" si="6"/>
        <v>77160</v>
      </c>
      <c r="I24" s="285">
        <f t="shared" si="7"/>
        <v>83810.666666666672</v>
      </c>
      <c r="J24" s="288">
        <f>'Total Expenses'!C11</f>
        <v>38275</v>
      </c>
      <c r="K24" s="297">
        <v>0</v>
      </c>
      <c r="L24" s="329">
        <v>38275</v>
      </c>
      <c r="M24" s="301">
        <f>'Total Expenses'!K68</f>
        <v>13568.75</v>
      </c>
      <c r="N24" s="131"/>
      <c r="O24" s="131">
        <f t="shared" si="9"/>
        <v>13568.75</v>
      </c>
      <c r="P24" s="476">
        <f t="shared" si="8"/>
        <v>-0.64549314173742656</v>
      </c>
      <c r="Q24" s="82"/>
      <c r="R24" s="29"/>
    </row>
    <row r="25" spans="1:18" ht="16.5" customHeight="1" x14ac:dyDescent="0.2">
      <c r="A25" s="45" t="s">
        <v>539</v>
      </c>
      <c r="B25" s="288">
        <v>271150</v>
      </c>
      <c r="C25" s="289">
        <v>290576</v>
      </c>
      <c r="D25" s="288">
        <f>250100+0</f>
        <v>250100</v>
      </c>
      <c r="E25" s="289">
        <f>262835+43885-1</f>
        <v>306719</v>
      </c>
      <c r="F25" s="288">
        <f>252360+71037</f>
        <v>323397</v>
      </c>
      <c r="G25" s="289">
        <f>315150+57095</f>
        <v>372245</v>
      </c>
      <c r="H25" s="284">
        <f t="shared" si="6"/>
        <v>281549</v>
      </c>
      <c r="I25" s="285">
        <f t="shared" si="7"/>
        <v>323180</v>
      </c>
      <c r="J25" s="288">
        <f>'Total Expenses'!C12</f>
        <v>373297</v>
      </c>
      <c r="K25" s="297">
        <v>275320</v>
      </c>
      <c r="L25" s="329">
        <v>300350</v>
      </c>
      <c r="M25" s="301">
        <f>'Total Expenses'!L68</f>
        <v>357727</v>
      </c>
      <c r="N25" s="131"/>
      <c r="O25" s="131">
        <f t="shared" si="9"/>
        <v>357727</v>
      </c>
      <c r="P25" s="476">
        <f t="shared" si="8"/>
        <v>-4.1709416362842457E-2</v>
      </c>
      <c r="Q25" s="82"/>
      <c r="R25" s="29"/>
    </row>
    <row r="26" spans="1:18" ht="16.5" customHeight="1" x14ac:dyDescent="0.2">
      <c r="A26" s="129" t="s">
        <v>540</v>
      </c>
      <c r="B26" s="288">
        <v>155200</v>
      </c>
      <c r="C26" s="289">
        <v>123246</v>
      </c>
      <c r="D26" s="288">
        <v>158417</v>
      </c>
      <c r="E26" s="289">
        <v>108140</v>
      </c>
      <c r="F26" s="288">
        <v>132351</v>
      </c>
      <c r="G26" s="289">
        <v>105727</v>
      </c>
      <c r="H26" s="284">
        <f t="shared" si="6"/>
        <v>148656</v>
      </c>
      <c r="I26" s="285">
        <f t="shared" si="7"/>
        <v>112371</v>
      </c>
      <c r="J26" s="288">
        <f>'Total Expenses'!C9</f>
        <v>118400</v>
      </c>
      <c r="K26" s="297">
        <v>53558</v>
      </c>
      <c r="L26" s="329">
        <v>58450</v>
      </c>
      <c r="M26" s="301">
        <f>'Total Expenses'!I68</f>
        <v>100150</v>
      </c>
      <c r="N26" s="131"/>
      <c r="O26" s="131">
        <f t="shared" si="9"/>
        <v>100150</v>
      </c>
      <c r="P26" s="476">
        <f t="shared" si="8"/>
        <v>-0.15413851351351351</v>
      </c>
      <c r="Q26" s="82"/>
      <c r="R26" s="29"/>
    </row>
    <row r="27" spans="1:18" ht="16.5" customHeight="1" x14ac:dyDescent="0.2">
      <c r="A27" s="45" t="s">
        <v>541</v>
      </c>
      <c r="B27" s="288">
        <v>132750</v>
      </c>
      <c r="C27" s="289">
        <v>131990</v>
      </c>
      <c r="D27" s="288">
        <v>151965</v>
      </c>
      <c r="E27" s="289">
        <v>175405</v>
      </c>
      <c r="F27" s="288">
        <v>160465</v>
      </c>
      <c r="G27" s="289">
        <f>99930</f>
        <v>99930</v>
      </c>
      <c r="H27" s="284">
        <f t="shared" si="6"/>
        <v>148393.33333333334</v>
      </c>
      <c r="I27" s="285">
        <f t="shared" si="7"/>
        <v>135775</v>
      </c>
      <c r="J27" s="288">
        <f>'Total Expenses'!C10</f>
        <v>244515</v>
      </c>
      <c r="K27" s="297">
        <v>181354</v>
      </c>
      <c r="L27" s="329">
        <v>230000</v>
      </c>
      <c r="M27" s="301">
        <f>'Total Expenses'!J68</f>
        <v>222500</v>
      </c>
      <c r="N27" s="131"/>
      <c r="O27" s="131">
        <f t="shared" si="9"/>
        <v>222500</v>
      </c>
      <c r="P27" s="476">
        <f t="shared" si="8"/>
        <v>-9.0035376152792265E-2</v>
      </c>
      <c r="Q27" s="82"/>
      <c r="R27" s="29"/>
    </row>
    <row r="28" spans="1:18" ht="16.5" customHeight="1" x14ac:dyDescent="0.2">
      <c r="A28" s="129" t="s">
        <v>469</v>
      </c>
      <c r="B28" s="288">
        <v>100000</v>
      </c>
      <c r="C28" s="289">
        <v>69729</v>
      </c>
      <c r="D28" s="288">
        <v>104000</v>
      </c>
      <c r="E28" s="289">
        <v>76956</v>
      </c>
      <c r="F28" s="288">
        <v>105000</v>
      </c>
      <c r="G28" s="289">
        <f>65344</f>
        <v>65344</v>
      </c>
      <c r="H28" s="284">
        <f t="shared" si="6"/>
        <v>103000</v>
      </c>
      <c r="I28" s="285">
        <f t="shared" si="7"/>
        <v>70676.333333333328</v>
      </c>
      <c r="J28" s="288">
        <f>'Total Expenses'!C6</f>
        <v>92334</v>
      </c>
      <c r="K28" s="297">
        <v>47602</v>
      </c>
      <c r="L28" s="329">
        <v>53000</v>
      </c>
      <c r="M28" s="301">
        <f>'Total Expenses'!F68</f>
        <v>100000</v>
      </c>
      <c r="N28" s="131"/>
      <c r="O28" s="131">
        <f t="shared" si="9"/>
        <v>100000</v>
      </c>
      <c r="P28" s="476">
        <f t="shared" si="8"/>
        <v>8.3024671302012257E-2</v>
      </c>
      <c r="Q28" s="82"/>
      <c r="R28" s="29"/>
    </row>
    <row r="29" spans="1:18" ht="16.5" customHeight="1" x14ac:dyDescent="0.2">
      <c r="A29" s="45" t="s">
        <v>542</v>
      </c>
      <c r="B29" s="288">
        <v>1736839</v>
      </c>
      <c r="C29" s="289">
        <v>1210757</v>
      </c>
      <c r="D29" s="288">
        <v>2103165</v>
      </c>
      <c r="E29" s="289">
        <v>1922313</v>
      </c>
      <c r="F29" s="288">
        <v>2582825</v>
      </c>
      <c r="G29" s="289">
        <v>2608090</v>
      </c>
      <c r="H29" s="284">
        <f t="shared" si="6"/>
        <v>2140943</v>
      </c>
      <c r="I29" s="285">
        <f t="shared" si="7"/>
        <v>1913720</v>
      </c>
      <c r="J29" s="288">
        <f>'Total Expenses'!C5</f>
        <v>2240639</v>
      </c>
      <c r="K29" s="297">
        <v>1182882</v>
      </c>
      <c r="L29" s="329">
        <v>1300000</v>
      </c>
      <c r="M29" s="301">
        <f>'Total Expenses'!E68</f>
        <v>1425459.02</v>
      </c>
      <c r="N29" s="131"/>
      <c r="O29" s="131">
        <f t="shared" si="9"/>
        <v>1425459.02</v>
      </c>
      <c r="P29" s="476">
        <f t="shared" si="8"/>
        <v>-0.36381584896094371</v>
      </c>
      <c r="Q29" s="82"/>
      <c r="R29" s="29"/>
    </row>
    <row r="30" spans="1:18" s="432" customFormat="1" ht="16.5" hidden="1" customHeight="1" x14ac:dyDescent="0.2">
      <c r="A30" s="45" t="s">
        <v>1153</v>
      </c>
      <c r="B30" s="288">
        <v>0</v>
      </c>
      <c r="C30" s="289">
        <v>0</v>
      </c>
      <c r="D30" s="288">
        <v>0</v>
      </c>
      <c r="E30" s="289">
        <v>0</v>
      </c>
      <c r="F30" s="288">
        <v>0</v>
      </c>
      <c r="G30" s="289">
        <v>0</v>
      </c>
      <c r="H30" s="284">
        <f t="shared" si="6"/>
        <v>0</v>
      </c>
      <c r="I30" s="285">
        <f t="shared" si="7"/>
        <v>0</v>
      </c>
      <c r="J30" s="288">
        <f>1000000-1000000</f>
        <v>0</v>
      </c>
      <c r="K30" s="297">
        <v>0</v>
      </c>
      <c r="L30" s="329">
        <v>0</v>
      </c>
      <c r="M30" s="301">
        <v>0</v>
      </c>
      <c r="N30" s="131"/>
      <c r="O30" s="131">
        <f t="shared" si="9"/>
        <v>0</v>
      </c>
      <c r="P30" s="476" t="e">
        <f t="shared" si="8"/>
        <v>#DIV/0!</v>
      </c>
      <c r="Q30" s="82"/>
      <c r="R30" s="29"/>
    </row>
    <row r="31" spans="1:18" ht="16.5" customHeight="1" thickBot="1" x14ac:dyDescent="0.25">
      <c r="A31" s="133" t="s">
        <v>1302</v>
      </c>
      <c r="B31" s="286">
        <f>SUM(B21:B30)</f>
        <v>13693480</v>
      </c>
      <c r="C31" s="287">
        <f>SUM(C21:C30)</f>
        <v>12557716</v>
      </c>
      <c r="D31" s="286">
        <f>SUM(D21:D30)</f>
        <v>15129297</v>
      </c>
      <c r="E31" s="287">
        <f>SUM(E21:E30)</f>
        <v>14232592</v>
      </c>
      <c r="F31" s="286">
        <f>SUM(F21:F30)</f>
        <v>18879218</v>
      </c>
      <c r="G31" s="287">
        <f>SUM(G21:G29)</f>
        <v>16284306</v>
      </c>
      <c r="H31" s="286">
        <f t="shared" ref="H31:M31" si="10">SUM(H21:H30)</f>
        <v>15900665</v>
      </c>
      <c r="I31" s="287">
        <f t="shared" si="10"/>
        <v>14358204.666666666</v>
      </c>
      <c r="J31" s="286">
        <f t="shared" si="10"/>
        <v>15833272</v>
      </c>
      <c r="K31" s="132">
        <f t="shared" si="10"/>
        <v>12097989</v>
      </c>
      <c r="L31" s="302">
        <f t="shared" si="10"/>
        <v>13280075</v>
      </c>
      <c r="M31" s="303">
        <f t="shared" si="10"/>
        <v>14180306.173140001</v>
      </c>
      <c r="N31" s="132">
        <f>SUM(N21:N29)</f>
        <v>0</v>
      </c>
      <c r="O31" s="132">
        <f>SUM(O21:O29)</f>
        <v>14180306.173140001</v>
      </c>
      <c r="P31" s="477">
        <f t="shared" si="8"/>
        <v>-0.10439824610225855</v>
      </c>
      <c r="Q31" s="82"/>
      <c r="R31" s="29"/>
    </row>
    <row r="32" spans="1:18" ht="17.25" customHeight="1" x14ac:dyDescent="0.2">
      <c r="B32" s="522"/>
      <c r="C32" s="523"/>
      <c r="D32" s="522"/>
      <c r="E32" s="523"/>
      <c r="F32" s="522"/>
      <c r="G32" s="523"/>
      <c r="H32" s="522"/>
      <c r="I32" s="523"/>
      <c r="J32" s="522"/>
      <c r="K32" s="436"/>
      <c r="L32" s="439"/>
      <c r="M32" s="524"/>
      <c r="N32" s="367"/>
      <c r="O32" s="367"/>
      <c r="P32" s="476"/>
      <c r="Q32" s="29"/>
      <c r="R32" s="29"/>
    </row>
    <row r="33" spans="1:18" ht="17.25" customHeight="1" x14ac:dyDescent="0.2">
      <c r="A33" s="134" t="s">
        <v>545</v>
      </c>
      <c r="B33" s="288">
        <f t="shared" ref="B33:O33" si="11">B18-B31</f>
        <v>1297101</v>
      </c>
      <c r="C33" s="289">
        <f t="shared" si="11"/>
        <v>1811844</v>
      </c>
      <c r="D33" s="288">
        <f t="shared" si="11"/>
        <v>888477</v>
      </c>
      <c r="E33" s="289">
        <f t="shared" si="11"/>
        <v>1152763</v>
      </c>
      <c r="F33" s="288">
        <f t="shared" si="11"/>
        <v>765631</v>
      </c>
      <c r="G33" s="289">
        <f t="shared" si="11"/>
        <v>-2270463.75</v>
      </c>
      <c r="H33" s="288">
        <f t="shared" si="11"/>
        <v>983736.33333333209</v>
      </c>
      <c r="I33" s="289">
        <f t="shared" si="11"/>
        <v>231381.08333333395</v>
      </c>
      <c r="J33" s="288">
        <f t="shared" si="11"/>
        <v>912642</v>
      </c>
      <c r="K33" s="298">
        <f t="shared" si="11"/>
        <v>172320.40000000037</v>
      </c>
      <c r="L33" s="304">
        <f t="shared" si="11"/>
        <v>1879115</v>
      </c>
      <c r="M33" s="301">
        <f t="shared" si="11"/>
        <v>222710.50600999966</v>
      </c>
      <c r="N33" s="131">
        <f t="shared" si="11"/>
        <v>0</v>
      </c>
      <c r="O33" s="131">
        <f t="shared" si="11"/>
        <v>222710.50600999966</v>
      </c>
      <c r="P33" s="476">
        <f>(O33-J33)/J33</f>
        <v>-0.75597166686389661</v>
      </c>
      <c r="Q33" s="29"/>
      <c r="R33" s="29"/>
    </row>
    <row r="34" spans="1:18" ht="17.25" customHeight="1" x14ac:dyDescent="0.2">
      <c r="A34" s="1"/>
      <c r="B34" s="522"/>
      <c r="C34" s="523"/>
      <c r="D34" s="522"/>
      <c r="E34" s="523"/>
      <c r="F34" s="522"/>
      <c r="G34" s="523"/>
      <c r="H34" s="522"/>
      <c r="I34" s="523"/>
      <c r="J34" s="522"/>
      <c r="K34" s="436"/>
      <c r="L34" s="439"/>
      <c r="M34" s="524"/>
      <c r="N34" s="367"/>
      <c r="O34" s="367"/>
      <c r="P34" s="476"/>
      <c r="Q34" s="29"/>
      <c r="R34" s="29"/>
    </row>
    <row r="35" spans="1:18" ht="17.25" customHeight="1" x14ac:dyDescent="0.2">
      <c r="A35" s="135" t="s">
        <v>546</v>
      </c>
      <c r="B35" s="290">
        <v>440000</v>
      </c>
      <c r="C35" s="291">
        <v>327332</v>
      </c>
      <c r="D35" s="290">
        <v>341000</v>
      </c>
      <c r="E35" s="291">
        <v>269877</v>
      </c>
      <c r="F35" s="290">
        <v>362603</v>
      </c>
      <c r="G35" s="291">
        <v>275691</v>
      </c>
      <c r="H35" s="290">
        <f>AVERAGE(B35,D35,F35)</f>
        <v>381201</v>
      </c>
      <c r="I35" s="291">
        <f>AVERAGE(C35,E35,G35)</f>
        <v>290966.66666666669</v>
      </c>
      <c r="J35" s="290">
        <v>0</v>
      </c>
      <c r="K35" s="136">
        <v>22401</v>
      </c>
      <c r="L35" s="305">
        <v>22401</v>
      </c>
      <c r="M35" s="306">
        <f>'Capital Exp'!E3</f>
        <v>85000</v>
      </c>
      <c r="N35" s="136"/>
      <c r="O35" s="136">
        <f t="shared" ref="O35" si="12">SUM(M35:N35)</f>
        <v>85000</v>
      </c>
      <c r="P35" s="479" t="e">
        <f>(O35-J35)/J35</f>
        <v>#DIV/0!</v>
      </c>
      <c r="Q35" s="29"/>
      <c r="R35" s="29"/>
    </row>
    <row r="36" spans="1:18" ht="17.25" customHeight="1" x14ac:dyDescent="0.2">
      <c r="A36" s="135"/>
      <c r="B36" s="522"/>
      <c r="C36" s="523"/>
      <c r="D36" s="522"/>
      <c r="E36" s="523"/>
      <c r="F36" s="522"/>
      <c r="G36" s="523"/>
      <c r="H36" s="522"/>
      <c r="I36" s="523"/>
      <c r="J36" s="522"/>
      <c r="K36" s="436"/>
      <c r="L36" s="439"/>
      <c r="M36" s="524"/>
      <c r="N36" s="436"/>
      <c r="O36" s="436"/>
      <c r="P36" s="525"/>
      <c r="Q36" s="29"/>
      <c r="R36" s="29"/>
    </row>
    <row r="37" spans="1:18" ht="17.25" customHeight="1" thickBot="1" x14ac:dyDescent="0.25">
      <c r="A37" s="533" t="s">
        <v>1300</v>
      </c>
      <c r="B37" s="292">
        <f t="shared" ref="B37:O37" si="13">B33-B35</f>
        <v>857101</v>
      </c>
      <c r="C37" s="293">
        <f t="shared" si="13"/>
        <v>1484512</v>
      </c>
      <c r="D37" s="292">
        <f t="shared" si="13"/>
        <v>547477</v>
      </c>
      <c r="E37" s="293">
        <f t="shared" si="13"/>
        <v>882886</v>
      </c>
      <c r="F37" s="292">
        <f t="shared" si="13"/>
        <v>403028</v>
      </c>
      <c r="G37" s="293">
        <f t="shared" si="13"/>
        <v>-2546154.75</v>
      </c>
      <c r="H37" s="292">
        <f t="shared" si="13"/>
        <v>602535.33333333209</v>
      </c>
      <c r="I37" s="293">
        <f t="shared" si="13"/>
        <v>-59585.583333332732</v>
      </c>
      <c r="J37" s="292">
        <f t="shared" si="13"/>
        <v>912642</v>
      </c>
      <c r="K37" s="137">
        <f t="shared" si="13"/>
        <v>149919.40000000037</v>
      </c>
      <c r="L37" s="307">
        <f t="shared" si="13"/>
        <v>1856714</v>
      </c>
      <c r="M37" s="308">
        <f t="shared" si="13"/>
        <v>137710.50600999966</v>
      </c>
      <c r="N37" s="137">
        <f t="shared" si="13"/>
        <v>0</v>
      </c>
      <c r="O37" s="137">
        <f t="shared" si="13"/>
        <v>137710.50600999966</v>
      </c>
      <c r="P37" s="480">
        <f>(O37-J37)/J37</f>
        <v>-0.84910785827301427</v>
      </c>
    </row>
    <row r="38" spans="1:18" ht="17.25" customHeight="1" thickTop="1" thickBot="1" x14ac:dyDescent="0.25">
      <c r="B38" s="367"/>
      <c r="C38" s="367"/>
      <c r="D38" s="367"/>
      <c r="E38" s="367"/>
      <c r="F38" s="367"/>
      <c r="G38" s="367"/>
      <c r="H38" s="367"/>
      <c r="I38" s="367"/>
      <c r="J38" s="367"/>
      <c r="K38" s="367"/>
      <c r="L38" s="367"/>
      <c r="M38" s="367"/>
      <c r="N38" s="367"/>
      <c r="O38" s="367"/>
      <c r="P38" s="476"/>
    </row>
    <row r="39" spans="1:18" ht="18" customHeight="1" thickBot="1" x14ac:dyDescent="0.25">
      <c r="A39" s="294" t="s">
        <v>781</v>
      </c>
      <c r="B39" s="526">
        <v>126.5</v>
      </c>
      <c r="C39" s="527">
        <v>116</v>
      </c>
      <c r="D39" s="526">
        <v>132</v>
      </c>
      <c r="E39" s="527">
        <v>123</v>
      </c>
      <c r="F39" s="526">
        <v>153</v>
      </c>
      <c r="G39" s="527">
        <v>119</v>
      </c>
      <c r="H39" s="526">
        <f>AVERAGE(B39,D39,F39)</f>
        <v>137.16666666666666</v>
      </c>
      <c r="I39" s="527">
        <f>AVERAGE(C39,E39,G39)</f>
        <v>119.33333333333333</v>
      </c>
      <c r="J39" s="526">
        <v>120</v>
      </c>
      <c r="K39" s="528">
        <v>106</v>
      </c>
      <c r="L39" s="529">
        <v>101</v>
      </c>
      <c r="M39" s="528">
        <f>HR!I3</f>
        <v>110</v>
      </c>
      <c r="N39" s="529"/>
      <c r="O39" s="529">
        <f t="shared" ref="O39" si="14">SUM(M39:N39)</f>
        <v>110</v>
      </c>
      <c r="P39" s="530">
        <f>(O39-J39)/J39</f>
        <v>-8.3333333333333329E-2</v>
      </c>
    </row>
    <row r="44" spans="1:18" ht="17.25" customHeight="1" x14ac:dyDescent="0.2">
      <c r="L44" s="532"/>
    </row>
    <row r="45" spans="1:18" ht="17.25" customHeight="1" x14ac:dyDescent="0.2">
      <c r="L45" s="532"/>
    </row>
    <row r="46" spans="1:18" ht="17.25" customHeight="1" x14ac:dyDescent="0.2">
      <c r="L46" s="532"/>
      <c r="M46" s="29"/>
      <c r="N46" s="29"/>
      <c r="O46" s="29"/>
      <c r="P46" s="29"/>
    </row>
    <row r="47" spans="1:18" ht="17.25" customHeight="1" x14ac:dyDescent="0.2">
      <c r="L47" s="29"/>
      <c r="M47" s="29"/>
      <c r="N47" s="29"/>
      <c r="O47" s="29"/>
      <c r="P47" s="29"/>
    </row>
    <row r="48" spans="1:18" ht="17.25" customHeight="1" x14ac:dyDescent="0.2">
      <c r="L48" s="29"/>
      <c r="M48" s="29"/>
      <c r="N48" s="29"/>
      <c r="O48" s="29"/>
      <c r="P48" s="29"/>
    </row>
    <row r="49" spans="12:16" ht="17.25" customHeight="1" x14ac:dyDescent="0.2">
      <c r="L49" s="532"/>
      <c r="M49" s="29"/>
      <c r="N49" s="29"/>
      <c r="O49" s="29"/>
      <c r="P49" s="29"/>
    </row>
    <row r="50" spans="12:16" ht="17.25" customHeight="1" x14ac:dyDescent="0.2">
      <c r="L50" s="532"/>
      <c r="M50" s="29"/>
      <c r="N50" s="29"/>
      <c r="O50" s="29"/>
      <c r="P50" s="29"/>
    </row>
    <row r="51" spans="12:16" s="432" customFormat="1" ht="17.25" customHeight="1" x14ac:dyDescent="0.2">
      <c r="L51" s="532"/>
      <c r="M51" s="29"/>
      <c r="N51" s="29"/>
      <c r="O51" s="29"/>
      <c r="P51" s="29"/>
    </row>
    <row r="52" spans="12:16" ht="17.25" customHeight="1" x14ac:dyDescent="0.2">
      <c r="L52" s="29"/>
      <c r="M52" s="29"/>
      <c r="N52" s="29"/>
      <c r="O52" s="29"/>
      <c r="P52" s="29"/>
    </row>
    <row r="53" spans="12:16" s="432" customFormat="1" ht="17.25" customHeight="1" x14ac:dyDescent="0.2">
      <c r="L53" s="29"/>
      <c r="M53" s="29"/>
      <c r="N53" s="29"/>
      <c r="O53" s="29"/>
      <c r="P53" s="29"/>
    </row>
    <row r="54" spans="12:16" s="432" customFormat="1" ht="16.5" customHeight="1" x14ac:dyDescent="0.2">
      <c r="L54" s="532"/>
      <c r="M54" s="29"/>
      <c r="N54" s="29"/>
      <c r="O54" s="29"/>
      <c r="P54" s="29"/>
    </row>
    <row r="55" spans="12:16" s="432" customFormat="1" ht="17.25" customHeight="1" x14ac:dyDescent="0.2">
      <c r="L55" s="532"/>
      <c r="M55" s="29"/>
      <c r="N55" s="29"/>
      <c r="O55" s="29"/>
      <c r="P55" s="29"/>
    </row>
    <row r="56" spans="12:16" s="432" customFormat="1" ht="17.25" customHeight="1" x14ac:dyDescent="0.2">
      <c r="L56" s="532"/>
      <c r="M56" s="29"/>
      <c r="N56" s="29"/>
      <c r="O56" s="29"/>
      <c r="P56" s="29"/>
    </row>
    <row r="57" spans="12:16" ht="17.25" customHeight="1" x14ac:dyDescent="0.2">
      <c r="L57" s="29"/>
      <c r="M57" s="29"/>
      <c r="N57" s="29"/>
      <c r="O57" s="29"/>
      <c r="P57" s="29"/>
    </row>
    <row r="58" spans="12:16" s="432" customFormat="1" ht="17.25" customHeight="1" x14ac:dyDescent="0.2">
      <c r="L58" s="29"/>
      <c r="M58" s="29"/>
      <c r="N58" s="29"/>
      <c r="O58" s="29"/>
      <c r="P58" s="29"/>
    </row>
    <row r="59" spans="12:16" s="432" customFormat="1" ht="17.25" customHeight="1" x14ac:dyDescent="0.2">
      <c r="L59" s="532"/>
      <c r="M59" s="29"/>
      <c r="N59" s="29"/>
      <c r="O59" s="29"/>
      <c r="P59" s="29"/>
    </row>
    <row r="60" spans="12:16" s="432" customFormat="1" ht="17.25" customHeight="1" x14ac:dyDescent="0.2">
      <c r="L60" s="532"/>
      <c r="M60" s="29"/>
      <c r="N60" s="29"/>
      <c r="O60" s="29"/>
      <c r="P60" s="29"/>
    </row>
    <row r="61" spans="12:16" s="432" customFormat="1" ht="17.25" customHeight="1" x14ac:dyDescent="0.2">
      <c r="L61" s="532"/>
      <c r="M61" s="29"/>
      <c r="N61" s="29"/>
      <c r="O61" s="29"/>
      <c r="P61" s="29"/>
    </row>
    <row r="62" spans="12:16" ht="17.25" customHeight="1" x14ac:dyDescent="0.2"/>
    <row r="63" spans="12:16" ht="17.25" customHeight="1" x14ac:dyDescent="0.2">
      <c r="L63" s="531"/>
      <c r="M63" s="29"/>
      <c r="N63" s="29"/>
      <c r="O63" s="29"/>
      <c r="P63" s="29"/>
    </row>
    <row r="65" s="432" customFormat="1" x14ac:dyDescent="0.2"/>
    <row r="66" ht="17.25" customHeight="1" x14ac:dyDescent="0.2"/>
    <row r="67" ht="17.25" customHeight="1" x14ac:dyDescent="0.2"/>
    <row r="68" ht="17.25" customHeight="1" x14ac:dyDescent="0.2"/>
    <row r="69" ht="17.25" customHeight="1" x14ac:dyDescent="0.2"/>
    <row r="70" ht="17.25" customHeight="1" x14ac:dyDescent="0.2"/>
    <row r="71" ht="18" customHeight="1" x14ac:dyDescent="0.2"/>
  </sheetData>
  <sortState ref="A70:B75">
    <sortCondition ref="A19:A24"/>
  </sortState>
  <pageMargins left="0.2" right="0.2" top="0.75" bottom="0.5" header="0.3" footer="0.3"/>
  <pageSetup scale="65" fitToHeight="2"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232"/>
  <sheetViews>
    <sheetView zoomScaleNormal="100" workbookViewId="0">
      <pane xSplit="4" ySplit="5" topLeftCell="W89" activePane="bottomRight" state="frozen"/>
      <selection activeCell="F24" sqref="F24"/>
      <selection pane="topRight" activeCell="F24" sqref="F24"/>
      <selection pane="bottomLeft" activeCell="F24" sqref="F24"/>
      <selection pane="bottomRight" activeCell="AA94" sqref="AA94:AA100"/>
    </sheetView>
  </sheetViews>
  <sheetFormatPr defaultRowHeight="12.75" x14ac:dyDescent="0.2"/>
  <cols>
    <col min="1" max="1" width="26.5703125" customWidth="1"/>
    <col min="2" max="2" width="28.5703125" customWidth="1"/>
    <col min="3" max="3" width="26" customWidth="1"/>
    <col min="4" max="4" width="42.28515625" customWidth="1"/>
    <col min="5" max="5" width="15.5703125" customWidth="1"/>
    <col min="6" max="6" width="12" customWidth="1"/>
    <col min="7" max="7" width="16.28515625" customWidth="1"/>
    <col min="8" max="8" width="18.42578125" customWidth="1"/>
    <col min="9" max="9" width="18.5703125" customWidth="1"/>
    <col min="10" max="10" width="18.85546875" customWidth="1"/>
    <col min="11" max="11" width="18.42578125" customWidth="1"/>
    <col min="12" max="12" width="18.7109375" customWidth="1"/>
    <col min="13" max="13" width="15.28515625" customWidth="1"/>
    <col min="14" max="14" width="10.85546875" customWidth="1"/>
    <col min="15" max="15" width="16.5703125" customWidth="1"/>
    <col min="16" max="16" width="15.28515625" customWidth="1"/>
    <col min="17" max="17" width="9.140625" customWidth="1"/>
    <col min="18" max="18" width="16.5703125" customWidth="1"/>
    <col min="19" max="19" width="15.28515625" customWidth="1"/>
    <col min="20" max="20" width="9.140625" customWidth="1"/>
    <col min="21" max="21" width="16.5703125" customWidth="1"/>
    <col min="22" max="22" width="15.28515625" customWidth="1"/>
    <col min="23" max="23" width="9.140625" customWidth="1"/>
    <col min="24" max="24" width="16.5703125" customWidth="1"/>
    <col min="25" max="25" width="21.140625" customWidth="1"/>
    <col min="27" max="27" width="15.42578125" bestFit="1" customWidth="1"/>
  </cols>
  <sheetData>
    <row r="1" spans="1:25" ht="18.75" x14ac:dyDescent="0.3">
      <c r="A1" s="27"/>
      <c r="B1" s="27" t="s">
        <v>523</v>
      </c>
      <c r="C1" s="27"/>
      <c r="D1" s="27"/>
      <c r="E1" s="27"/>
      <c r="F1" s="27"/>
      <c r="G1" s="27"/>
      <c r="H1" s="27"/>
      <c r="I1" s="27"/>
      <c r="J1" s="27"/>
      <c r="K1" s="27"/>
      <c r="L1" s="27"/>
      <c r="M1" s="27"/>
      <c r="N1" s="27"/>
      <c r="O1" s="27"/>
      <c r="P1" s="27"/>
      <c r="Q1" s="27"/>
      <c r="R1" s="27"/>
      <c r="S1" s="27"/>
      <c r="T1" s="27"/>
      <c r="U1" s="27"/>
      <c r="V1" s="27"/>
      <c r="W1" s="27"/>
      <c r="X1" s="27"/>
      <c r="Y1" s="27"/>
    </row>
    <row r="2" spans="1:25" ht="15" x14ac:dyDescent="0.25">
      <c r="B2" s="25"/>
      <c r="C2" s="28"/>
      <c r="D2" s="28"/>
      <c r="E2" s="28"/>
      <c r="F2" s="28"/>
      <c r="G2" s="28"/>
      <c r="H2" s="28"/>
      <c r="I2" s="28"/>
      <c r="J2" s="28"/>
      <c r="K2" s="28"/>
      <c r="L2" s="28"/>
      <c r="M2" s="25"/>
      <c r="N2" s="29"/>
      <c r="O2" s="29"/>
    </row>
    <row r="3" spans="1:25" ht="13.5" thickBot="1" x14ac:dyDescent="0.25"/>
    <row r="4" spans="1:25" ht="15" x14ac:dyDescent="0.25">
      <c r="A4" s="68" t="s">
        <v>465</v>
      </c>
      <c r="B4" s="63"/>
      <c r="C4" s="26" t="s">
        <v>0</v>
      </c>
      <c r="D4" s="26" t="s">
        <v>25</v>
      </c>
      <c r="E4" s="68" t="s">
        <v>1474</v>
      </c>
      <c r="F4" s="257" t="s">
        <v>765</v>
      </c>
      <c r="G4" s="257" t="s">
        <v>766</v>
      </c>
      <c r="H4" s="257"/>
      <c r="I4" s="257"/>
      <c r="J4" s="257"/>
      <c r="K4" s="257" t="s">
        <v>768</v>
      </c>
      <c r="L4" s="258" t="s">
        <v>769</v>
      </c>
      <c r="M4" s="770" t="s">
        <v>1404</v>
      </c>
      <c r="N4" s="771"/>
      <c r="O4" s="773"/>
      <c r="P4" s="770" t="s">
        <v>1405</v>
      </c>
      <c r="Q4" s="771"/>
      <c r="R4" s="773"/>
      <c r="S4" s="770" t="s">
        <v>1406</v>
      </c>
      <c r="T4" s="771"/>
      <c r="U4" s="773"/>
      <c r="V4" s="770" t="s">
        <v>1407</v>
      </c>
      <c r="W4" s="771"/>
      <c r="X4" s="772"/>
      <c r="Y4" s="56"/>
    </row>
    <row r="5" spans="1:25" ht="15.75" thickBot="1" x14ac:dyDescent="0.3">
      <c r="A5" s="22" t="s">
        <v>7</v>
      </c>
      <c r="B5" s="64" t="s">
        <v>8</v>
      </c>
      <c r="C5" s="21" t="s">
        <v>24</v>
      </c>
      <c r="D5" s="21" t="s">
        <v>26</v>
      </c>
      <c r="E5" s="22" t="s">
        <v>764</v>
      </c>
      <c r="F5" s="23" t="s">
        <v>382</v>
      </c>
      <c r="G5" s="23" t="s">
        <v>767</v>
      </c>
      <c r="H5" s="23" t="s">
        <v>782</v>
      </c>
      <c r="I5" s="23" t="s">
        <v>783</v>
      </c>
      <c r="J5" s="23" t="s">
        <v>784</v>
      </c>
      <c r="K5" s="23" t="s">
        <v>785</v>
      </c>
      <c r="L5" s="24" t="s">
        <v>770</v>
      </c>
      <c r="M5" s="22" t="s">
        <v>20</v>
      </c>
      <c r="N5" s="23" t="s">
        <v>19</v>
      </c>
      <c r="O5" s="24" t="s">
        <v>21</v>
      </c>
      <c r="P5" s="22" t="s">
        <v>20</v>
      </c>
      <c r="Q5" s="23" t="s">
        <v>19</v>
      </c>
      <c r="R5" s="24" t="s">
        <v>21</v>
      </c>
      <c r="S5" s="22" t="s">
        <v>20</v>
      </c>
      <c r="T5" s="23" t="s">
        <v>19</v>
      </c>
      <c r="U5" s="24" t="s">
        <v>21</v>
      </c>
      <c r="V5" s="22" t="s">
        <v>20</v>
      </c>
      <c r="W5" s="23" t="s">
        <v>19</v>
      </c>
      <c r="X5" s="53" t="s">
        <v>21</v>
      </c>
      <c r="Y5" s="57" t="s">
        <v>23</v>
      </c>
    </row>
    <row r="6" spans="1:25" ht="14.25" customHeight="1" x14ac:dyDescent="0.2">
      <c r="A6" s="66"/>
      <c r="B6" s="69" t="s">
        <v>170</v>
      </c>
      <c r="C6" s="17"/>
      <c r="D6" s="17"/>
      <c r="E6" s="66"/>
      <c r="F6" s="259"/>
      <c r="G6" s="251">
        <f>SUM(G7:G16)</f>
        <v>0</v>
      </c>
      <c r="H6" s="251">
        <f>SUM(H7:H17)</f>
        <v>2173685.13</v>
      </c>
      <c r="I6" s="251">
        <f>SUM(I7:I17)</f>
        <v>3317529.8600000003</v>
      </c>
      <c r="J6" s="251">
        <f>SUM(J7:J17)</f>
        <v>1214206.1499999999</v>
      </c>
      <c r="K6" s="251">
        <f>SUM(K7:K17)</f>
        <v>708673.62000000011</v>
      </c>
      <c r="L6" s="249">
        <f>SUM(L7:L17)</f>
        <v>0</v>
      </c>
      <c r="M6" s="13"/>
      <c r="N6" s="14"/>
      <c r="O6" s="249">
        <f>SUM(O7:O17)</f>
        <v>0</v>
      </c>
      <c r="P6" s="250"/>
      <c r="Q6" s="251"/>
      <c r="R6" s="249">
        <f>SUM(R7:R17)</f>
        <v>0</v>
      </c>
      <c r="S6" s="250"/>
      <c r="T6" s="251"/>
      <c r="U6" s="249">
        <f>SUM(U7:U17)</f>
        <v>0</v>
      </c>
      <c r="V6" s="250"/>
      <c r="W6" s="251"/>
      <c r="X6" s="252">
        <f>SUM(X7:X17)</f>
        <v>0</v>
      </c>
      <c r="Y6" s="253">
        <f>SUM(Y7:Y17)</f>
        <v>0</v>
      </c>
    </row>
    <row r="7" spans="1:25" ht="14.25" customHeight="1" x14ac:dyDescent="0.2">
      <c r="A7" s="402" t="s">
        <v>1222</v>
      </c>
      <c r="B7" s="29" t="s">
        <v>170</v>
      </c>
      <c r="C7" s="401" t="s">
        <v>29</v>
      </c>
      <c r="D7" s="17" t="s">
        <v>692</v>
      </c>
      <c r="E7" s="271" t="s">
        <v>772</v>
      </c>
      <c r="F7" s="274" t="s">
        <v>772</v>
      </c>
      <c r="G7" s="280">
        <v>0</v>
      </c>
      <c r="H7" s="280">
        <v>85.29</v>
      </c>
      <c r="I7" s="280">
        <v>0</v>
      </c>
      <c r="J7" s="280">
        <v>0</v>
      </c>
      <c r="K7" s="268">
        <v>290.75</v>
      </c>
      <c r="L7" s="15">
        <v>0</v>
      </c>
      <c r="M7" s="267">
        <v>0</v>
      </c>
      <c r="N7" s="268">
        <v>0</v>
      </c>
      <c r="O7" s="269">
        <f t="shared" ref="O7:O140" si="0">N7*M7</f>
        <v>0</v>
      </c>
      <c r="P7" s="267">
        <v>0</v>
      </c>
      <c r="Q7" s="268">
        <v>0</v>
      </c>
      <c r="R7" s="269">
        <f t="shared" ref="R7:R140" si="1">Q7*P7</f>
        <v>0</v>
      </c>
      <c r="S7" s="267">
        <v>0</v>
      </c>
      <c r="T7" s="268">
        <v>0</v>
      </c>
      <c r="U7" s="269">
        <f t="shared" ref="U7:U140" si="2">T7*S7</f>
        <v>0</v>
      </c>
      <c r="V7" s="267">
        <v>0</v>
      </c>
      <c r="W7" s="268">
        <v>0</v>
      </c>
      <c r="X7" s="270">
        <f t="shared" ref="X7:X140" si="3">W7*V7</f>
        <v>0</v>
      </c>
      <c r="Y7" s="58">
        <f t="shared" ref="Y7:Y140" si="4">X7+U7+R7+O7</f>
        <v>0</v>
      </c>
    </row>
    <row r="8" spans="1:25" s="398" customFormat="1" ht="14.25" customHeight="1" x14ac:dyDescent="0.2">
      <c r="A8" s="392" t="s">
        <v>389</v>
      </c>
      <c r="B8" s="29" t="s">
        <v>170</v>
      </c>
      <c r="C8" s="400" t="s">
        <v>37</v>
      </c>
      <c r="D8" s="400" t="s">
        <v>126</v>
      </c>
      <c r="E8" s="415" t="s">
        <v>772</v>
      </c>
      <c r="F8" s="274" t="s">
        <v>772</v>
      </c>
      <c r="G8" s="280">
        <v>0</v>
      </c>
      <c r="H8" s="280">
        <v>6.83</v>
      </c>
      <c r="I8" s="280">
        <v>0.1</v>
      </c>
      <c r="J8" s="280">
        <v>0.12</v>
      </c>
      <c r="K8" s="418">
        <v>1.21</v>
      </c>
      <c r="L8" s="412">
        <v>0</v>
      </c>
      <c r="M8" s="267">
        <v>0</v>
      </c>
      <c r="N8" s="418">
        <v>0</v>
      </c>
      <c r="O8" s="269">
        <f t="shared" ref="O8" si="5">N8*M8</f>
        <v>0</v>
      </c>
      <c r="P8" s="267">
        <v>0</v>
      </c>
      <c r="Q8" s="418">
        <v>0</v>
      </c>
      <c r="R8" s="269">
        <f t="shared" ref="R8" si="6">Q8*P8</f>
        <v>0</v>
      </c>
      <c r="S8" s="267">
        <v>0</v>
      </c>
      <c r="T8" s="418">
        <v>0</v>
      </c>
      <c r="U8" s="269">
        <f t="shared" ref="U8" si="7">T8*S8</f>
        <v>0</v>
      </c>
      <c r="V8" s="267">
        <v>0</v>
      </c>
      <c r="W8" s="418">
        <v>0</v>
      </c>
      <c r="X8" s="270">
        <f t="shared" ref="X8" si="8">W8*V8</f>
        <v>0</v>
      </c>
      <c r="Y8" s="405">
        <f t="shared" ref="Y8" si="9">X8+U8+R8+O8</f>
        <v>0</v>
      </c>
    </row>
    <row r="9" spans="1:25" ht="14.25" customHeight="1" x14ac:dyDescent="0.2">
      <c r="A9" s="66" t="s">
        <v>390</v>
      </c>
      <c r="B9" s="29" t="s">
        <v>170</v>
      </c>
      <c r="C9" s="71" t="s">
        <v>34</v>
      </c>
      <c r="D9" s="17" t="s">
        <v>121</v>
      </c>
      <c r="E9" s="271" t="s">
        <v>772</v>
      </c>
      <c r="F9" s="274" t="s">
        <v>772</v>
      </c>
      <c r="G9" s="268">
        <v>0</v>
      </c>
      <c r="H9" s="268">
        <v>5.56</v>
      </c>
      <c r="I9" s="268">
        <v>41.18</v>
      </c>
      <c r="J9" s="268">
        <v>34.909999999999997</v>
      </c>
      <c r="K9" s="268">
        <v>160.29</v>
      </c>
      <c r="L9" s="412">
        <v>0</v>
      </c>
      <c r="M9" s="267">
        <v>0</v>
      </c>
      <c r="N9" s="268">
        <v>0</v>
      </c>
      <c r="O9" s="269">
        <f t="shared" ref="O9:O78" si="10">N9*M9</f>
        <v>0</v>
      </c>
      <c r="P9" s="267">
        <v>0</v>
      </c>
      <c r="Q9" s="268">
        <v>0</v>
      </c>
      <c r="R9" s="269">
        <f t="shared" ref="R9:R78" si="11">Q9*P9</f>
        <v>0</v>
      </c>
      <c r="S9" s="267">
        <v>0</v>
      </c>
      <c r="T9" s="268">
        <v>0</v>
      </c>
      <c r="U9" s="269">
        <f t="shared" ref="U9:U78" si="12">T9*S9</f>
        <v>0</v>
      </c>
      <c r="V9" s="267">
        <v>0</v>
      </c>
      <c r="W9" s="268">
        <v>0</v>
      </c>
      <c r="X9" s="270">
        <f t="shared" ref="X9:X78" si="13">W9*V9</f>
        <v>0</v>
      </c>
      <c r="Y9" s="58">
        <f t="shared" ref="Y9:Y78" si="14">X9+U9+R9+O9</f>
        <v>0</v>
      </c>
    </row>
    <row r="10" spans="1:25" ht="14.25" customHeight="1" x14ac:dyDescent="0.2">
      <c r="A10" s="66" t="s">
        <v>391</v>
      </c>
      <c r="B10" s="29" t="s">
        <v>170</v>
      </c>
      <c r="C10" s="17" t="s">
        <v>29</v>
      </c>
      <c r="D10" s="17" t="s">
        <v>63</v>
      </c>
      <c r="E10" s="271" t="s">
        <v>772</v>
      </c>
      <c r="F10" s="274" t="s">
        <v>772</v>
      </c>
      <c r="G10" s="268">
        <v>0</v>
      </c>
      <c r="H10" s="268">
        <v>-9742.8799999999992</v>
      </c>
      <c r="I10" s="268">
        <v>59.67</v>
      </c>
      <c r="J10" s="268">
        <v>18.23</v>
      </c>
      <c r="K10" s="268">
        <v>390.28</v>
      </c>
      <c r="L10" s="412">
        <v>0</v>
      </c>
      <c r="M10" s="267">
        <v>0</v>
      </c>
      <c r="N10" s="268">
        <v>0</v>
      </c>
      <c r="O10" s="269">
        <f t="shared" si="10"/>
        <v>0</v>
      </c>
      <c r="P10" s="267">
        <v>0</v>
      </c>
      <c r="Q10" s="268">
        <v>0</v>
      </c>
      <c r="R10" s="269">
        <f t="shared" si="11"/>
        <v>0</v>
      </c>
      <c r="S10" s="267">
        <v>0</v>
      </c>
      <c r="T10" s="268">
        <v>0</v>
      </c>
      <c r="U10" s="269">
        <f t="shared" si="12"/>
        <v>0</v>
      </c>
      <c r="V10" s="267">
        <v>0</v>
      </c>
      <c r="W10" s="268">
        <v>0</v>
      </c>
      <c r="X10" s="270">
        <f t="shared" si="13"/>
        <v>0</v>
      </c>
      <c r="Y10" s="58">
        <f t="shared" si="14"/>
        <v>0</v>
      </c>
    </row>
    <row r="11" spans="1:25" ht="14.25" customHeight="1" x14ac:dyDescent="0.2">
      <c r="A11" s="66" t="s">
        <v>392</v>
      </c>
      <c r="B11" s="29" t="s">
        <v>170</v>
      </c>
      <c r="C11" s="17" t="s">
        <v>29</v>
      </c>
      <c r="D11" s="17" t="s">
        <v>146</v>
      </c>
      <c r="E11" s="271" t="s">
        <v>772</v>
      </c>
      <c r="F11" s="274" t="s">
        <v>772</v>
      </c>
      <c r="G11" s="268">
        <v>0</v>
      </c>
      <c r="H11" s="268">
        <v>0</v>
      </c>
      <c r="I11" s="268">
        <v>0</v>
      </c>
      <c r="J11" s="268">
        <v>0</v>
      </c>
      <c r="K11" s="268">
        <v>325.70999999999998</v>
      </c>
      <c r="L11" s="412">
        <v>0</v>
      </c>
      <c r="M11" s="267">
        <v>0</v>
      </c>
      <c r="N11" s="268">
        <v>0</v>
      </c>
      <c r="O11" s="269">
        <f t="shared" si="10"/>
        <v>0</v>
      </c>
      <c r="P11" s="267">
        <v>0</v>
      </c>
      <c r="Q11" s="268">
        <v>0</v>
      </c>
      <c r="R11" s="269">
        <f t="shared" si="11"/>
        <v>0</v>
      </c>
      <c r="S11" s="267">
        <v>0</v>
      </c>
      <c r="T11" s="268">
        <v>0</v>
      </c>
      <c r="U11" s="269">
        <f t="shared" si="12"/>
        <v>0</v>
      </c>
      <c r="V11" s="267">
        <v>0</v>
      </c>
      <c r="W11" s="268">
        <v>0</v>
      </c>
      <c r="X11" s="270">
        <f t="shared" si="13"/>
        <v>0</v>
      </c>
      <c r="Y11" s="58">
        <f t="shared" si="14"/>
        <v>0</v>
      </c>
    </row>
    <row r="12" spans="1:25" ht="14.25" customHeight="1" x14ac:dyDescent="0.2">
      <c r="A12" s="66" t="s">
        <v>393</v>
      </c>
      <c r="B12" s="29" t="s">
        <v>170</v>
      </c>
      <c r="C12" s="17" t="s">
        <v>29</v>
      </c>
      <c r="D12" s="17" t="s">
        <v>210</v>
      </c>
      <c r="E12" s="271" t="s">
        <v>772</v>
      </c>
      <c r="F12" s="274" t="s">
        <v>772</v>
      </c>
      <c r="G12" s="268">
        <v>0</v>
      </c>
      <c r="H12" s="268">
        <v>1377711.84</v>
      </c>
      <c r="I12" s="268">
        <v>2403529.23</v>
      </c>
      <c r="J12" s="268">
        <v>312007.7</v>
      </c>
      <c r="K12" s="268">
        <v>93307.74</v>
      </c>
      <c r="L12" s="412">
        <v>0</v>
      </c>
      <c r="M12" s="267">
        <v>0</v>
      </c>
      <c r="N12" s="268">
        <v>0</v>
      </c>
      <c r="O12" s="269">
        <f t="shared" si="10"/>
        <v>0</v>
      </c>
      <c r="P12" s="267">
        <v>0</v>
      </c>
      <c r="Q12" s="268">
        <v>0</v>
      </c>
      <c r="R12" s="269">
        <f t="shared" si="11"/>
        <v>0</v>
      </c>
      <c r="S12" s="267">
        <v>0</v>
      </c>
      <c r="T12" s="268">
        <v>0</v>
      </c>
      <c r="U12" s="269">
        <f t="shared" si="12"/>
        <v>0</v>
      </c>
      <c r="V12" s="267">
        <v>0</v>
      </c>
      <c r="W12" s="268">
        <v>0</v>
      </c>
      <c r="X12" s="270">
        <f t="shared" si="13"/>
        <v>0</v>
      </c>
      <c r="Y12" s="58">
        <f t="shared" si="14"/>
        <v>0</v>
      </c>
    </row>
    <row r="13" spans="1:25" ht="14.25" customHeight="1" x14ac:dyDescent="0.2">
      <c r="A13" s="66" t="s">
        <v>394</v>
      </c>
      <c r="B13" s="29" t="s">
        <v>170</v>
      </c>
      <c r="C13" s="17" t="s">
        <v>29</v>
      </c>
      <c r="D13" s="71" t="s">
        <v>146</v>
      </c>
      <c r="E13" s="272" t="s">
        <v>772</v>
      </c>
      <c r="F13" s="275" t="s">
        <v>772</v>
      </c>
      <c r="G13" s="273">
        <v>0</v>
      </c>
      <c r="H13" s="273">
        <v>0</v>
      </c>
      <c r="I13" s="273">
        <v>88857.600000000006</v>
      </c>
      <c r="J13" s="273">
        <v>277876.17</v>
      </c>
      <c r="K13" s="273">
        <v>158194.04</v>
      </c>
      <c r="L13" s="412">
        <v>0</v>
      </c>
      <c r="M13" s="267">
        <v>0</v>
      </c>
      <c r="N13" s="268">
        <v>0</v>
      </c>
      <c r="O13" s="269">
        <f t="shared" si="10"/>
        <v>0</v>
      </c>
      <c r="P13" s="267">
        <v>0</v>
      </c>
      <c r="Q13" s="268">
        <v>0</v>
      </c>
      <c r="R13" s="269">
        <f t="shared" si="11"/>
        <v>0</v>
      </c>
      <c r="S13" s="267">
        <v>0</v>
      </c>
      <c r="T13" s="268">
        <v>0</v>
      </c>
      <c r="U13" s="269">
        <f t="shared" si="12"/>
        <v>0</v>
      </c>
      <c r="V13" s="267">
        <v>0</v>
      </c>
      <c r="W13" s="268">
        <v>0</v>
      </c>
      <c r="X13" s="270">
        <f t="shared" si="13"/>
        <v>0</v>
      </c>
      <c r="Y13" s="58">
        <f t="shared" si="14"/>
        <v>0</v>
      </c>
    </row>
    <row r="14" spans="1:25" ht="14.25" customHeight="1" x14ac:dyDescent="0.2">
      <c r="A14" s="66" t="s">
        <v>395</v>
      </c>
      <c r="B14" s="29" t="s">
        <v>170</v>
      </c>
      <c r="C14" s="17" t="s">
        <v>37</v>
      </c>
      <c r="D14" s="17" t="s">
        <v>126</v>
      </c>
      <c r="E14" s="271" t="s">
        <v>772</v>
      </c>
      <c r="F14" s="274" t="s">
        <v>772</v>
      </c>
      <c r="G14" s="268">
        <v>0</v>
      </c>
      <c r="H14" s="268">
        <v>102758.73</v>
      </c>
      <c r="I14" s="268">
        <v>92109.35</v>
      </c>
      <c r="J14" s="268">
        <v>94783.98</v>
      </c>
      <c r="K14" s="268">
        <v>76923.570000000007</v>
      </c>
      <c r="L14" s="412">
        <v>0</v>
      </c>
      <c r="M14" s="267">
        <v>0</v>
      </c>
      <c r="N14" s="268">
        <v>0</v>
      </c>
      <c r="O14" s="269">
        <f t="shared" si="10"/>
        <v>0</v>
      </c>
      <c r="P14" s="267">
        <v>0</v>
      </c>
      <c r="Q14" s="268">
        <v>0</v>
      </c>
      <c r="R14" s="269">
        <f t="shared" si="11"/>
        <v>0</v>
      </c>
      <c r="S14" s="267">
        <v>0</v>
      </c>
      <c r="T14" s="268">
        <v>0</v>
      </c>
      <c r="U14" s="269">
        <f t="shared" si="12"/>
        <v>0</v>
      </c>
      <c r="V14" s="267">
        <v>0</v>
      </c>
      <c r="W14" s="268">
        <v>0</v>
      </c>
      <c r="X14" s="270">
        <f t="shared" si="13"/>
        <v>0</v>
      </c>
      <c r="Y14" s="58">
        <f t="shared" si="14"/>
        <v>0</v>
      </c>
    </row>
    <row r="15" spans="1:25" ht="14.25" customHeight="1" x14ac:dyDescent="0.2">
      <c r="A15" s="66" t="s">
        <v>396</v>
      </c>
      <c r="B15" s="29" t="s">
        <v>170</v>
      </c>
      <c r="C15" s="17" t="s">
        <v>39</v>
      </c>
      <c r="D15" s="17" t="s">
        <v>126</v>
      </c>
      <c r="E15" s="271" t="s">
        <v>772</v>
      </c>
      <c r="F15" s="274" t="s">
        <v>772</v>
      </c>
      <c r="G15" s="268">
        <v>0</v>
      </c>
      <c r="H15" s="268">
        <v>251.89</v>
      </c>
      <c r="I15" s="268">
        <v>69.42</v>
      </c>
      <c r="J15" s="268">
        <f>197743.87-197743.87</f>
        <v>0</v>
      </c>
      <c r="K15" s="268">
        <v>1458.73</v>
      </c>
      <c r="L15" s="412">
        <v>0</v>
      </c>
      <c r="M15" s="267">
        <v>0</v>
      </c>
      <c r="N15" s="268">
        <v>0</v>
      </c>
      <c r="O15" s="269">
        <f t="shared" si="10"/>
        <v>0</v>
      </c>
      <c r="P15" s="267">
        <v>0</v>
      </c>
      <c r="Q15" s="268">
        <v>0</v>
      </c>
      <c r="R15" s="269">
        <f t="shared" si="11"/>
        <v>0</v>
      </c>
      <c r="S15" s="267">
        <v>0</v>
      </c>
      <c r="T15" s="268">
        <v>0</v>
      </c>
      <c r="U15" s="269">
        <f t="shared" si="12"/>
        <v>0</v>
      </c>
      <c r="V15" s="267">
        <v>0</v>
      </c>
      <c r="W15" s="268">
        <v>0</v>
      </c>
      <c r="X15" s="270">
        <f t="shared" si="13"/>
        <v>0</v>
      </c>
      <c r="Y15" s="58">
        <f t="shared" si="14"/>
        <v>0</v>
      </c>
    </row>
    <row r="16" spans="1:25" ht="14.25" customHeight="1" x14ac:dyDescent="0.2">
      <c r="A16" s="66" t="s">
        <v>397</v>
      </c>
      <c r="B16" s="29" t="s">
        <v>170</v>
      </c>
      <c r="C16" s="17" t="s">
        <v>29</v>
      </c>
      <c r="D16" s="17" t="s">
        <v>63</v>
      </c>
      <c r="E16" s="271" t="s">
        <v>772</v>
      </c>
      <c r="F16" s="274" t="s">
        <v>772</v>
      </c>
      <c r="G16" s="268">
        <v>0</v>
      </c>
      <c r="H16" s="268">
        <v>149291.53</v>
      </c>
      <c r="I16" s="268">
        <v>182193.78</v>
      </c>
      <c r="J16" s="268">
        <v>1020.15</v>
      </c>
      <c r="K16" s="268">
        <v>1560.5</v>
      </c>
      <c r="L16" s="412">
        <v>0</v>
      </c>
      <c r="M16" s="267">
        <v>0</v>
      </c>
      <c r="N16" s="268">
        <v>0</v>
      </c>
      <c r="O16" s="269">
        <f t="shared" si="10"/>
        <v>0</v>
      </c>
      <c r="P16" s="267">
        <v>0</v>
      </c>
      <c r="Q16" s="268">
        <v>0</v>
      </c>
      <c r="R16" s="269">
        <f t="shared" si="11"/>
        <v>0</v>
      </c>
      <c r="S16" s="267">
        <v>0</v>
      </c>
      <c r="T16" s="268">
        <v>0</v>
      </c>
      <c r="U16" s="269">
        <f t="shared" si="12"/>
        <v>0</v>
      </c>
      <c r="V16" s="267">
        <v>0</v>
      </c>
      <c r="W16" s="268">
        <v>0</v>
      </c>
      <c r="X16" s="270">
        <f t="shared" si="13"/>
        <v>0</v>
      </c>
      <c r="Y16" s="58">
        <f t="shared" si="14"/>
        <v>0</v>
      </c>
    </row>
    <row r="17" spans="1:26" s="432" customFormat="1" ht="14.25" customHeight="1" x14ac:dyDescent="0.2">
      <c r="A17" s="281" t="s">
        <v>1301</v>
      </c>
      <c r="B17" s="29" t="s">
        <v>170</v>
      </c>
      <c r="C17" s="435" t="s">
        <v>29</v>
      </c>
      <c r="D17" s="435" t="s">
        <v>692</v>
      </c>
      <c r="E17" s="416" t="s">
        <v>772</v>
      </c>
      <c r="F17" s="275" t="s">
        <v>772</v>
      </c>
      <c r="G17" s="441">
        <v>0</v>
      </c>
      <c r="H17" s="441">
        <v>553316.34</v>
      </c>
      <c r="I17" s="441">
        <v>550669.53</v>
      </c>
      <c r="J17" s="441">
        <v>528464.89</v>
      </c>
      <c r="K17" s="441">
        <f>4.85+127.59+0.26+19.84+1045.26+231.68+4127.45+440.94+3018.9+62.76+366981.27</f>
        <v>376060.80000000005</v>
      </c>
      <c r="L17" s="433">
        <v>0</v>
      </c>
      <c r="M17" s="267">
        <v>0</v>
      </c>
      <c r="N17" s="441">
        <v>0</v>
      </c>
      <c r="O17" s="269">
        <f t="shared" ref="O17" si="15">N17*M17</f>
        <v>0</v>
      </c>
      <c r="P17" s="267">
        <v>0</v>
      </c>
      <c r="Q17" s="441">
        <v>0</v>
      </c>
      <c r="R17" s="269">
        <f t="shared" ref="R17" si="16">Q17*P17</f>
        <v>0</v>
      </c>
      <c r="S17" s="267">
        <v>0</v>
      </c>
      <c r="T17" s="441">
        <v>0</v>
      </c>
      <c r="U17" s="269">
        <f t="shared" ref="U17" si="17">T17*S17</f>
        <v>0</v>
      </c>
      <c r="V17" s="267">
        <v>0</v>
      </c>
      <c r="W17" s="441">
        <v>0</v>
      </c>
      <c r="X17" s="270">
        <f t="shared" ref="X17" si="18">W17*V17</f>
        <v>0</v>
      </c>
      <c r="Y17" s="437">
        <f t="shared" ref="Y17" si="19">X17+U17+R17+O17</f>
        <v>0</v>
      </c>
    </row>
    <row r="18" spans="1:26" ht="14.25" customHeight="1" x14ac:dyDescent="0.2">
      <c r="A18" s="66"/>
      <c r="B18" s="29"/>
      <c r="C18" s="17"/>
      <c r="D18" s="17"/>
      <c r="E18" s="66"/>
      <c r="F18" s="259"/>
      <c r="G18" s="14"/>
      <c r="H18" s="14"/>
      <c r="I18" s="14"/>
      <c r="J18" s="14"/>
      <c r="K18" s="14"/>
      <c r="L18" s="15"/>
      <c r="M18" s="13"/>
      <c r="N18" s="14"/>
      <c r="O18" s="15"/>
      <c r="P18" s="13"/>
      <c r="Q18" s="14"/>
      <c r="R18" s="15"/>
      <c r="S18" s="13"/>
      <c r="T18" s="14"/>
      <c r="U18" s="15"/>
      <c r="V18" s="13"/>
      <c r="W18" s="14"/>
      <c r="X18" s="54"/>
      <c r="Y18" s="58"/>
    </row>
    <row r="19" spans="1:26" ht="14.25" customHeight="1" x14ac:dyDescent="0.2">
      <c r="A19" s="66"/>
      <c r="B19" s="69" t="s">
        <v>1461</v>
      </c>
      <c r="C19" s="17"/>
      <c r="D19" s="17"/>
      <c r="E19" s="276"/>
      <c r="F19" s="277"/>
      <c r="G19" s="251">
        <f t="shared" ref="G19:L19" si="20">SUM(G20:G34)</f>
        <v>2195179.37</v>
      </c>
      <c r="H19" s="251">
        <f t="shared" si="20"/>
        <v>2211249</v>
      </c>
      <c r="I19" s="251">
        <f t="shared" si="20"/>
        <v>977111.22</v>
      </c>
      <c r="J19" s="251">
        <f t="shared" si="20"/>
        <v>300048.25</v>
      </c>
      <c r="K19" s="251">
        <f t="shared" si="20"/>
        <v>306600</v>
      </c>
      <c r="L19" s="249">
        <f t="shared" si="20"/>
        <v>1895179.3699999999</v>
      </c>
      <c r="M19" s="13"/>
      <c r="N19" s="14"/>
      <c r="O19" s="249">
        <f>SUM(O20:O34)</f>
        <v>225955.25</v>
      </c>
      <c r="P19" s="250"/>
      <c r="Q19" s="251"/>
      <c r="R19" s="249">
        <f>SUM(R20:R34)</f>
        <v>225955.25</v>
      </c>
      <c r="S19" s="250"/>
      <c r="T19" s="251"/>
      <c r="U19" s="249">
        <f>SUM(U20:U34)</f>
        <v>225955.25</v>
      </c>
      <c r="V19" s="250"/>
      <c r="W19" s="251"/>
      <c r="X19" s="252">
        <f>SUM(X20:X34)</f>
        <v>225955.25</v>
      </c>
      <c r="Y19" s="253">
        <f>SUM(Y20:Y34)</f>
        <v>903821</v>
      </c>
    </row>
    <row r="20" spans="1:26" ht="14.25" customHeight="1" x14ac:dyDescent="0.2">
      <c r="A20" s="66" t="s">
        <v>423</v>
      </c>
      <c r="B20" s="70" t="s">
        <v>171</v>
      </c>
      <c r="C20" s="17" t="s">
        <v>39</v>
      </c>
      <c r="D20" s="17" t="s">
        <v>114</v>
      </c>
      <c r="E20" s="416" t="s">
        <v>786</v>
      </c>
      <c r="F20" s="274"/>
      <c r="G20" s="418"/>
      <c r="H20" s="384">
        <v>2211249</v>
      </c>
      <c r="I20" s="384">
        <v>842460.97</v>
      </c>
      <c r="J20" s="384">
        <v>300000</v>
      </c>
      <c r="K20" s="384">
        <v>0</v>
      </c>
      <c r="L20" s="382">
        <v>0</v>
      </c>
      <c r="M20" s="267"/>
      <c r="N20" s="441"/>
      <c r="O20" s="269">
        <v>0</v>
      </c>
      <c r="P20" s="267"/>
      <c r="Q20" s="441"/>
      <c r="R20" s="269">
        <v>0</v>
      </c>
      <c r="S20" s="267"/>
      <c r="T20" s="441"/>
      <c r="U20" s="269">
        <v>0</v>
      </c>
      <c r="V20" s="267"/>
      <c r="W20" s="441"/>
      <c r="X20" s="270">
        <v>0</v>
      </c>
      <c r="Y20" s="58">
        <f t="shared" si="14"/>
        <v>0</v>
      </c>
    </row>
    <row r="21" spans="1:26" ht="14.25" customHeight="1" x14ac:dyDescent="0.2">
      <c r="A21" s="66" t="s">
        <v>423</v>
      </c>
      <c r="B21" s="70" t="s">
        <v>171</v>
      </c>
      <c r="C21" s="17" t="s">
        <v>39</v>
      </c>
      <c r="D21" s="17" t="s">
        <v>114</v>
      </c>
      <c r="E21" s="415">
        <v>2013</v>
      </c>
      <c r="F21" s="274">
        <f>E21+5</f>
        <v>2018</v>
      </c>
      <c r="G21" s="418">
        <f>124499.9</f>
        <v>124499.9</v>
      </c>
      <c r="H21" s="384">
        <v>0</v>
      </c>
      <c r="I21" s="384">
        <v>0</v>
      </c>
      <c r="J21" s="384">
        <v>0</v>
      </c>
      <c r="K21" s="384">
        <v>0</v>
      </c>
      <c r="L21" s="382">
        <f t="shared" ref="L21:L24" si="21">G21-K21</f>
        <v>124499.9</v>
      </c>
      <c r="M21" s="267">
        <v>100667.16</v>
      </c>
      <c r="N21" s="441">
        <v>1</v>
      </c>
      <c r="O21" s="269">
        <f>N21*M21</f>
        <v>100667.16</v>
      </c>
      <c r="P21" s="267"/>
      <c r="Q21" s="441"/>
      <c r="R21" s="269">
        <v>0</v>
      </c>
      <c r="S21" s="267"/>
      <c r="T21" s="441"/>
      <c r="U21" s="269">
        <v>0</v>
      </c>
      <c r="V21" s="267"/>
      <c r="W21" s="441"/>
      <c r="X21" s="270">
        <v>0</v>
      </c>
      <c r="Y21" s="749">
        <f t="shared" ref="Y21:Y23" si="22">X21+U21+R21+O21</f>
        <v>100667.16</v>
      </c>
      <c r="Z21" t="s">
        <v>1287</v>
      </c>
    </row>
    <row r="22" spans="1:26" ht="14.25" customHeight="1" x14ac:dyDescent="0.2">
      <c r="A22" s="66" t="s">
        <v>423</v>
      </c>
      <c r="B22" s="70" t="s">
        <v>171</v>
      </c>
      <c r="C22" s="17" t="s">
        <v>39</v>
      </c>
      <c r="D22" s="17" t="s">
        <v>114</v>
      </c>
      <c r="E22" s="415">
        <v>2014</v>
      </c>
      <c r="F22" s="274">
        <f t="shared" ref="F22:F33" si="23">E22+5</f>
        <v>2019</v>
      </c>
      <c r="G22" s="418">
        <f>745654.7+142088.31</f>
        <v>887743.01</v>
      </c>
      <c r="H22" s="384">
        <v>0</v>
      </c>
      <c r="I22" s="384">
        <v>0</v>
      </c>
      <c r="J22" s="384">
        <v>0</v>
      </c>
      <c r="K22" s="384">
        <v>142088.31</v>
      </c>
      <c r="L22" s="382">
        <f t="shared" si="21"/>
        <v>745654.7</v>
      </c>
      <c r="M22" s="267">
        <v>0</v>
      </c>
      <c r="N22" s="441">
        <v>1</v>
      </c>
      <c r="O22" s="269">
        <f t="shared" ref="O22:O23" si="24">N22*M22</f>
        <v>0</v>
      </c>
      <c r="P22" s="267">
        <v>100000</v>
      </c>
      <c r="Q22" s="441">
        <v>1</v>
      </c>
      <c r="R22" s="269">
        <v>100000</v>
      </c>
      <c r="S22" s="267">
        <v>100000</v>
      </c>
      <c r="T22" s="441">
        <v>1</v>
      </c>
      <c r="U22" s="269">
        <v>100000</v>
      </c>
      <c r="V22" s="267">
        <v>100000</v>
      </c>
      <c r="W22" s="441">
        <v>1</v>
      </c>
      <c r="X22" s="270">
        <v>100000</v>
      </c>
      <c r="Y22" s="749">
        <f t="shared" si="22"/>
        <v>300000</v>
      </c>
      <c r="Z22" t="s">
        <v>1287</v>
      </c>
    </row>
    <row r="23" spans="1:26" ht="14.25" customHeight="1" x14ac:dyDescent="0.2">
      <c r="A23" s="66" t="s">
        <v>423</v>
      </c>
      <c r="B23" s="70" t="s">
        <v>171</v>
      </c>
      <c r="C23" s="17" t="s">
        <v>39</v>
      </c>
      <c r="D23" s="17" t="s">
        <v>114</v>
      </c>
      <c r="E23" s="415">
        <v>2015</v>
      </c>
      <c r="F23" s="274">
        <f t="shared" si="23"/>
        <v>2020</v>
      </c>
      <c r="G23" s="418">
        <f>217327.95+651593</f>
        <v>868920.95</v>
      </c>
      <c r="H23" s="384">
        <v>0</v>
      </c>
      <c r="I23" s="384">
        <v>0</v>
      </c>
      <c r="J23" s="384">
        <v>0</v>
      </c>
      <c r="K23" s="384">
        <v>157911.69</v>
      </c>
      <c r="L23" s="382">
        <f t="shared" si="21"/>
        <v>711009.26</v>
      </c>
      <c r="M23" s="267">
        <v>24332.84</v>
      </c>
      <c r="N23" s="441">
        <v>1</v>
      </c>
      <c r="O23" s="269">
        <f t="shared" si="24"/>
        <v>24332.84</v>
      </c>
      <c r="P23" s="267">
        <v>25000</v>
      </c>
      <c r="Q23" s="441">
        <v>1</v>
      </c>
      <c r="R23" s="269">
        <v>25000</v>
      </c>
      <c r="S23" s="267">
        <v>25000</v>
      </c>
      <c r="T23" s="441">
        <v>1</v>
      </c>
      <c r="U23" s="269">
        <v>25000</v>
      </c>
      <c r="V23" s="267">
        <v>25000</v>
      </c>
      <c r="W23" s="441">
        <v>1</v>
      </c>
      <c r="X23" s="270">
        <v>25000</v>
      </c>
      <c r="Y23" s="749">
        <f t="shared" si="22"/>
        <v>99332.84</v>
      </c>
      <c r="Z23" t="s">
        <v>1287</v>
      </c>
    </row>
    <row r="24" spans="1:26" ht="14.25" customHeight="1" x14ac:dyDescent="0.2">
      <c r="A24" s="66" t="s">
        <v>423</v>
      </c>
      <c r="B24" s="70" t="s">
        <v>171</v>
      </c>
      <c r="C24" s="17" t="s">
        <v>39</v>
      </c>
      <c r="D24" s="17" t="s">
        <v>114</v>
      </c>
      <c r="E24" s="415">
        <v>2016</v>
      </c>
      <c r="F24" s="274">
        <f t="shared" si="23"/>
        <v>2021</v>
      </c>
      <c r="G24" s="441">
        <v>14015.51</v>
      </c>
      <c r="H24" s="384">
        <v>0</v>
      </c>
      <c r="I24" s="384">
        <v>0</v>
      </c>
      <c r="J24" s="384">
        <v>0</v>
      </c>
      <c r="K24" s="418">
        <v>0</v>
      </c>
      <c r="L24" s="382">
        <f t="shared" si="21"/>
        <v>14015.51</v>
      </c>
      <c r="M24" s="267"/>
      <c r="N24" s="441"/>
      <c r="O24" s="269">
        <v>0</v>
      </c>
      <c r="P24" s="267"/>
      <c r="Q24" s="441"/>
      <c r="R24" s="269">
        <v>0</v>
      </c>
      <c r="S24" s="267"/>
      <c r="T24" s="441"/>
      <c r="U24" s="269">
        <v>0</v>
      </c>
      <c r="V24" s="267"/>
      <c r="W24" s="441"/>
      <c r="X24" s="270">
        <v>0</v>
      </c>
      <c r="Y24" s="749">
        <f t="shared" ref="Y24" si="25">X24+U24+R24+O24</f>
        <v>0</v>
      </c>
    </row>
    <row r="25" spans="1:26" s="432" customFormat="1" ht="14.25" customHeight="1" x14ac:dyDescent="0.2">
      <c r="A25" s="438" t="s">
        <v>1601</v>
      </c>
      <c r="B25" s="70" t="s">
        <v>171</v>
      </c>
      <c r="C25" s="435" t="s">
        <v>39</v>
      </c>
      <c r="D25" s="435" t="s">
        <v>1459</v>
      </c>
      <c r="E25" s="415">
        <v>2016</v>
      </c>
      <c r="F25" s="274"/>
      <c r="G25" s="441">
        <v>300000</v>
      </c>
      <c r="H25" s="441">
        <v>0</v>
      </c>
      <c r="I25" s="441">
        <v>0</v>
      </c>
      <c r="J25" s="441">
        <v>0</v>
      </c>
      <c r="K25" s="441">
        <v>0</v>
      </c>
      <c r="L25" s="433">
        <f>G25-SUM(H25:K25)</f>
        <v>300000</v>
      </c>
      <c r="M25" s="267">
        <f>90000/12</f>
        <v>7500</v>
      </c>
      <c r="N25" s="441">
        <v>3</v>
      </c>
      <c r="O25" s="269">
        <f>N25*M25</f>
        <v>22500</v>
      </c>
      <c r="P25" s="267">
        <f>90000/12</f>
        <v>7500</v>
      </c>
      <c r="Q25" s="441">
        <v>3</v>
      </c>
      <c r="R25" s="269">
        <f>Q25*P25</f>
        <v>22500</v>
      </c>
      <c r="S25" s="267">
        <f>90000/12</f>
        <v>7500</v>
      </c>
      <c r="T25" s="441">
        <v>3</v>
      </c>
      <c r="U25" s="269">
        <f>T25*S25</f>
        <v>22500</v>
      </c>
      <c r="V25" s="267">
        <f>90000/12</f>
        <v>7500</v>
      </c>
      <c r="W25" s="441">
        <v>3</v>
      </c>
      <c r="X25" s="270">
        <f>W25*V25</f>
        <v>22500</v>
      </c>
      <c r="Y25" s="749">
        <f t="shared" si="14"/>
        <v>90000</v>
      </c>
      <c r="Z25" s="432" t="s">
        <v>1287</v>
      </c>
    </row>
    <row r="26" spans="1:26" ht="14.25" customHeight="1" x14ac:dyDescent="0.2">
      <c r="A26" s="66" t="s">
        <v>424</v>
      </c>
      <c r="B26" s="29" t="s">
        <v>178</v>
      </c>
      <c r="C26" s="71" t="s">
        <v>39</v>
      </c>
      <c r="D26" s="71" t="s">
        <v>114</v>
      </c>
      <c r="E26" s="416">
        <v>2016</v>
      </c>
      <c r="F26" s="275" t="s">
        <v>772</v>
      </c>
      <c r="G26" s="417">
        <v>0</v>
      </c>
      <c r="H26" s="385">
        <v>0</v>
      </c>
      <c r="I26" s="385">
        <v>0</v>
      </c>
      <c r="J26" s="385">
        <v>0</v>
      </c>
      <c r="K26" s="385">
        <v>0</v>
      </c>
      <c r="L26" s="383">
        <v>0</v>
      </c>
      <c r="M26" s="267">
        <v>2500</v>
      </c>
      <c r="N26" s="441">
        <v>0</v>
      </c>
      <c r="O26" s="269">
        <f>N26*M26</f>
        <v>0</v>
      </c>
      <c r="P26" s="267"/>
      <c r="Q26" s="441"/>
      <c r="R26" s="269">
        <f t="shared" ref="R26:R29" si="26">Q26*P26</f>
        <v>0</v>
      </c>
      <c r="S26" s="267">
        <v>2500</v>
      </c>
      <c r="T26" s="441">
        <v>0</v>
      </c>
      <c r="U26" s="269">
        <f>T26*S26</f>
        <v>0</v>
      </c>
      <c r="V26" s="267">
        <v>2000</v>
      </c>
      <c r="W26" s="441">
        <v>0</v>
      </c>
      <c r="X26" s="270">
        <f t="shared" ref="X26:X29" si="27">W26*V26</f>
        <v>0</v>
      </c>
      <c r="Y26" s="749">
        <f t="shared" si="14"/>
        <v>0</v>
      </c>
      <c r="Z26" s="367"/>
    </row>
    <row r="27" spans="1:26" ht="14.25" customHeight="1" x14ac:dyDescent="0.2">
      <c r="A27" s="66" t="s">
        <v>424</v>
      </c>
      <c r="B27" s="29" t="s">
        <v>178</v>
      </c>
      <c r="C27" s="71" t="s">
        <v>39</v>
      </c>
      <c r="D27" s="71" t="s">
        <v>114</v>
      </c>
      <c r="E27" s="416">
        <v>2017</v>
      </c>
      <c r="F27" s="275" t="s">
        <v>772</v>
      </c>
      <c r="G27" s="417">
        <v>0</v>
      </c>
      <c r="H27" s="385">
        <v>0</v>
      </c>
      <c r="I27" s="385">
        <v>0</v>
      </c>
      <c r="J27" s="385">
        <v>0</v>
      </c>
      <c r="K27" s="385">
        <v>0</v>
      </c>
      <c r="L27" s="383">
        <v>0</v>
      </c>
      <c r="M27" s="267"/>
      <c r="N27" s="441"/>
      <c r="O27" s="269">
        <f t="shared" ref="O27:O29" si="28">N27*M27</f>
        <v>0</v>
      </c>
      <c r="P27" s="267"/>
      <c r="Q27" s="441"/>
      <c r="R27" s="269">
        <f t="shared" si="26"/>
        <v>0</v>
      </c>
      <c r="S27" s="267"/>
      <c r="T27" s="441"/>
      <c r="U27" s="269">
        <f t="shared" ref="U27:U29" si="29">T27*S27</f>
        <v>0</v>
      </c>
      <c r="V27" s="267"/>
      <c r="W27" s="441"/>
      <c r="X27" s="270">
        <f t="shared" si="27"/>
        <v>0</v>
      </c>
      <c r="Y27" s="749">
        <f t="shared" ref="Y27:Y28" si="30">X27+U27+R27+O27</f>
        <v>0</v>
      </c>
    </row>
    <row r="28" spans="1:26" s="398" customFormat="1" ht="14.25" customHeight="1" x14ac:dyDescent="0.2">
      <c r="A28" s="392" t="s">
        <v>425</v>
      </c>
      <c r="B28" s="70" t="s">
        <v>179</v>
      </c>
      <c r="C28" s="401" t="s">
        <v>39</v>
      </c>
      <c r="D28" s="401" t="s">
        <v>114</v>
      </c>
      <c r="E28" s="416">
        <v>2016</v>
      </c>
      <c r="F28" s="275" t="s">
        <v>772</v>
      </c>
      <c r="G28" s="417">
        <v>0</v>
      </c>
      <c r="H28" s="417">
        <v>0</v>
      </c>
      <c r="I28" s="417">
        <v>0</v>
      </c>
      <c r="J28" s="417">
        <f>40200-36000-4200</f>
        <v>0</v>
      </c>
      <c r="K28" s="417">
        <v>2100</v>
      </c>
      <c r="L28" s="413">
        <v>0</v>
      </c>
      <c r="M28" s="267"/>
      <c r="N28" s="441"/>
      <c r="O28" s="269">
        <f t="shared" si="28"/>
        <v>0</v>
      </c>
      <c r="P28" s="267"/>
      <c r="Q28" s="441"/>
      <c r="R28" s="269">
        <f t="shared" si="26"/>
        <v>0</v>
      </c>
      <c r="S28" s="267"/>
      <c r="T28" s="441"/>
      <c r="U28" s="269">
        <f t="shared" si="29"/>
        <v>0</v>
      </c>
      <c r="V28" s="267"/>
      <c r="W28" s="441"/>
      <c r="X28" s="270">
        <f t="shared" si="27"/>
        <v>0</v>
      </c>
      <c r="Y28" s="749">
        <f t="shared" si="30"/>
        <v>0</v>
      </c>
    </row>
    <row r="29" spans="1:26" ht="14.25" customHeight="1" x14ac:dyDescent="0.2">
      <c r="A29" s="66" t="s">
        <v>425</v>
      </c>
      <c r="B29" s="70" t="s">
        <v>179</v>
      </c>
      <c r="C29" s="71" t="s">
        <v>39</v>
      </c>
      <c r="D29" s="71" t="s">
        <v>114</v>
      </c>
      <c r="E29" s="416">
        <v>2017</v>
      </c>
      <c r="F29" s="275" t="s">
        <v>772</v>
      </c>
      <c r="G29" s="417">
        <v>0</v>
      </c>
      <c r="H29" s="385">
        <v>0</v>
      </c>
      <c r="I29" s="385">
        <v>0</v>
      </c>
      <c r="J29" s="385">
        <v>0</v>
      </c>
      <c r="K29" s="385">
        <v>0</v>
      </c>
      <c r="L29" s="383">
        <v>0</v>
      </c>
      <c r="M29" s="267">
        <v>2500</v>
      </c>
      <c r="N29" s="441"/>
      <c r="O29" s="269">
        <f t="shared" si="28"/>
        <v>0</v>
      </c>
      <c r="P29" s="267">
        <v>0</v>
      </c>
      <c r="Q29" s="441"/>
      <c r="R29" s="269">
        <f t="shared" si="26"/>
        <v>0</v>
      </c>
      <c r="S29" s="267">
        <v>2500</v>
      </c>
      <c r="T29" s="441"/>
      <c r="U29" s="269">
        <f t="shared" si="29"/>
        <v>0</v>
      </c>
      <c r="V29" s="267">
        <v>2000</v>
      </c>
      <c r="W29" s="441"/>
      <c r="X29" s="270">
        <f t="shared" si="27"/>
        <v>0</v>
      </c>
      <c r="Y29" s="749">
        <f t="shared" si="14"/>
        <v>0</v>
      </c>
      <c r="Z29" s="367"/>
    </row>
    <row r="30" spans="1:26" ht="14.25" customHeight="1" x14ac:dyDescent="0.2">
      <c r="A30" s="66" t="s">
        <v>426</v>
      </c>
      <c r="B30" s="29" t="s">
        <v>180</v>
      </c>
      <c r="C30" s="71" t="s">
        <v>39</v>
      </c>
      <c r="D30" s="71" t="s">
        <v>114</v>
      </c>
      <c r="E30" s="416">
        <v>2016</v>
      </c>
      <c r="F30" s="275" t="s">
        <v>772</v>
      </c>
      <c r="G30" s="417">
        <v>0</v>
      </c>
      <c r="H30" s="385">
        <v>0</v>
      </c>
      <c r="I30" s="385">
        <v>0</v>
      </c>
      <c r="J30" s="385">
        <f>27500-22500-5000</f>
        <v>0</v>
      </c>
      <c r="K30" s="385">
        <v>4500</v>
      </c>
      <c r="L30" s="383">
        <v>0</v>
      </c>
      <c r="M30" s="267">
        <v>4500</v>
      </c>
      <c r="N30" s="441"/>
      <c r="O30" s="269">
        <f>N30*M30</f>
        <v>0</v>
      </c>
      <c r="P30" s="267">
        <v>4500</v>
      </c>
      <c r="Q30" s="441"/>
      <c r="R30" s="269">
        <f>Q30*P30</f>
        <v>0</v>
      </c>
      <c r="S30" s="267">
        <v>4500</v>
      </c>
      <c r="T30" s="441"/>
      <c r="U30" s="269">
        <f>T30*S30</f>
        <v>0</v>
      </c>
      <c r="V30" s="267">
        <v>4500</v>
      </c>
      <c r="W30" s="441"/>
      <c r="X30" s="270">
        <f>W30*V30</f>
        <v>0</v>
      </c>
      <c r="Y30" s="750">
        <f t="shared" si="14"/>
        <v>0</v>
      </c>
      <c r="Z30" s="367"/>
    </row>
    <row r="31" spans="1:26" ht="14.25" customHeight="1" x14ac:dyDescent="0.2">
      <c r="A31" s="66" t="s">
        <v>426</v>
      </c>
      <c r="B31" s="29" t="s">
        <v>180</v>
      </c>
      <c r="C31" s="71" t="s">
        <v>39</v>
      </c>
      <c r="D31" s="71" t="s">
        <v>114</v>
      </c>
      <c r="E31" s="416">
        <v>2017</v>
      </c>
      <c r="F31" s="275" t="s">
        <v>772</v>
      </c>
      <c r="G31" s="417">
        <v>0</v>
      </c>
      <c r="H31" s="385">
        <v>0</v>
      </c>
      <c r="I31" s="385">
        <v>0</v>
      </c>
      <c r="J31" s="385">
        <v>0</v>
      </c>
      <c r="K31" s="385">
        <v>0</v>
      </c>
      <c r="L31" s="383">
        <v>0</v>
      </c>
      <c r="M31" s="267">
        <v>4500</v>
      </c>
      <c r="N31" s="441"/>
      <c r="O31" s="269">
        <f>N31*M31</f>
        <v>0</v>
      </c>
      <c r="P31" s="267">
        <v>4500</v>
      </c>
      <c r="Q31" s="441"/>
      <c r="R31" s="269">
        <f>Q31*P31</f>
        <v>0</v>
      </c>
      <c r="S31" s="267">
        <v>4500</v>
      </c>
      <c r="T31" s="441"/>
      <c r="U31" s="269">
        <f>T31*S31</f>
        <v>0</v>
      </c>
      <c r="V31" s="267">
        <v>4500</v>
      </c>
      <c r="W31" s="441"/>
      <c r="X31" s="270">
        <f t="shared" ref="X31:X33" si="31">W31*V31</f>
        <v>0</v>
      </c>
      <c r="Y31" s="750">
        <f t="shared" ref="Y31" si="32">X31+U31+R31+O31</f>
        <v>0</v>
      </c>
    </row>
    <row r="32" spans="1:26" s="432" customFormat="1" ht="14.25" customHeight="1" x14ac:dyDescent="0.2">
      <c r="A32" s="438" t="s">
        <v>426</v>
      </c>
      <c r="B32" s="29" t="s">
        <v>1564</v>
      </c>
      <c r="C32" s="439" t="s">
        <v>39</v>
      </c>
      <c r="D32" s="439" t="s">
        <v>114</v>
      </c>
      <c r="E32" s="416">
        <v>2017</v>
      </c>
      <c r="F32" s="275" t="s">
        <v>772</v>
      </c>
      <c r="G32" s="417">
        <v>0</v>
      </c>
      <c r="H32" s="417">
        <v>0</v>
      </c>
      <c r="I32" s="417">
        <v>0</v>
      </c>
      <c r="J32" s="417">
        <v>0</v>
      </c>
      <c r="K32" s="417">
        <v>0</v>
      </c>
      <c r="L32" s="413">
        <v>0</v>
      </c>
      <c r="M32" s="267">
        <f>1000/3</f>
        <v>333.33333333333331</v>
      </c>
      <c r="N32" s="441">
        <v>3</v>
      </c>
      <c r="O32" s="269">
        <f>N32*M32</f>
        <v>1000</v>
      </c>
      <c r="P32" s="267">
        <f>1000/3</f>
        <v>333.33333333333331</v>
      </c>
      <c r="Q32" s="441">
        <v>3</v>
      </c>
      <c r="R32" s="269">
        <f>Q32*P32</f>
        <v>1000</v>
      </c>
      <c r="S32" s="267">
        <f>1000/3</f>
        <v>333.33333333333331</v>
      </c>
      <c r="T32" s="441">
        <v>3</v>
      </c>
      <c r="U32" s="269">
        <f>T32*S32</f>
        <v>1000</v>
      </c>
      <c r="V32" s="267">
        <f>1000/3</f>
        <v>333.33333333333331</v>
      </c>
      <c r="W32" s="441">
        <v>3</v>
      </c>
      <c r="X32" s="270">
        <f t="shared" ref="X32" si="33">W32*V32</f>
        <v>1000</v>
      </c>
      <c r="Y32" s="750">
        <f t="shared" ref="Y32" si="34">X32+U32+R32+O32</f>
        <v>4000</v>
      </c>
      <c r="Z32" s="432" t="s">
        <v>1287</v>
      </c>
    </row>
    <row r="33" spans="1:26" ht="14.25" customHeight="1" x14ac:dyDescent="0.2">
      <c r="A33" s="66" t="s">
        <v>406</v>
      </c>
      <c r="B33" s="29" t="s">
        <v>174</v>
      </c>
      <c r="C33" s="71" t="s">
        <v>39</v>
      </c>
      <c r="D33" s="71" t="s">
        <v>114</v>
      </c>
      <c r="E33" s="416">
        <v>2017</v>
      </c>
      <c r="F33" s="275">
        <f t="shared" si="23"/>
        <v>2022</v>
      </c>
      <c r="G33" s="417">
        <v>0</v>
      </c>
      <c r="H33" s="385">
        <f>2155200.11-2155200.11</f>
        <v>0</v>
      </c>
      <c r="I33" s="385">
        <v>134650.25</v>
      </c>
      <c r="J33" s="385">
        <v>48.25</v>
      </c>
      <c r="K33" s="385">
        <v>0</v>
      </c>
      <c r="L33" s="383">
        <v>0</v>
      </c>
      <c r="M33" s="267">
        <f>77455.25/3</f>
        <v>25818.416666666668</v>
      </c>
      <c r="N33" s="441">
        <v>3</v>
      </c>
      <c r="O33" s="269">
        <f>N33*M33</f>
        <v>77455.25</v>
      </c>
      <c r="P33" s="267">
        <f>77455.25/3</f>
        <v>25818.416666666668</v>
      </c>
      <c r="Q33" s="441">
        <v>3</v>
      </c>
      <c r="R33" s="269">
        <f>Q33*P33</f>
        <v>77455.25</v>
      </c>
      <c r="S33" s="267">
        <f>77455.25/3</f>
        <v>25818.416666666668</v>
      </c>
      <c r="T33" s="441">
        <v>3</v>
      </c>
      <c r="U33" s="269">
        <f>T33*S33</f>
        <v>77455.25</v>
      </c>
      <c r="V33" s="267">
        <f>77455.25/3</f>
        <v>25818.416666666668</v>
      </c>
      <c r="W33" s="441">
        <v>3</v>
      </c>
      <c r="X33" s="270">
        <f t="shared" si="31"/>
        <v>77455.25</v>
      </c>
      <c r="Y33" s="749">
        <f t="shared" si="14"/>
        <v>309821</v>
      </c>
      <c r="Z33" t="s">
        <v>1287</v>
      </c>
    </row>
    <row r="34" spans="1:26" ht="14.25" customHeight="1" x14ac:dyDescent="0.2">
      <c r="A34" s="402" t="s">
        <v>1274</v>
      </c>
      <c r="B34" s="16" t="s">
        <v>182</v>
      </c>
      <c r="C34" s="71" t="s">
        <v>39</v>
      </c>
      <c r="D34" s="17" t="s">
        <v>114</v>
      </c>
      <c r="E34" s="416">
        <v>2017</v>
      </c>
      <c r="F34" s="275" t="s">
        <v>772</v>
      </c>
      <c r="G34" s="418">
        <v>0</v>
      </c>
      <c r="H34" s="441">
        <v>0</v>
      </c>
      <c r="I34" s="441">
        <v>0</v>
      </c>
      <c r="J34" s="441">
        <f>6375-6375</f>
        <v>0</v>
      </c>
      <c r="K34" s="14">
        <v>0</v>
      </c>
      <c r="L34" s="15">
        <v>0</v>
      </c>
      <c r="M34" s="267"/>
      <c r="N34" s="441"/>
      <c r="O34" s="269">
        <f>N34*M34</f>
        <v>0</v>
      </c>
      <c r="P34" s="267"/>
      <c r="Q34" s="441"/>
      <c r="R34" s="269">
        <f>Q34*P34</f>
        <v>0</v>
      </c>
      <c r="S34" s="267"/>
      <c r="T34" s="441"/>
      <c r="U34" s="269">
        <f>T34*S34</f>
        <v>0</v>
      </c>
      <c r="V34" s="267"/>
      <c r="W34" s="441"/>
      <c r="X34" s="270">
        <f>W34*V34</f>
        <v>0</v>
      </c>
      <c r="Y34" s="58">
        <f>X34+U34+R34+O34</f>
        <v>0</v>
      </c>
    </row>
    <row r="35" spans="1:26" ht="14.25" customHeight="1" x14ac:dyDescent="0.2">
      <c r="A35" s="66"/>
      <c r="B35" s="29"/>
      <c r="C35" s="71"/>
      <c r="D35" s="71"/>
      <c r="E35" s="278"/>
      <c r="F35" s="279"/>
      <c r="G35" s="262"/>
      <c r="H35" s="262"/>
      <c r="I35" s="262"/>
      <c r="J35" s="262"/>
      <c r="K35" s="262"/>
      <c r="L35" s="263"/>
      <c r="M35" s="13"/>
      <c r="N35" s="14"/>
      <c r="O35" s="15"/>
      <c r="P35" s="13"/>
      <c r="Q35" s="14"/>
      <c r="R35" s="15"/>
      <c r="S35" s="13"/>
      <c r="T35" s="14"/>
      <c r="U35" s="15"/>
      <c r="V35" s="13"/>
      <c r="W35" s="14"/>
      <c r="X35" s="54"/>
      <c r="Y35" s="58"/>
    </row>
    <row r="36" spans="1:26" ht="14.25" customHeight="1" x14ac:dyDescent="0.2">
      <c r="A36" s="188"/>
      <c r="B36" s="69" t="s">
        <v>176</v>
      </c>
      <c r="C36" s="17"/>
      <c r="D36" s="17"/>
      <c r="E36" s="276"/>
      <c r="F36" s="277"/>
      <c r="G36" s="251">
        <f>SUM(G37:G38)</f>
        <v>0</v>
      </c>
      <c r="H36" s="251">
        <f t="shared" ref="H36:J36" si="35">SUM(H37:H38)</f>
        <v>1421150.73</v>
      </c>
      <c r="I36" s="251">
        <f t="shared" si="35"/>
        <v>1948320.22</v>
      </c>
      <c r="J36" s="251">
        <f t="shared" si="35"/>
        <v>2082571.6</v>
      </c>
      <c r="K36" s="251">
        <f>SUM(K37:K38)</f>
        <v>1445874.0299999998</v>
      </c>
      <c r="L36" s="249">
        <f>SUM(L37:L38)</f>
        <v>0</v>
      </c>
      <c r="M36" s="13"/>
      <c r="N36" s="14"/>
      <c r="O36" s="249">
        <f>SUM(O37:O38)</f>
        <v>488779</v>
      </c>
      <c r="P36" s="250"/>
      <c r="Q36" s="251"/>
      <c r="R36" s="249">
        <f>SUM(R37:R38)</f>
        <v>488779</v>
      </c>
      <c r="S36" s="250"/>
      <c r="T36" s="251"/>
      <c r="U36" s="249">
        <f>SUM(U37:U38)</f>
        <v>488779</v>
      </c>
      <c r="V36" s="250"/>
      <c r="W36" s="251"/>
      <c r="X36" s="475">
        <f>SUM(X37:X38)</f>
        <v>488779</v>
      </c>
      <c r="Y36" s="253">
        <f>SUM(Y37:Y38)</f>
        <v>1955116</v>
      </c>
    </row>
    <row r="37" spans="1:26" ht="14.25" customHeight="1" x14ac:dyDescent="0.2">
      <c r="A37" s="281" t="s">
        <v>773</v>
      </c>
      <c r="B37" s="37" t="s">
        <v>176</v>
      </c>
      <c r="C37" s="17" t="s">
        <v>29</v>
      </c>
      <c r="D37" s="17" t="s">
        <v>63</v>
      </c>
      <c r="E37" s="276" t="s">
        <v>772</v>
      </c>
      <c r="F37" s="277" t="s">
        <v>772</v>
      </c>
      <c r="G37" s="14">
        <v>0</v>
      </c>
      <c r="H37" s="441">
        <f>-1172197.06+1281721</f>
        <v>109523.93999999994</v>
      </c>
      <c r="I37" s="441">
        <f>-984797.78+1283204+2567</f>
        <v>300973.21999999997</v>
      </c>
      <c r="J37" s="441">
        <f>-674093.88+1283699</f>
        <v>609605.12</v>
      </c>
      <c r="K37" s="441">
        <v>677608.82</v>
      </c>
      <c r="L37" s="15">
        <v>0</v>
      </c>
      <c r="M37" s="13">
        <f>132528/3</f>
        <v>44176</v>
      </c>
      <c r="N37" s="14">
        <v>3</v>
      </c>
      <c r="O37" s="413">
        <f t="shared" ref="O37:O38" si="36">N37*M37</f>
        <v>132528</v>
      </c>
      <c r="P37" s="13">
        <f>132528/3</f>
        <v>44176</v>
      </c>
      <c r="Q37" s="397">
        <v>3</v>
      </c>
      <c r="R37" s="413">
        <f t="shared" ref="R37:R38" si="37">Q37*P37</f>
        <v>132528</v>
      </c>
      <c r="S37" s="13">
        <f>132528/3</f>
        <v>44176</v>
      </c>
      <c r="T37" s="397">
        <v>3</v>
      </c>
      <c r="U37" s="413">
        <f t="shared" ref="U37:U38" si="38">T37*S37</f>
        <v>132528</v>
      </c>
      <c r="V37" s="13">
        <f>132528/3</f>
        <v>44176</v>
      </c>
      <c r="W37" s="397">
        <v>3</v>
      </c>
      <c r="X37" s="423">
        <f t="shared" ref="X37:X38" si="39">W37*V37</f>
        <v>132528</v>
      </c>
      <c r="Y37" s="749">
        <f t="shared" ref="Y37:Y38" si="40">X37+U37+R37+O37</f>
        <v>530112</v>
      </c>
      <c r="Z37" t="s">
        <v>1287</v>
      </c>
    </row>
    <row r="38" spans="1:26" ht="14.25" customHeight="1" x14ac:dyDescent="0.2">
      <c r="A38" s="281" t="s">
        <v>774</v>
      </c>
      <c r="B38" s="37" t="s">
        <v>176</v>
      </c>
      <c r="C38" s="71" t="s">
        <v>29</v>
      </c>
      <c r="D38" s="17" t="s">
        <v>64</v>
      </c>
      <c r="E38" s="276" t="s">
        <v>772</v>
      </c>
      <c r="F38" s="277" t="s">
        <v>772</v>
      </c>
      <c r="G38" s="14">
        <v>0</v>
      </c>
      <c r="H38" s="441">
        <f>141626.79+1170000</f>
        <v>1311626.79</v>
      </c>
      <c r="I38" s="441">
        <f>447282.03+(468754-447282.03)+27417+1151176</f>
        <v>1647347</v>
      </c>
      <c r="J38" s="441">
        <f>264160.48+57500+1151306</f>
        <v>1472966.48</v>
      </c>
      <c r="K38" s="441">
        <v>768265.21</v>
      </c>
      <c r="L38" s="15">
        <v>0</v>
      </c>
      <c r="M38" s="13">
        <f>356251/3</f>
        <v>118750.33333333333</v>
      </c>
      <c r="N38" s="14">
        <v>3</v>
      </c>
      <c r="O38" s="413">
        <f t="shared" si="36"/>
        <v>356251</v>
      </c>
      <c r="P38" s="13">
        <f>356251/3</f>
        <v>118750.33333333333</v>
      </c>
      <c r="Q38" s="397">
        <v>3</v>
      </c>
      <c r="R38" s="413">
        <f t="shared" si="37"/>
        <v>356251</v>
      </c>
      <c r="S38" s="13">
        <f>356251/3</f>
        <v>118750.33333333333</v>
      </c>
      <c r="T38" s="397">
        <v>3</v>
      </c>
      <c r="U38" s="413">
        <f t="shared" si="38"/>
        <v>356251</v>
      </c>
      <c r="V38" s="13">
        <f>356251/3</f>
        <v>118750.33333333333</v>
      </c>
      <c r="W38" s="397">
        <v>3</v>
      </c>
      <c r="X38" s="423">
        <f t="shared" si="39"/>
        <v>356251</v>
      </c>
      <c r="Y38" s="749">
        <f t="shared" si="40"/>
        <v>1425004</v>
      </c>
      <c r="Z38" t="s">
        <v>1287</v>
      </c>
    </row>
    <row r="39" spans="1:26" ht="14.25" customHeight="1" x14ac:dyDescent="0.2">
      <c r="A39" s="66"/>
      <c r="B39" s="69"/>
      <c r="C39" s="17"/>
      <c r="D39" s="17"/>
      <c r="E39" s="276"/>
      <c r="F39" s="277"/>
      <c r="G39" s="14"/>
      <c r="H39" s="14"/>
      <c r="I39" s="14"/>
      <c r="J39" s="14"/>
      <c r="K39" s="14"/>
      <c r="L39" s="15">
        <f t="shared" ref="L39" si="41">G39-K39</f>
        <v>0</v>
      </c>
      <c r="M39" s="13"/>
      <c r="N39" s="14"/>
      <c r="O39" s="15"/>
      <c r="P39" s="13"/>
      <c r="Q39" s="14"/>
      <c r="R39" s="15"/>
      <c r="S39" s="13"/>
      <c r="T39" s="14"/>
      <c r="U39" s="15"/>
      <c r="V39" s="13"/>
      <c r="W39" s="14"/>
      <c r="X39" s="54"/>
      <c r="Y39" s="58"/>
    </row>
    <row r="40" spans="1:26" ht="14.25" customHeight="1" x14ac:dyDescent="0.2">
      <c r="A40" s="66"/>
      <c r="B40" s="69" t="s">
        <v>668</v>
      </c>
      <c r="C40" s="17"/>
      <c r="D40" s="17"/>
      <c r="E40" s="276"/>
      <c r="F40" s="277"/>
      <c r="G40" s="251">
        <f t="shared" ref="G40:L40" si="42">SUM(G41:G50)</f>
        <v>6118089.6999999993</v>
      </c>
      <c r="H40" s="251">
        <f t="shared" si="42"/>
        <v>338069.93999999994</v>
      </c>
      <c r="I40" s="251">
        <f t="shared" si="42"/>
        <v>1256351.9000000001</v>
      </c>
      <c r="J40" s="251">
        <f t="shared" si="42"/>
        <v>1441207.25</v>
      </c>
      <c r="K40" s="251">
        <f t="shared" si="42"/>
        <v>1623933.5199999998</v>
      </c>
      <c r="L40" s="249">
        <f t="shared" si="42"/>
        <v>1458527.0899999999</v>
      </c>
      <c r="M40" s="13"/>
      <c r="N40" s="14"/>
      <c r="O40" s="249">
        <f>SUM(O41:O50)</f>
        <v>466120.26</v>
      </c>
      <c r="P40" s="250"/>
      <c r="Q40" s="251"/>
      <c r="R40" s="249">
        <f>SUM(R41:R50)</f>
        <v>466120.24664999999</v>
      </c>
      <c r="S40" s="250"/>
      <c r="T40" s="251"/>
      <c r="U40" s="249">
        <f>SUM(U41:U50)</f>
        <v>459187.33</v>
      </c>
      <c r="V40" s="250"/>
      <c r="W40" s="251"/>
      <c r="X40" s="252">
        <f>SUM(X41:X50)</f>
        <v>445927.26</v>
      </c>
      <c r="Y40" s="253">
        <f>SUM(Y41:Y50)</f>
        <v>1837355.09665</v>
      </c>
    </row>
    <row r="41" spans="1:26" ht="14.25" customHeight="1" x14ac:dyDescent="0.2">
      <c r="A41" s="66" t="s">
        <v>431</v>
      </c>
      <c r="B41" s="37" t="s">
        <v>171</v>
      </c>
      <c r="C41" s="17" t="s">
        <v>38</v>
      </c>
      <c r="D41" s="17" t="s">
        <v>133</v>
      </c>
      <c r="E41" s="416" t="s">
        <v>786</v>
      </c>
      <c r="F41" s="310">
        <v>42430</v>
      </c>
      <c r="G41" s="441">
        <f>520773.19+35981+16088.04+657.2</f>
        <v>573499.42999999993</v>
      </c>
      <c r="H41" s="441">
        <v>112057.09</v>
      </c>
      <c r="I41" s="441">
        <v>157336.63</v>
      </c>
      <c r="J41" s="441">
        <v>189128.85</v>
      </c>
      <c r="K41" s="441">
        <v>100452.38</v>
      </c>
      <c r="L41" s="15">
        <f>G41-H41-I41-J41-K41</f>
        <v>14524.479999999952</v>
      </c>
      <c r="M41" s="267">
        <v>11358.67</v>
      </c>
      <c r="N41" s="441">
        <v>2</v>
      </c>
      <c r="O41" s="269">
        <f t="shared" si="10"/>
        <v>22717.34</v>
      </c>
      <c r="P41" s="267"/>
      <c r="Q41" s="441"/>
      <c r="R41" s="269">
        <f t="shared" si="11"/>
        <v>0</v>
      </c>
      <c r="S41" s="267"/>
      <c r="T41" s="441"/>
      <c r="U41" s="269">
        <f t="shared" si="12"/>
        <v>0</v>
      </c>
      <c r="V41" s="267"/>
      <c r="W41" s="441"/>
      <c r="X41" s="270">
        <f t="shared" si="13"/>
        <v>0</v>
      </c>
      <c r="Y41" s="749">
        <f t="shared" si="14"/>
        <v>22717.34</v>
      </c>
      <c r="Z41" t="s">
        <v>1287</v>
      </c>
    </row>
    <row r="42" spans="1:26" ht="14.25" customHeight="1" x14ac:dyDescent="0.2">
      <c r="A42" s="66" t="s">
        <v>431</v>
      </c>
      <c r="B42" s="37" t="s">
        <v>171</v>
      </c>
      <c r="C42" s="17" t="s">
        <v>38</v>
      </c>
      <c r="D42" s="17" t="s">
        <v>133</v>
      </c>
      <c r="E42" s="271">
        <v>2015</v>
      </c>
      <c r="F42" s="310">
        <v>42795</v>
      </c>
      <c r="G42" s="441">
        <v>28127</v>
      </c>
      <c r="H42" s="441">
        <v>0</v>
      </c>
      <c r="I42" s="441">
        <v>0</v>
      </c>
      <c r="J42" s="441">
        <v>0</v>
      </c>
      <c r="K42" s="418">
        <v>0</v>
      </c>
      <c r="L42" s="433">
        <f t="shared" ref="L42:L45" si="43">G42-H42-I42-J42-K42</f>
        <v>28127</v>
      </c>
      <c r="M42" s="267">
        <v>11358.67</v>
      </c>
      <c r="N42" s="441">
        <v>1</v>
      </c>
      <c r="O42" s="269">
        <f t="shared" ref="O42:O43" si="44">N42*M42</f>
        <v>11358.67</v>
      </c>
      <c r="P42" s="267">
        <v>11358.67</v>
      </c>
      <c r="Q42" s="441">
        <v>1.4750000000000001</v>
      </c>
      <c r="R42" s="269">
        <f>Q42*P42+14.29</f>
        <v>16768.328250000002</v>
      </c>
      <c r="S42" s="267">
        <v>0</v>
      </c>
      <c r="T42" s="441">
        <v>0</v>
      </c>
      <c r="U42" s="269">
        <f t="shared" ref="U42:U43" si="45">T42*S42</f>
        <v>0</v>
      </c>
      <c r="V42" s="267">
        <v>0</v>
      </c>
      <c r="W42" s="441">
        <v>0</v>
      </c>
      <c r="X42" s="270">
        <f t="shared" ref="X42:X43" si="46">W42*V42</f>
        <v>0</v>
      </c>
      <c r="Y42" s="749">
        <f t="shared" ref="Y42:Y43" si="47">X42+U42+R42+O42</f>
        <v>28126.998250000004</v>
      </c>
      <c r="Z42" t="s">
        <v>1287</v>
      </c>
    </row>
    <row r="43" spans="1:26" ht="14.25" customHeight="1" x14ac:dyDescent="0.2">
      <c r="A43" s="66" t="s">
        <v>431</v>
      </c>
      <c r="B43" s="37" t="s">
        <v>171</v>
      </c>
      <c r="C43" s="17" t="s">
        <v>38</v>
      </c>
      <c r="D43" s="17" t="s">
        <v>133</v>
      </c>
      <c r="E43" s="271">
        <v>2016</v>
      </c>
      <c r="F43" s="310">
        <v>43160</v>
      </c>
      <c r="G43" s="441">
        <v>108177</v>
      </c>
      <c r="H43" s="441">
        <v>0</v>
      </c>
      <c r="I43" s="441">
        <v>0</v>
      </c>
      <c r="J43" s="441">
        <v>0</v>
      </c>
      <c r="K43" s="418">
        <v>0</v>
      </c>
      <c r="L43" s="433">
        <f t="shared" si="43"/>
        <v>108177</v>
      </c>
      <c r="M43" s="267">
        <v>0</v>
      </c>
      <c r="N43" s="441">
        <v>0</v>
      </c>
      <c r="O43" s="269">
        <f t="shared" si="44"/>
        <v>0</v>
      </c>
      <c r="P43" s="267">
        <v>11358.67</v>
      </c>
      <c r="Q43" s="441">
        <v>1.52</v>
      </c>
      <c r="R43" s="269">
        <f>Q43*P43+42.49</f>
        <v>17307.668400000002</v>
      </c>
      <c r="S43" s="267">
        <v>11358.67</v>
      </c>
      <c r="T43" s="441">
        <v>3</v>
      </c>
      <c r="U43" s="269">
        <f t="shared" si="45"/>
        <v>34076.01</v>
      </c>
      <c r="V43" s="267">
        <v>11358.67</v>
      </c>
      <c r="W43" s="441">
        <v>3</v>
      </c>
      <c r="X43" s="270">
        <f t="shared" si="46"/>
        <v>34076.01</v>
      </c>
      <c r="Y43" s="749">
        <f t="shared" si="47"/>
        <v>85459.688400000014</v>
      </c>
      <c r="Z43" t="s">
        <v>1287</v>
      </c>
    </row>
    <row r="44" spans="1:26" ht="14.25" customHeight="1" x14ac:dyDescent="0.2">
      <c r="A44" s="66" t="s">
        <v>432</v>
      </c>
      <c r="B44" s="16" t="s">
        <v>171</v>
      </c>
      <c r="C44" s="71" t="s">
        <v>38</v>
      </c>
      <c r="D44" s="17" t="s">
        <v>128</v>
      </c>
      <c r="E44" s="416" t="s">
        <v>786</v>
      </c>
      <c r="F44" s="275" t="s">
        <v>772</v>
      </c>
      <c r="G44" s="418">
        <f>401961+157010.88+975380.49+968000+998987</f>
        <v>3501339.37</v>
      </c>
      <c r="H44" s="418">
        <v>157010.88</v>
      </c>
      <c r="I44" s="418">
        <v>975380.49</v>
      </c>
      <c r="J44" s="418">
        <v>968000</v>
      </c>
      <c r="K44" s="418">
        <v>1154692</v>
      </c>
      <c r="L44" s="389">
        <f>G44-H44-I44-J44-K44</f>
        <v>246256</v>
      </c>
      <c r="M44" s="267">
        <v>0</v>
      </c>
      <c r="N44" s="418">
        <v>0</v>
      </c>
      <c r="O44" s="269">
        <f t="shared" si="10"/>
        <v>0</v>
      </c>
      <c r="P44" s="267">
        <v>0</v>
      </c>
      <c r="Q44" s="418">
        <v>0</v>
      </c>
      <c r="R44" s="269">
        <f t="shared" si="11"/>
        <v>0</v>
      </c>
      <c r="S44" s="267">
        <v>0</v>
      </c>
      <c r="T44" s="418">
        <v>0</v>
      </c>
      <c r="U44" s="269">
        <f t="shared" si="12"/>
        <v>0</v>
      </c>
      <c r="V44" s="267">
        <v>0</v>
      </c>
      <c r="W44" s="418">
        <v>0</v>
      </c>
      <c r="X44" s="270">
        <f t="shared" si="13"/>
        <v>0</v>
      </c>
      <c r="Y44" s="388">
        <f t="shared" si="14"/>
        <v>0</v>
      </c>
    </row>
    <row r="45" spans="1:26" ht="14.25" customHeight="1" x14ac:dyDescent="0.2">
      <c r="A45" s="66" t="s">
        <v>432</v>
      </c>
      <c r="B45" s="16" t="s">
        <v>171</v>
      </c>
      <c r="C45" s="71" t="s">
        <v>38</v>
      </c>
      <c r="D45" s="17" t="s">
        <v>128</v>
      </c>
      <c r="E45" s="415">
        <v>2017</v>
      </c>
      <c r="F45" s="275" t="s">
        <v>772</v>
      </c>
      <c r="G45" s="418">
        <v>0</v>
      </c>
      <c r="H45" s="418">
        <v>0</v>
      </c>
      <c r="I45" s="418">
        <v>0</v>
      </c>
      <c r="J45" s="418">
        <v>0</v>
      </c>
      <c r="K45" s="418">
        <v>0</v>
      </c>
      <c r="L45" s="433">
        <f t="shared" si="43"/>
        <v>0</v>
      </c>
      <c r="M45" s="267">
        <f>276750/3</f>
        <v>92250</v>
      </c>
      <c r="N45" s="418">
        <v>3</v>
      </c>
      <c r="O45" s="269">
        <f t="shared" ref="O45" si="48">N45*M45</f>
        <v>276750</v>
      </c>
      <c r="P45" s="267">
        <f>276750/3</f>
        <v>92250</v>
      </c>
      <c r="Q45" s="441">
        <v>3</v>
      </c>
      <c r="R45" s="269">
        <f t="shared" ref="R45" si="49">Q45*P45</f>
        <v>276750</v>
      </c>
      <c r="S45" s="267">
        <f>276750/3</f>
        <v>92250</v>
      </c>
      <c r="T45" s="441">
        <v>3</v>
      </c>
      <c r="U45" s="269">
        <f t="shared" ref="U45" si="50">T45*S45</f>
        <v>276750</v>
      </c>
      <c r="V45" s="267">
        <f>276750/3</f>
        <v>92250</v>
      </c>
      <c r="W45" s="441">
        <v>3</v>
      </c>
      <c r="X45" s="270">
        <f t="shared" ref="X45" si="51">W45*V45</f>
        <v>276750</v>
      </c>
      <c r="Y45" s="749">
        <f t="shared" ref="Y45" si="52">X45+U45+R45+O45</f>
        <v>1107000</v>
      </c>
      <c r="Z45" t="s">
        <v>1287</v>
      </c>
    </row>
    <row r="46" spans="1:26" ht="14.25" customHeight="1" x14ac:dyDescent="0.2">
      <c r="A46" s="66" t="s">
        <v>433</v>
      </c>
      <c r="B46" s="16" t="s">
        <v>171</v>
      </c>
      <c r="C46" s="71" t="s">
        <v>38</v>
      </c>
      <c r="D46" s="17" t="s">
        <v>472</v>
      </c>
      <c r="E46" s="416" t="s">
        <v>786</v>
      </c>
      <c r="F46" s="275" t="s">
        <v>772</v>
      </c>
      <c r="G46" s="441">
        <v>482411.55</v>
      </c>
      <c r="H46" s="441">
        <v>69001.97</v>
      </c>
      <c r="I46" s="441">
        <v>123634.78</v>
      </c>
      <c r="J46" s="441">
        <v>188337.15</v>
      </c>
      <c r="K46" s="441">
        <v>101437.65</v>
      </c>
      <c r="L46" s="433">
        <f>G46-H46-I46-J46-K46</f>
        <v>0</v>
      </c>
      <c r="M46" s="267"/>
      <c r="N46" s="441"/>
      <c r="O46" s="269">
        <f t="shared" ref="O46" si="53">N46*M46</f>
        <v>0</v>
      </c>
      <c r="P46" s="267"/>
      <c r="Q46" s="441"/>
      <c r="R46" s="269">
        <f t="shared" ref="R46" si="54">Q46*P46</f>
        <v>0</v>
      </c>
      <c r="S46" s="267"/>
      <c r="T46" s="441"/>
      <c r="U46" s="269">
        <f t="shared" ref="U46" si="55">T46*S46</f>
        <v>0</v>
      </c>
      <c r="V46" s="267"/>
      <c r="W46" s="441"/>
      <c r="X46" s="270">
        <f t="shared" ref="X46" si="56">W46*V46</f>
        <v>0</v>
      </c>
      <c r="Y46" s="58">
        <f t="shared" ref="Y46" si="57">X46+U46+R46+O46</f>
        <v>0</v>
      </c>
    </row>
    <row r="47" spans="1:26" ht="14.25" customHeight="1" x14ac:dyDescent="0.2">
      <c r="A47" s="66" t="s">
        <v>433</v>
      </c>
      <c r="B47" s="16" t="s">
        <v>171</v>
      </c>
      <c r="C47" s="71" t="s">
        <v>38</v>
      </c>
      <c r="D47" s="17" t="s">
        <v>472</v>
      </c>
      <c r="E47" s="415">
        <v>2015</v>
      </c>
      <c r="F47" s="310">
        <v>42461</v>
      </c>
      <c r="G47" s="441">
        <v>156863.35</v>
      </c>
      <c r="H47" s="441">
        <v>0</v>
      </c>
      <c r="I47" s="441">
        <v>0</v>
      </c>
      <c r="J47" s="441">
        <v>0</v>
      </c>
      <c r="K47" s="441">
        <v>0</v>
      </c>
      <c r="L47" s="433">
        <f t="shared" ref="L47:L50" si="58">G47-H47-I47-J47-K47</f>
        <v>156863.35</v>
      </c>
      <c r="M47" s="267"/>
      <c r="N47" s="441"/>
      <c r="O47" s="269">
        <f t="shared" si="10"/>
        <v>0</v>
      </c>
      <c r="P47" s="267"/>
      <c r="Q47" s="441"/>
      <c r="R47" s="269">
        <f t="shared" si="11"/>
        <v>0</v>
      </c>
      <c r="S47" s="267"/>
      <c r="T47" s="441"/>
      <c r="U47" s="269">
        <f t="shared" si="12"/>
        <v>0</v>
      </c>
      <c r="V47" s="267"/>
      <c r="W47" s="441"/>
      <c r="X47" s="270">
        <f t="shared" si="13"/>
        <v>0</v>
      </c>
      <c r="Y47" s="58">
        <f t="shared" si="14"/>
        <v>0</v>
      </c>
    </row>
    <row r="48" spans="1:26" s="398" customFormat="1" ht="14.25" customHeight="1" x14ac:dyDescent="0.2">
      <c r="A48" s="402" t="s">
        <v>1296</v>
      </c>
      <c r="B48" s="399" t="s">
        <v>171</v>
      </c>
      <c r="C48" s="401" t="s">
        <v>38</v>
      </c>
      <c r="D48" s="400" t="s">
        <v>1136</v>
      </c>
      <c r="E48" s="415">
        <v>2016</v>
      </c>
      <c r="F48" s="310">
        <v>42855</v>
      </c>
      <c r="G48" s="441">
        <v>380808</v>
      </c>
      <c r="H48" s="441">
        <v>0</v>
      </c>
      <c r="I48" s="441">
        <v>0</v>
      </c>
      <c r="J48" s="441">
        <v>0</v>
      </c>
      <c r="K48" s="441">
        <v>0</v>
      </c>
      <c r="L48" s="433">
        <f t="shared" si="58"/>
        <v>380808</v>
      </c>
      <c r="M48" s="267">
        <f>95202/3</f>
        <v>31734</v>
      </c>
      <c r="N48" s="441">
        <v>3</v>
      </c>
      <c r="O48" s="269">
        <f t="shared" ref="O48" si="59">N48*M48</f>
        <v>95202</v>
      </c>
      <c r="P48" s="267">
        <f>95202/3</f>
        <v>31734</v>
      </c>
      <c r="Q48" s="441">
        <v>3</v>
      </c>
      <c r="R48" s="269">
        <f t="shared" ref="R48" si="60">Q48*P48</f>
        <v>95202</v>
      </c>
      <c r="S48" s="267">
        <f>95202/3</f>
        <v>31734</v>
      </c>
      <c r="T48" s="441">
        <v>3</v>
      </c>
      <c r="U48" s="269">
        <f t="shared" ref="U48" si="61">T48*S48</f>
        <v>95202</v>
      </c>
      <c r="V48" s="267">
        <f>95202/3</f>
        <v>31734</v>
      </c>
      <c r="W48" s="441">
        <v>3</v>
      </c>
      <c r="X48" s="270">
        <f t="shared" ref="X48" si="62">W48*V48</f>
        <v>95202</v>
      </c>
      <c r="Y48" s="749">
        <f t="shared" ref="Y48" si="63">X48+U48+R48+O48</f>
        <v>380808</v>
      </c>
      <c r="Z48" s="398" t="s">
        <v>1287</v>
      </c>
    </row>
    <row r="49" spans="1:27" ht="14.25" customHeight="1" x14ac:dyDescent="0.2">
      <c r="A49" s="66" t="s">
        <v>434</v>
      </c>
      <c r="B49" s="16" t="s">
        <v>171</v>
      </c>
      <c r="C49" s="71" t="s">
        <v>38</v>
      </c>
      <c r="D49" s="17" t="s">
        <v>144</v>
      </c>
      <c r="E49" s="415">
        <v>2013</v>
      </c>
      <c r="F49" s="310">
        <v>42887</v>
      </c>
      <c r="G49" s="418">
        <v>257981</v>
      </c>
      <c r="H49" s="418">
        <v>0</v>
      </c>
      <c r="I49" s="418">
        <v>0</v>
      </c>
      <c r="J49" s="418">
        <v>68163.850000000006</v>
      </c>
      <c r="K49" s="418">
        <v>138574.03</v>
      </c>
      <c r="L49" s="15">
        <f t="shared" si="58"/>
        <v>51243.119999999995</v>
      </c>
      <c r="M49" s="267">
        <f>20193/3</f>
        <v>6731</v>
      </c>
      <c r="N49" s="418">
        <v>3</v>
      </c>
      <c r="O49" s="269">
        <f t="shared" ref="O49" si="64">N49*M49</f>
        <v>20193</v>
      </c>
      <c r="P49" s="267">
        <f>20193/3</f>
        <v>6731</v>
      </c>
      <c r="Q49" s="441">
        <v>3</v>
      </c>
      <c r="R49" s="269">
        <f t="shared" ref="R49" si="65">Q49*P49</f>
        <v>20193</v>
      </c>
      <c r="S49" s="267">
        <f>20193/3</f>
        <v>6731</v>
      </c>
      <c r="T49" s="441">
        <v>1.97</v>
      </c>
      <c r="U49" s="269">
        <f t="shared" ref="U49" si="66">T49*S49</f>
        <v>13260.07</v>
      </c>
      <c r="V49" s="267">
        <f>20193/3</f>
        <v>6731</v>
      </c>
      <c r="W49" s="441">
        <v>0</v>
      </c>
      <c r="X49" s="270">
        <f t="shared" ref="X49" si="67">W49*V49</f>
        <v>0</v>
      </c>
      <c r="Y49" s="749">
        <f t="shared" ref="Y49" si="68">X49+U49+R49+O49</f>
        <v>53646.07</v>
      </c>
      <c r="Z49" t="s">
        <v>1287</v>
      </c>
    </row>
    <row r="50" spans="1:27" ht="14.25" customHeight="1" x14ac:dyDescent="0.2">
      <c r="A50" s="66" t="s">
        <v>435</v>
      </c>
      <c r="B50" s="16" t="s">
        <v>171</v>
      </c>
      <c r="C50" s="71" t="s">
        <v>38</v>
      </c>
      <c r="D50" s="17" t="s">
        <v>129</v>
      </c>
      <c r="E50" s="415">
        <v>2014</v>
      </c>
      <c r="F50" s="310">
        <v>44805</v>
      </c>
      <c r="G50" s="441">
        <v>628883</v>
      </c>
      <c r="H50" s="441">
        <v>0</v>
      </c>
      <c r="I50" s="441">
        <v>0</v>
      </c>
      <c r="J50" s="441">
        <v>27577.4</v>
      </c>
      <c r="K50" s="441">
        <v>128777.46</v>
      </c>
      <c r="L50" s="433">
        <f t="shared" si="58"/>
        <v>472528.13999999996</v>
      </c>
      <c r="M50" s="267">
        <v>13299.75</v>
      </c>
      <c r="N50" s="441">
        <v>3</v>
      </c>
      <c r="O50" s="269">
        <f t="shared" si="10"/>
        <v>39899.25</v>
      </c>
      <c r="P50" s="267">
        <v>13299.75</v>
      </c>
      <c r="Q50" s="441">
        <v>3</v>
      </c>
      <c r="R50" s="269">
        <f t="shared" si="11"/>
        <v>39899.25</v>
      </c>
      <c r="S50" s="267">
        <v>13299.75</v>
      </c>
      <c r="T50" s="441">
        <v>3</v>
      </c>
      <c r="U50" s="269">
        <f t="shared" si="12"/>
        <v>39899.25</v>
      </c>
      <c r="V50" s="267">
        <v>13299.75</v>
      </c>
      <c r="W50" s="441">
        <v>3</v>
      </c>
      <c r="X50" s="270">
        <f t="shared" si="13"/>
        <v>39899.25</v>
      </c>
      <c r="Y50" s="749">
        <f t="shared" si="14"/>
        <v>159597</v>
      </c>
      <c r="Z50" t="s">
        <v>1287</v>
      </c>
    </row>
    <row r="51" spans="1:27" ht="14.25" customHeight="1" x14ac:dyDescent="0.2">
      <c r="A51" s="66"/>
      <c r="B51" s="16"/>
      <c r="C51" s="71"/>
      <c r="D51" s="17"/>
      <c r="E51" s="276"/>
      <c r="F51" s="277"/>
      <c r="G51" s="14"/>
      <c r="H51" s="14"/>
      <c r="I51" s="14"/>
      <c r="J51" s="14"/>
      <c r="K51" s="14"/>
      <c r="L51" s="15"/>
      <c r="M51" s="13"/>
      <c r="N51" s="14"/>
      <c r="O51" s="15"/>
      <c r="P51" s="13"/>
      <c r="Q51" s="14"/>
      <c r="R51" s="15"/>
      <c r="S51" s="13"/>
      <c r="T51" s="14"/>
      <c r="U51" s="15"/>
      <c r="V51" s="13"/>
      <c r="W51" s="14"/>
      <c r="X51" s="54"/>
      <c r="Y51" s="58"/>
    </row>
    <row r="52" spans="1:27" ht="14.25" customHeight="1" x14ac:dyDescent="0.2">
      <c r="A52" s="66"/>
      <c r="B52" s="69" t="s">
        <v>669</v>
      </c>
      <c r="C52" s="17"/>
      <c r="D52" s="17"/>
      <c r="E52" s="276"/>
      <c r="F52" s="277"/>
      <c r="G52" s="251">
        <f>SUM(G53:G54)</f>
        <v>0</v>
      </c>
      <c r="H52" s="251">
        <f t="shared" ref="H52:J52" si="69">SUM(H53:H54)</f>
        <v>146741.44</v>
      </c>
      <c r="I52" s="251">
        <f t="shared" si="69"/>
        <v>178059</v>
      </c>
      <c r="J52" s="251">
        <f t="shared" si="69"/>
        <v>591784</v>
      </c>
      <c r="K52" s="251">
        <f>SUM(K53:K54)</f>
        <v>241945.4</v>
      </c>
      <c r="L52" s="249">
        <f>SUM(L53:L54)</f>
        <v>0</v>
      </c>
      <c r="M52" s="13"/>
      <c r="N52" s="14"/>
      <c r="O52" s="249">
        <f>SUM(O53:O54)</f>
        <v>0</v>
      </c>
      <c r="P52" s="250"/>
      <c r="Q52" s="251"/>
      <c r="R52" s="249">
        <f>SUM(R53:R54)</f>
        <v>0</v>
      </c>
      <c r="S52" s="250"/>
      <c r="T52" s="251"/>
      <c r="U52" s="249">
        <f>SUM(U53:U54)</f>
        <v>213723</v>
      </c>
      <c r="V52" s="250"/>
      <c r="W52" s="251"/>
      <c r="X52" s="252">
        <f>SUM(X53:X54)</f>
        <v>0</v>
      </c>
      <c r="Y52" s="253">
        <f>Y53+Y54</f>
        <v>213723</v>
      </c>
    </row>
    <row r="53" spans="1:27" ht="14.25" customHeight="1" x14ac:dyDescent="0.2">
      <c r="A53" s="66" t="s">
        <v>419</v>
      </c>
      <c r="B53" s="29" t="s">
        <v>190</v>
      </c>
      <c r="C53" s="17" t="s">
        <v>40</v>
      </c>
      <c r="D53" s="17" t="s">
        <v>117</v>
      </c>
      <c r="E53" s="272" t="s">
        <v>786</v>
      </c>
      <c r="F53" s="275" t="s">
        <v>772</v>
      </c>
      <c r="G53" s="268">
        <v>0</v>
      </c>
      <c r="H53" s="268">
        <v>146741.44</v>
      </c>
      <c r="I53" s="268">
        <v>178059</v>
      </c>
      <c r="J53" s="268">
        <v>591784</v>
      </c>
      <c r="K53" s="14">
        <v>241945.4</v>
      </c>
      <c r="L53" s="15">
        <v>0</v>
      </c>
      <c r="M53" s="267"/>
      <c r="N53" s="441"/>
      <c r="O53" s="269">
        <f>N53*M53</f>
        <v>0</v>
      </c>
      <c r="P53" s="267"/>
      <c r="Q53" s="441"/>
      <c r="R53" s="269">
        <f>Q53*P53</f>
        <v>0</v>
      </c>
      <c r="S53" s="267"/>
      <c r="T53" s="441"/>
      <c r="U53" s="269">
        <f>T53*S53</f>
        <v>0</v>
      </c>
      <c r="V53" s="267"/>
      <c r="W53" s="441"/>
      <c r="X53" s="270">
        <f>W53*V53</f>
        <v>0</v>
      </c>
      <c r="Y53" s="58">
        <f t="shared" si="14"/>
        <v>0</v>
      </c>
    </row>
    <row r="54" spans="1:27" ht="14.25" customHeight="1" x14ac:dyDescent="0.2">
      <c r="A54" s="66" t="s">
        <v>419</v>
      </c>
      <c r="B54" s="29" t="s">
        <v>190</v>
      </c>
      <c r="C54" s="17" t="s">
        <v>40</v>
      </c>
      <c r="D54" s="17" t="s">
        <v>117</v>
      </c>
      <c r="E54" s="271">
        <v>2017</v>
      </c>
      <c r="F54" s="275" t="s">
        <v>772</v>
      </c>
      <c r="G54" s="268">
        <v>0</v>
      </c>
      <c r="H54" s="268">
        <v>0</v>
      </c>
      <c r="I54" s="268">
        <v>0</v>
      </c>
      <c r="J54" s="268">
        <v>0</v>
      </c>
      <c r="K54" s="14">
        <v>0</v>
      </c>
      <c r="L54" s="15">
        <v>0</v>
      </c>
      <c r="M54" s="267"/>
      <c r="N54" s="441"/>
      <c r="O54" s="269">
        <f>N54*M54</f>
        <v>0</v>
      </c>
      <c r="P54" s="267"/>
      <c r="Q54" s="441"/>
      <c r="R54" s="269">
        <f>Q54*P54</f>
        <v>0</v>
      </c>
      <c r="S54" s="267">
        <v>213723</v>
      </c>
      <c r="T54" s="441">
        <v>1</v>
      </c>
      <c r="U54" s="269">
        <f>T54*S54</f>
        <v>213723</v>
      </c>
      <c r="V54" s="267"/>
      <c r="W54" s="441"/>
      <c r="X54" s="270">
        <f>W54*V54</f>
        <v>0</v>
      </c>
      <c r="Y54" s="749">
        <f t="shared" ref="Y54" si="70">X54+U54+R54+O54</f>
        <v>213723</v>
      </c>
      <c r="Z54" t="s">
        <v>1287</v>
      </c>
    </row>
    <row r="55" spans="1:27" ht="14.25" customHeight="1" x14ac:dyDescent="0.2">
      <c r="A55" s="66"/>
      <c r="B55" s="29"/>
      <c r="C55" s="17"/>
      <c r="D55" s="17"/>
      <c r="E55" s="276"/>
      <c r="F55" s="277"/>
      <c r="G55" s="14"/>
      <c r="H55" s="14"/>
      <c r="I55" s="14"/>
      <c r="J55" s="14"/>
      <c r="K55" s="14"/>
      <c r="L55" s="15"/>
      <c r="M55" s="13"/>
      <c r="N55" s="14"/>
      <c r="O55" s="15"/>
      <c r="P55" s="13"/>
      <c r="Q55" s="14"/>
      <c r="R55" s="15"/>
      <c r="S55" s="13"/>
      <c r="T55" s="14"/>
      <c r="U55" s="15"/>
      <c r="V55" s="13"/>
      <c r="W55" s="14"/>
      <c r="X55" s="54"/>
      <c r="Y55" s="58"/>
    </row>
    <row r="56" spans="1:27" ht="16.5" customHeight="1" x14ac:dyDescent="0.2">
      <c r="A56" s="66"/>
      <c r="B56" s="69" t="s">
        <v>670</v>
      </c>
      <c r="C56" s="17"/>
      <c r="D56" s="17"/>
      <c r="E56" s="276"/>
      <c r="F56" s="277"/>
      <c r="G56" s="251">
        <f>SUM(G57:G75)</f>
        <v>3788528.1</v>
      </c>
      <c r="H56" s="251">
        <f t="shared" ref="H56:J56" si="71">SUM(H57:H75)</f>
        <v>984146.94</v>
      </c>
      <c r="I56" s="251">
        <f t="shared" si="71"/>
        <v>1274330.19</v>
      </c>
      <c r="J56" s="251">
        <f t="shared" si="71"/>
        <v>1047412.05</v>
      </c>
      <c r="K56" s="251">
        <f>SUM(K57:K75)</f>
        <v>1689048.9700000002</v>
      </c>
      <c r="L56" s="249">
        <f>SUM(L57:L75)</f>
        <v>1268107.2799999998</v>
      </c>
      <c r="M56" s="13"/>
      <c r="N56" s="14"/>
      <c r="O56" s="249">
        <f>SUM(O57:O75)</f>
        <v>773406.29</v>
      </c>
      <c r="P56" s="250"/>
      <c r="Q56" s="251"/>
      <c r="R56" s="249">
        <f>SUM(R57:R75)</f>
        <v>242157.25</v>
      </c>
      <c r="S56" s="250"/>
      <c r="T56" s="251"/>
      <c r="U56" s="249">
        <f>SUM(U57:U75)</f>
        <v>152406.25</v>
      </c>
      <c r="V56" s="250"/>
      <c r="W56" s="251"/>
      <c r="X56" s="252">
        <f>SUM(X57:X75)</f>
        <v>67406.25</v>
      </c>
      <c r="Y56" s="253">
        <f>SUM(Y57:Y75)</f>
        <v>1235376.04</v>
      </c>
    </row>
    <row r="57" spans="1:27" ht="14.25" customHeight="1" x14ac:dyDescent="0.2">
      <c r="A57" s="66" t="s">
        <v>414</v>
      </c>
      <c r="B57" s="16" t="s">
        <v>171</v>
      </c>
      <c r="C57" s="71" t="s">
        <v>39</v>
      </c>
      <c r="D57" s="17" t="s">
        <v>161</v>
      </c>
      <c r="E57" s="415">
        <v>2006</v>
      </c>
      <c r="F57" s="310">
        <v>42705</v>
      </c>
      <c r="G57" s="441">
        <v>1270000</v>
      </c>
      <c r="H57" s="441">
        <v>0</v>
      </c>
      <c r="I57" s="441">
        <v>0</v>
      </c>
      <c r="J57" s="441">
        <v>0</v>
      </c>
      <c r="K57" s="441">
        <v>1892.37</v>
      </c>
      <c r="L57" s="404">
        <f>G57-K57</f>
        <v>1268107.6299999999</v>
      </c>
      <c r="M57" s="267">
        <f>128375/12</f>
        <v>10697.916666666666</v>
      </c>
      <c r="N57" s="441">
        <v>3</v>
      </c>
      <c r="O57" s="269">
        <f t="shared" ref="O57" si="72">N57*M57</f>
        <v>32093.75</v>
      </c>
      <c r="P57" s="267">
        <f>128375/12</f>
        <v>10697.916666666666</v>
      </c>
      <c r="Q57" s="441">
        <v>3</v>
      </c>
      <c r="R57" s="269">
        <f>Q57*P57</f>
        <v>32093.75</v>
      </c>
      <c r="S57" s="267">
        <f>128375/12</f>
        <v>10697.916666666666</v>
      </c>
      <c r="T57" s="441">
        <v>3</v>
      </c>
      <c r="U57" s="269">
        <f>T57*S57</f>
        <v>32093.75</v>
      </c>
      <c r="V57" s="267">
        <f>128375/12</f>
        <v>10697.916666666666</v>
      </c>
      <c r="W57" s="441">
        <v>3</v>
      </c>
      <c r="X57" s="270">
        <f>W57*V57</f>
        <v>32093.75</v>
      </c>
      <c r="Y57" s="749">
        <f t="shared" ref="Y57" si="73">X57+U57+R57+O57</f>
        <v>128375</v>
      </c>
      <c r="Z57" t="s">
        <v>1287</v>
      </c>
    </row>
    <row r="58" spans="1:27" ht="14.25" customHeight="1" x14ac:dyDescent="0.2">
      <c r="A58" s="66" t="s">
        <v>408</v>
      </c>
      <c r="B58" s="37" t="s">
        <v>177</v>
      </c>
      <c r="C58" s="17" t="s">
        <v>39</v>
      </c>
      <c r="D58" s="17" t="s">
        <v>117</v>
      </c>
      <c r="E58" s="416" t="s">
        <v>786</v>
      </c>
      <c r="F58" s="275" t="s">
        <v>772</v>
      </c>
      <c r="G58" s="441">
        <f>168479.35+715546.5+264069.25+1297659.15+72773.85</f>
        <v>2518528.1</v>
      </c>
      <c r="H58" s="441">
        <v>168479.35</v>
      </c>
      <c r="I58" s="441">
        <v>715546.5</v>
      </c>
      <c r="J58" s="441">
        <v>264069.25</v>
      </c>
      <c r="K58" s="441">
        <v>1370433.35</v>
      </c>
      <c r="L58" s="404">
        <v>0</v>
      </c>
      <c r="M58" s="267"/>
      <c r="N58" s="474">
        <v>0.05</v>
      </c>
      <c r="O58" s="269">
        <f t="shared" ref="O58" si="74">N58*M58</f>
        <v>0</v>
      </c>
      <c r="P58" s="267"/>
      <c r="Q58" s="474">
        <v>0.05</v>
      </c>
      <c r="R58" s="269">
        <f t="shared" ref="R58" si="75">Q58*P58</f>
        <v>0</v>
      </c>
      <c r="S58" s="267"/>
      <c r="T58" s="474">
        <v>0.05</v>
      </c>
      <c r="U58" s="269">
        <f t="shared" ref="U58" si="76">T58*S58</f>
        <v>0</v>
      </c>
      <c r="V58" s="267"/>
      <c r="W58" s="474">
        <v>0.05</v>
      </c>
      <c r="X58" s="270">
        <f t="shared" ref="X58" si="77">W58*V58</f>
        <v>0</v>
      </c>
      <c r="Y58" s="473">
        <f t="shared" ref="Y58" si="78">X58+U58+R58+O58</f>
        <v>0</v>
      </c>
    </row>
    <row r="59" spans="1:27" s="432" customFormat="1" ht="14.25" customHeight="1" x14ac:dyDescent="0.2">
      <c r="A59" s="66" t="s">
        <v>408</v>
      </c>
      <c r="B59" s="37" t="s">
        <v>177</v>
      </c>
      <c r="C59" s="17" t="s">
        <v>39</v>
      </c>
      <c r="D59" s="17" t="s">
        <v>117</v>
      </c>
      <c r="E59" s="415">
        <v>2017</v>
      </c>
      <c r="F59" s="275" t="s">
        <v>772</v>
      </c>
      <c r="G59" s="441">
        <v>0</v>
      </c>
      <c r="H59" s="441">
        <v>0</v>
      </c>
      <c r="I59" s="441">
        <v>0</v>
      </c>
      <c r="J59" s="441">
        <v>0</v>
      </c>
      <c r="K59" s="441">
        <v>0</v>
      </c>
      <c r="L59" s="269">
        <v>0</v>
      </c>
      <c r="M59" s="267">
        <f>525000/0.05</f>
        <v>10500000</v>
      </c>
      <c r="N59" s="474">
        <v>0.05</v>
      </c>
      <c r="O59" s="269">
        <f>M59*N59</f>
        <v>525000</v>
      </c>
      <c r="P59" s="267"/>
      <c r="Q59" s="474">
        <v>0.05</v>
      </c>
      <c r="R59" s="269">
        <f t="shared" ref="R59:R60" si="79">Q59*P59</f>
        <v>0</v>
      </c>
      <c r="S59" s="267"/>
      <c r="T59" s="474">
        <v>0.05</v>
      </c>
      <c r="U59" s="269">
        <f t="shared" ref="U59:U60" si="80">T59*S59</f>
        <v>0</v>
      </c>
      <c r="V59" s="267"/>
      <c r="W59" s="474">
        <v>0.05</v>
      </c>
      <c r="X59" s="270">
        <f t="shared" ref="X59:X60" si="81">W59*V59</f>
        <v>0</v>
      </c>
      <c r="Y59" s="749">
        <f t="shared" ref="Y59:Y60" si="82">X59+U59+R59+O59</f>
        <v>525000</v>
      </c>
      <c r="Z59" s="432" t="s">
        <v>1287</v>
      </c>
      <c r="AA59" s="2"/>
    </row>
    <row r="60" spans="1:27" ht="14.25" customHeight="1" x14ac:dyDescent="0.2">
      <c r="A60" s="438" t="s">
        <v>408</v>
      </c>
      <c r="B60" s="436" t="s">
        <v>177</v>
      </c>
      <c r="C60" s="435" t="s">
        <v>39</v>
      </c>
      <c r="D60" s="435" t="s">
        <v>117</v>
      </c>
      <c r="E60" s="415">
        <v>2017</v>
      </c>
      <c r="F60" s="275" t="s">
        <v>772</v>
      </c>
      <c r="G60" s="441">
        <v>0</v>
      </c>
      <c r="H60" s="441">
        <v>0</v>
      </c>
      <c r="I60" s="441">
        <v>0</v>
      </c>
      <c r="J60" s="441">
        <v>0</v>
      </c>
      <c r="K60" s="441">
        <v>0</v>
      </c>
      <c r="L60" s="269">
        <f>SUM(G58:G60)-SUM(H58:K60)</f>
        <v>-0.35000000009313226</v>
      </c>
      <c r="M60" s="267">
        <f>60000/0.05</f>
        <v>1200000</v>
      </c>
      <c r="N60" s="474">
        <v>0.05</v>
      </c>
      <c r="O60" s="269">
        <f>M60*N60</f>
        <v>60000</v>
      </c>
      <c r="P60" s="267">
        <f>15000/0.05</f>
        <v>300000</v>
      </c>
      <c r="Q60" s="474">
        <v>0.05</v>
      </c>
      <c r="R60" s="269">
        <f t="shared" si="79"/>
        <v>15000</v>
      </c>
      <c r="S60" s="267">
        <f>60000/0.05</f>
        <v>1200000</v>
      </c>
      <c r="T60" s="474">
        <v>0.05</v>
      </c>
      <c r="U60" s="269">
        <f t="shared" si="80"/>
        <v>60000</v>
      </c>
      <c r="V60" s="267">
        <f>15000/0.05</f>
        <v>300000</v>
      </c>
      <c r="W60" s="474">
        <v>0.05</v>
      </c>
      <c r="X60" s="270">
        <f t="shared" si="81"/>
        <v>15000</v>
      </c>
      <c r="Y60" s="749">
        <f t="shared" si="82"/>
        <v>150000</v>
      </c>
      <c r="Z60" t="s">
        <v>1287</v>
      </c>
      <c r="AA60" s="2"/>
    </row>
    <row r="61" spans="1:27" ht="14.25" customHeight="1" x14ac:dyDescent="0.2">
      <c r="A61" s="66" t="s">
        <v>409</v>
      </c>
      <c r="B61" s="675" t="s">
        <v>178</v>
      </c>
      <c r="C61" s="676" t="s">
        <v>39</v>
      </c>
      <c r="D61" s="677" t="s">
        <v>117</v>
      </c>
      <c r="E61" s="678" t="s">
        <v>786</v>
      </c>
      <c r="F61" s="679" t="s">
        <v>772</v>
      </c>
      <c r="G61" s="680">
        <v>0</v>
      </c>
      <c r="H61" s="680">
        <f>105000</f>
        <v>105000</v>
      </c>
      <c r="I61" s="680">
        <v>123875</v>
      </c>
      <c r="J61" s="680">
        <v>102000</v>
      </c>
      <c r="K61" s="680">
        <v>74500</v>
      </c>
      <c r="L61" s="681">
        <v>0</v>
      </c>
      <c r="M61" s="682"/>
      <c r="N61" s="680"/>
      <c r="O61" s="681">
        <f t="shared" ref="O61:O63" si="83">N61*M61</f>
        <v>0</v>
      </c>
      <c r="P61" s="682"/>
      <c r="Q61" s="680"/>
      <c r="R61" s="681">
        <f t="shared" ref="R61:R63" si="84">Q61*P61</f>
        <v>0</v>
      </c>
      <c r="S61" s="682"/>
      <c r="T61" s="680"/>
      <c r="U61" s="681">
        <f t="shared" ref="U61:U63" si="85">T61*S61</f>
        <v>0</v>
      </c>
      <c r="V61" s="682"/>
      <c r="W61" s="680"/>
      <c r="X61" s="683">
        <f t="shared" ref="X61:X63" si="86">W61*V61</f>
        <v>0</v>
      </c>
      <c r="Y61" s="684">
        <f t="shared" ref="Y61:Y63" si="87">X61+U61+R61+O61</f>
        <v>0</v>
      </c>
      <c r="AA61" s="432" t="s">
        <v>1429</v>
      </c>
    </row>
    <row r="62" spans="1:27" s="432" customFormat="1" ht="14.25" customHeight="1" x14ac:dyDescent="0.2">
      <c r="A62" s="66" t="s">
        <v>409</v>
      </c>
      <c r="B62" s="675" t="s">
        <v>178</v>
      </c>
      <c r="C62" s="676" t="s">
        <v>39</v>
      </c>
      <c r="D62" s="677" t="s">
        <v>117</v>
      </c>
      <c r="E62" s="685">
        <v>2017</v>
      </c>
      <c r="F62" s="679" t="s">
        <v>772</v>
      </c>
      <c r="G62" s="680">
        <v>0</v>
      </c>
      <c r="H62" s="680">
        <v>0</v>
      </c>
      <c r="I62" s="680">
        <v>0</v>
      </c>
      <c r="J62" s="680">
        <v>0</v>
      </c>
      <c r="K62" s="680">
        <v>0</v>
      </c>
      <c r="L62" s="681">
        <v>0</v>
      </c>
      <c r="M62" s="682">
        <v>1730.77</v>
      </c>
      <c r="N62" s="680">
        <v>26</v>
      </c>
      <c r="O62" s="681">
        <f t="shared" si="83"/>
        <v>45000.02</v>
      </c>
      <c r="P62" s="682"/>
      <c r="Q62" s="680"/>
      <c r="R62" s="681">
        <f t="shared" si="84"/>
        <v>0</v>
      </c>
      <c r="S62" s="682"/>
      <c r="T62" s="680"/>
      <c r="U62" s="681">
        <f t="shared" si="85"/>
        <v>0</v>
      </c>
      <c r="V62" s="682"/>
      <c r="W62" s="680"/>
      <c r="X62" s="683">
        <f t="shared" si="86"/>
        <v>0</v>
      </c>
      <c r="Y62" s="751">
        <f t="shared" si="87"/>
        <v>45000.02</v>
      </c>
      <c r="Z62" s="432" t="s">
        <v>1287</v>
      </c>
      <c r="AA62" s="432" t="s">
        <v>1429</v>
      </c>
    </row>
    <row r="63" spans="1:27" ht="14.25" customHeight="1" x14ac:dyDescent="0.2">
      <c r="A63" s="438" t="s">
        <v>409</v>
      </c>
      <c r="B63" s="675" t="s">
        <v>178</v>
      </c>
      <c r="C63" s="676" t="s">
        <v>39</v>
      </c>
      <c r="D63" s="677" t="s">
        <v>117</v>
      </c>
      <c r="E63" s="685">
        <v>2017</v>
      </c>
      <c r="F63" s="679" t="s">
        <v>772</v>
      </c>
      <c r="G63" s="680">
        <v>0</v>
      </c>
      <c r="H63" s="680">
        <v>0</v>
      </c>
      <c r="I63" s="680">
        <v>0</v>
      </c>
      <c r="J63" s="680">
        <v>0</v>
      </c>
      <c r="K63" s="680">
        <v>0</v>
      </c>
      <c r="L63" s="681">
        <v>0</v>
      </c>
      <c r="M63" s="682">
        <v>2000</v>
      </c>
      <c r="N63" s="680">
        <v>10</v>
      </c>
      <c r="O63" s="681">
        <f t="shared" si="83"/>
        <v>20000</v>
      </c>
      <c r="P63" s="682">
        <v>1917</v>
      </c>
      <c r="Q63" s="680">
        <v>3</v>
      </c>
      <c r="R63" s="681">
        <f t="shared" si="84"/>
        <v>5751</v>
      </c>
      <c r="S63" s="682">
        <v>2000</v>
      </c>
      <c r="T63" s="680">
        <v>10</v>
      </c>
      <c r="U63" s="681">
        <f t="shared" si="85"/>
        <v>20000</v>
      </c>
      <c r="V63" s="682">
        <v>2000</v>
      </c>
      <c r="W63" s="680">
        <v>3.25</v>
      </c>
      <c r="X63" s="683">
        <f t="shared" si="86"/>
        <v>6500</v>
      </c>
      <c r="Y63" s="751">
        <f t="shared" si="87"/>
        <v>52251</v>
      </c>
      <c r="Z63" t="s">
        <v>1287</v>
      </c>
      <c r="AA63" s="432" t="s">
        <v>1429</v>
      </c>
    </row>
    <row r="64" spans="1:27" ht="14.25" customHeight="1" x14ac:dyDescent="0.2">
      <c r="A64" s="66" t="s">
        <v>410</v>
      </c>
      <c r="B64" s="16" t="s">
        <v>179</v>
      </c>
      <c r="C64" s="71" t="s">
        <v>39</v>
      </c>
      <c r="D64" s="17" t="s">
        <v>117</v>
      </c>
      <c r="E64" s="416" t="s">
        <v>786</v>
      </c>
      <c r="F64" s="275" t="s">
        <v>772</v>
      </c>
      <c r="G64" s="441">
        <v>0</v>
      </c>
      <c r="H64" s="441">
        <f>665614.45+13178.14</f>
        <v>678792.59</v>
      </c>
      <c r="I64" s="441">
        <f>165605.55+13178.14</f>
        <v>178783.69</v>
      </c>
      <c r="J64" s="441">
        <f>357842.8+36000+3500+4200</f>
        <v>401542.8</v>
      </c>
      <c r="K64" s="441">
        <v>92750</v>
      </c>
      <c r="L64" s="433">
        <v>0</v>
      </c>
      <c r="M64" s="267"/>
      <c r="N64" s="441"/>
      <c r="O64" s="269">
        <f t="shared" ref="O64:O66" si="88">N64*M64</f>
        <v>0</v>
      </c>
      <c r="P64" s="267"/>
      <c r="Q64" s="441"/>
      <c r="R64" s="269">
        <f t="shared" ref="R64:R67" si="89">Q64*P64</f>
        <v>0</v>
      </c>
      <c r="S64" s="267"/>
      <c r="T64" s="441"/>
      <c r="U64" s="269">
        <f t="shared" ref="U64:U66" si="90">T64*S64</f>
        <v>0</v>
      </c>
      <c r="V64" s="267"/>
      <c r="W64" s="441"/>
      <c r="X64" s="270">
        <f t="shared" ref="X64:X66" si="91">W64*V64</f>
        <v>0</v>
      </c>
      <c r="Y64" s="405">
        <f t="shared" ref="Y64:Y66" si="92">X64+U64+R64+O64</f>
        <v>0</v>
      </c>
    </row>
    <row r="65" spans="1:27" s="432" customFormat="1" ht="14.25" customHeight="1" x14ac:dyDescent="0.2">
      <c r="A65" s="754" t="s">
        <v>410</v>
      </c>
      <c r="B65" s="16" t="s">
        <v>179</v>
      </c>
      <c r="C65" s="71" t="s">
        <v>39</v>
      </c>
      <c r="D65" s="17" t="s">
        <v>117</v>
      </c>
      <c r="E65" s="415">
        <v>2017</v>
      </c>
      <c r="F65" s="275" t="s">
        <v>772</v>
      </c>
      <c r="G65" s="441">
        <v>0</v>
      </c>
      <c r="H65" s="441">
        <v>0</v>
      </c>
      <c r="I65" s="441">
        <v>0</v>
      </c>
      <c r="J65" s="441">
        <v>0</v>
      </c>
      <c r="K65" s="441">
        <v>0</v>
      </c>
      <c r="L65" s="433">
        <v>0</v>
      </c>
      <c r="M65" s="267">
        <v>1730.77</v>
      </c>
      <c r="N65" s="441">
        <v>26</v>
      </c>
      <c r="O65" s="269">
        <f t="shared" si="88"/>
        <v>45000.02</v>
      </c>
      <c r="P65" s="267"/>
      <c r="Q65" s="441"/>
      <c r="R65" s="269">
        <f t="shared" si="89"/>
        <v>0</v>
      </c>
      <c r="S65" s="267"/>
      <c r="T65" s="441"/>
      <c r="U65" s="269">
        <f t="shared" si="90"/>
        <v>0</v>
      </c>
      <c r="V65" s="267"/>
      <c r="W65" s="441"/>
      <c r="X65" s="270">
        <f t="shared" si="91"/>
        <v>0</v>
      </c>
      <c r="Y65" s="749">
        <f t="shared" si="92"/>
        <v>45000.02</v>
      </c>
      <c r="Z65" s="432" t="s">
        <v>1287</v>
      </c>
    </row>
    <row r="66" spans="1:27" ht="14.25" customHeight="1" x14ac:dyDescent="0.2">
      <c r="A66" s="754" t="s">
        <v>410</v>
      </c>
      <c r="B66" s="434" t="s">
        <v>179</v>
      </c>
      <c r="C66" s="483" t="s">
        <v>39</v>
      </c>
      <c r="D66" s="472" t="s">
        <v>117</v>
      </c>
      <c r="E66" s="415">
        <v>2017</v>
      </c>
      <c r="F66" s="275" t="s">
        <v>772</v>
      </c>
      <c r="G66" s="441">
        <v>0</v>
      </c>
      <c r="H66" s="441">
        <v>0</v>
      </c>
      <c r="I66" s="441">
        <v>0</v>
      </c>
      <c r="J66" s="441">
        <v>0</v>
      </c>
      <c r="K66" s="441">
        <v>0</v>
      </c>
      <c r="L66" s="269">
        <v>0</v>
      </c>
      <c r="M66" s="267">
        <v>2000</v>
      </c>
      <c r="N66" s="441">
        <v>14</v>
      </c>
      <c r="O66" s="269">
        <f t="shared" si="88"/>
        <v>28000</v>
      </c>
      <c r="P66" s="267">
        <v>2000</v>
      </c>
      <c r="Q66" s="441">
        <v>0</v>
      </c>
      <c r="R66" s="269">
        <f t="shared" si="89"/>
        <v>0</v>
      </c>
      <c r="S66" s="267">
        <v>2000</v>
      </c>
      <c r="T66" s="441">
        <v>11</v>
      </c>
      <c r="U66" s="269">
        <f t="shared" si="90"/>
        <v>22000</v>
      </c>
      <c r="V66" s="267">
        <v>2000</v>
      </c>
      <c r="W66" s="441">
        <v>0</v>
      </c>
      <c r="X66" s="270">
        <f t="shared" si="91"/>
        <v>0</v>
      </c>
      <c r="Y66" s="750">
        <f t="shared" si="92"/>
        <v>50000</v>
      </c>
      <c r="Z66" t="s">
        <v>1287</v>
      </c>
    </row>
    <row r="67" spans="1:27" ht="14.25" customHeight="1" x14ac:dyDescent="0.2">
      <c r="A67" s="66" t="s">
        <v>411</v>
      </c>
      <c r="B67" s="675" t="s">
        <v>180</v>
      </c>
      <c r="C67" s="676" t="s">
        <v>39</v>
      </c>
      <c r="D67" s="677" t="s">
        <v>117</v>
      </c>
      <c r="E67" s="678" t="s">
        <v>786</v>
      </c>
      <c r="F67" s="679" t="s">
        <v>772</v>
      </c>
      <c r="G67" s="680">
        <v>0</v>
      </c>
      <c r="H67" s="680">
        <v>2750</v>
      </c>
      <c r="I67" s="680">
        <v>234000</v>
      </c>
      <c r="J67" s="680">
        <f>228500+22500+5000</f>
        <v>256000</v>
      </c>
      <c r="K67" s="680">
        <v>125000</v>
      </c>
      <c r="L67" s="681">
        <v>0</v>
      </c>
      <c r="M67" s="682">
        <v>4500</v>
      </c>
      <c r="N67" s="680"/>
      <c r="O67" s="681">
        <f t="shared" si="10"/>
        <v>0</v>
      </c>
      <c r="P67" s="682">
        <v>4500</v>
      </c>
      <c r="Q67" s="680"/>
      <c r="R67" s="681">
        <f t="shared" si="89"/>
        <v>0</v>
      </c>
      <c r="S67" s="682">
        <v>4500</v>
      </c>
      <c r="T67" s="680"/>
      <c r="U67" s="681">
        <f t="shared" si="12"/>
        <v>0</v>
      </c>
      <c r="V67" s="682">
        <v>4500</v>
      </c>
      <c r="W67" s="680"/>
      <c r="X67" s="683">
        <f t="shared" si="13"/>
        <v>0</v>
      </c>
      <c r="Y67" s="684">
        <f t="shared" si="14"/>
        <v>0</v>
      </c>
      <c r="AA67" s="432" t="s">
        <v>1429</v>
      </c>
    </row>
    <row r="68" spans="1:27" ht="14.25" customHeight="1" x14ac:dyDescent="0.2">
      <c r="A68" s="66" t="s">
        <v>411</v>
      </c>
      <c r="B68" s="675" t="s">
        <v>180</v>
      </c>
      <c r="C68" s="676" t="s">
        <v>39</v>
      </c>
      <c r="D68" s="677" t="s">
        <v>117</v>
      </c>
      <c r="E68" s="685">
        <v>2017</v>
      </c>
      <c r="F68" s="679" t="s">
        <v>772</v>
      </c>
      <c r="G68" s="680">
        <v>0</v>
      </c>
      <c r="H68" s="680">
        <v>0</v>
      </c>
      <c r="I68" s="680">
        <v>0</v>
      </c>
      <c r="J68" s="680">
        <v>0</v>
      </c>
      <c r="K68" s="680">
        <v>0</v>
      </c>
      <c r="L68" s="681">
        <v>0</v>
      </c>
      <c r="M68" s="682">
        <v>4500</v>
      </c>
      <c r="N68" s="680">
        <v>0</v>
      </c>
      <c r="O68" s="681">
        <f t="shared" ref="O68" si="93">N68*M68</f>
        <v>0</v>
      </c>
      <c r="P68" s="682">
        <v>4500</v>
      </c>
      <c r="Q68" s="680">
        <v>39</v>
      </c>
      <c r="R68" s="681">
        <f t="shared" ref="R68" si="94">Q68*P68</f>
        <v>175500</v>
      </c>
      <c r="S68" s="682">
        <v>4500</v>
      </c>
      <c r="T68" s="680">
        <v>0</v>
      </c>
      <c r="U68" s="681">
        <f t="shared" ref="U68" si="95">T68*S68</f>
        <v>0</v>
      </c>
      <c r="V68" s="682">
        <v>4500</v>
      </c>
      <c r="W68" s="680"/>
      <c r="X68" s="683">
        <f t="shared" ref="X68" si="96">W68*V68</f>
        <v>0</v>
      </c>
      <c r="Y68" s="751">
        <f t="shared" ref="Y68" si="97">X68+U68+R68+O68</f>
        <v>175500</v>
      </c>
      <c r="Z68" t="s">
        <v>1287</v>
      </c>
      <c r="AA68" s="432" t="s">
        <v>1429</v>
      </c>
    </row>
    <row r="69" spans="1:27" ht="14.25" customHeight="1" x14ac:dyDescent="0.2">
      <c r="A69" s="66" t="s">
        <v>411</v>
      </c>
      <c r="B69" s="675" t="s">
        <v>180</v>
      </c>
      <c r="C69" s="676" t="s">
        <v>39</v>
      </c>
      <c r="D69" s="677" t="s">
        <v>117</v>
      </c>
      <c r="E69" s="685">
        <v>2017</v>
      </c>
      <c r="F69" s="679" t="s">
        <v>772</v>
      </c>
      <c r="G69" s="680">
        <v>0</v>
      </c>
      <c r="H69" s="680">
        <v>0</v>
      </c>
      <c r="I69" s="680">
        <v>0</v>
      </c>
      <c r="J69" s="680">
        <v>0</v>
      </c>
      <c r="K69" s="680">
        <v>0</v>
      </c>
      <c r="L69" s="681">
        <v>0</v>
      </c>
      <c r="M69" s="682">
        <v>4500</v>
      </c>
      <c r="N69" s="680">
        <v>3</v>
      </c>
      <c r="O69" s="681">
        <f t="shared" ref="O69" si="98">N69*M69</f>
        <v>13500</v>
      </c>
      <c r="P69" s="682">
        <v>4500</v>
      </c>
      <c r="Q69" s="680">
        <v>2</v>
      </c>
      <c r="R69" s="681">
        <f t="shared" ref="R69" si="99">Q69*P69</f>
        <v>9000</v>
      </c>
      <c r="S69" s="682">
        <v>4500</v>
      </c>
      <c r="T69" s="680">
        <v>3</v>
      </c>
      <c r="U69" s="681">
        <f t="shared" ref="U69" si="100">T69*S69</f>
        <v>13500</v>
      </c>
      <c r="V69" s="682">
        <v>4500</v>
      </c>
      <c r="W69" s="680">
        <v>2</v>
      </c>
      <c r="X69" s="683">
        <f t="shared" ref="X69" si="101">W69*V69</f>
        <v>9000</v>
      </c>
      <c r="Y69" s="751">
        <f t="shared" ref="Y69" si="102">X69+U69+R69+O69</f>
        <v>45000</v>
      </c>
      <c r="Z69" t="s">
        <v>1287</v>
      </c>
      <c r="AA69" s="432" t="s">
        <v>1429</v>
      </c>
    </row>
    <row r="70" spans="1:27" ht="14.25" customHeight="1" x14ac:dyDescent="0.2">
      <c r="A70" s="66" t="s">
        <v>412</v>
      </c>
      <c r="B70" s="675" t="s">
        <v>181</v>
      </c>
      <c r="C70" s="676" t="s">
        <v>39</v>
      </c>
      <c r="D70" s="677" t="s">
        <v>117</v>
      </c>
      <c r="E70" s="678" t="s">
        <v>786</v>
      </c>
      <c r="F70" s="679" t="s">
        <v>772</v>
      </c>
      <c r="G70" s="680">
        <v>0</v>
      </c>
      <c r="H70" s="680">
        <v>14750</v>
      </c>
      <c r="I70" s="680">
        <v>7125</v>
      </c>
      <c r="J70" s="680">
        <v>6000</v>
      </c>
      <c r="K70" s="680">
        <v>10125</v>
      </c>
      <c r="L70" s="681">
        <v>0</v>
      </c>
      <c r="M70" s="682"/>
      <c r="N70" s="680"/>
      <c r="O70" s="681">
        <f t="shared" si="10"/>
        <v>0</v>
      </c>
      <c r="P70" s="682"/>
      <c r="Q70" s="680"/>
      <c r="R70" s="681">
        <f t="shared" si="11"/>
        <v>0</v>
      </c>
      <c r="S70" s="682"/>
      <c r="T70" s="680"/>
      <c r="U70" s="681">
        <f t="shared" si="12"/>
        <v>0</v>
      </c>
      <c r="V70" s="682"/>
      <c r="W70" s="680"/>
      <c r="X70" s="683">
        <f t="shared" si="13"/>
        <v>0</v>
      </c>
      <c r="Y70" s="684">
        <f t="shared" si="14"/>
        <v>0</v>
      </c>
      <c r="AA70" s="432" t="s">
        <v>1429</v>
      </c>
    </row>
    <row r="71" spans="1:27" ht="14.25" customHeight="1" x14ac:dyDescent="0.2">
      <c r="A71" s="66" t="s">
        <v>412</v>
      </c>
      <c r="B71" s="675" t="s">
        <v>181</v>
      </c>
      <c r="C71" s="676" t="s">
        <v>39</v>
      </c>
      <c r="D71" s="677" t="s">
        <v>117</v>
      </c>
      <c r="E71" s="685">
        <v>2017</v>
      </c>
      <c r="F71" s="679" t="s">
        <v>772</v>
      </c>
      <c r="G71" s="680">
        <v>0</v>
      </c>
      <c r="H71" s="680">
        <v>0</v>
      </c>
      <c r="I71" s="680">
        <v>0</v>
      </c>
      <c r="J71" s="680">
        <v>0</v>
      </c>
      <c r="K71" s="680">
        <v>0</v>
      </c>
      <c r="L71" s="681">
        <v>0</v>
      </c>
      <c r="M71" s="682"/>
      <c r="N71" s="680"/>
      <c r="O71" s="681">
        <f t="shared" ref="O71" si="103">N71*M71</f>
        <v>0</v>
      </c>
      <c r="P71" s="682"/>
      <c r="Q71" s="680"/>
      <c r="R71" s="681">
        <f t="shared" ref="R71:R74" si="104">Q71*P71</f>
        <v>0</v>
      </c>
      <c r="S71" s="682"/>
      <c r="T71" s="680"/>
      <c r="U71" s="681">
        <f t="shared" ref="U71:U74" si="105">T71*S71</f>
        <v>0</v>
      </c>
      <c r="V71" s="682"/>
      <c r="W71" s="680"/>
      <c r="X71" s="683">
        <f t="shared" ref="X71:X74" si="106">W71*V71</f>
        <v>0</v>
      </c>
      <c r="Y71" s="684">
        <f t="shared" ref="Y71" si="107">X71+U71+R71+O71</f>
        <v>0</v>
      </c>
      <c r="AA71" s="432" t="s">
        <v>1429</v>
      </c>
    </row>
    <row r="72" spans="1:27" ht="14.25" customHeight="1" x14ac:dyDescent="0.2">
      <c r="A72" s="66" t="s">
        <v>412</v>
      </c>
      <c r="B72" s="675" t="s">
        <v>181</v>
      </c>
      <c r="C72" s="676" t="s">
        <v>39</v>
      </c>
      <c r="D72" s="677" t="s">
        <v>117</v>
      </c>
      <c r="E72" s="685">
        <v>2017</v>
      </c>
      <c r="F72" s="679" t="s">
        <v>772</v>
      </c>
      <c r="G72" s="680">
        <v>0</v>
      </c>
      <c r="H72" s="680">
        <v>0</v>
      </c>
      <c r="I72" s="680">
        <v>0</v>
      </c>
      <c r="J72" s="680">
        <v>0</v>
      </c>
      <c r="K72" s="680">
        <v>0</v>
      </c>
      <c r="L72" s="681">
        <v>0</v>
      </c>
      <c r="M72" s="682">
        <f>1375/3</f>
        <v>458.33333333333331</v>
      </c>
      <c r="N72" s="680">
        <v>3</v>
      </c>
      <c r="O72" s="681">
        <f t="shared" ref="O72" si="108">N72*M72</f>
        <v>1375</v>
      </c>
      <c r="P72" s="682">
        <f>1375/3</f>
        <v>458.33333333333331</v>
      </c>
      <c r="Q72" s="680">
        <v>3</v>
      </c>
      <c r="R72" s="681">
        <f t="shared" si="104"/>
        <v>1375</v>
      </c>
      <c r="S72" s="682">
        <f>1375/3</f>
        <v>458.33333333333331</v>
      </c>
      <c r="T72" s="680">
        <v>3</v>
      </c>
      <c r="U72" s="681">
        <f t="shared" si="105"/>
        <v>1375</v>
      </c>
      <c r="V72" s="682">
        <f>1375/3</f>
        <v>458.33333333333331</v>
      </c>
      <c r="W72" s="680">
        <v>3</v>
      </c>
      <c r="X72" s="683">
        <f t="shared" si="106"/>
        <v>1375</v>
      </c>
      <c r="Y72" s="684">
        <f t="shared" ref="Y72" si="109">X72+U72+R72+O72</f>
        <v>5500</v>
      </c>
      <c r="Z72" s="367" t="s">
        <v>1287</v>
      </c>
      <c r="AA72" s="432" t="s">
        <v>1429</v>
      </c>
    </row>
    <row r="73" spans="1:27" ht="14.25" customHeight="1" x14ac:dyDescent="0.2">
      <c r="A73" s="754" t="s">
        <v>410</v>
      </c>
      <c r="B73" s="675" t="s">
        <v>1151</v>
      </c>
      <c r="C73" s="676" t="s">
        <v>39</v>
      </c>
      <c r="D73" s="677" t="s">
        <v>117</v>
      </c>
      <c r="E73" s="678">
        <v>2016</v>
      </c>
      <c r="F73" s="679" t="s">
        <v>772</v>
      </c>
      <c r="G73" s="680">
        <v>0</v>
      </c>
      <c r="H73" s="680">
        <v>0</v>
      </c>
      <c r="I73" s="680">
        <v>0</v>
      </c>
      <c r="J73" s="680">
        <v>0</v>
      </c>
      <c r="K73" s="680">
        <v>0</v>
      </c>
      <c r="L73" s="681">
        <f t="shared" ref="L73:L82" si="110">G73-K73</f>
        <v>0</v>
      </c>
      <c r="M73" s="682">
        <f>937.5/3</f>
        <v>312.5</v>
      </c>
      <c r="N73" s="680">
        <v>3</v>
      </c>
      <c r="O73" s="681">
        <f t="shared" si="10"/>
        <v>937.5</v>
      </c>
      <c r="P73" s="682">
        <f>937.5/3</f>
        <v>312.5</v>
      </c>
      <c r="Q73" s="680">
        <v>3</v>
      </c>
      <c r="R73" s="681">
        <f t="shared" si="104"/>
        <v>937.5</v>
      </c>
      <c r="S73" s="682">
        <f>937.5/3</f>
        <v>312.5</v>
      </c>
      <c r="T73" s="680">
        <v>3</v>
      </c>
      <c r="U73" s="681">
        <f t="shared" si="105"/>
        <v>937.5</v>
      </c>
      <c r="V73" s="682">
        <f>937.5/3</f>
        <v>312.5</v>
      </c>
      <c r="W73" s="680">
        <v>3</v>
      </c>
      <c r="X73" s="683">
        <f t="shared" si="106"/>
        <v>937.5</v>
      </c>
      <c r="Y73" s="684">
        <f t="shared" si="14"/>
        <v>3750</v>
      </c>
      <c r="Z73" s="367" t="s">
        <v>1287</v>
      </c>
      <c r="AA73" s="432" t="s">
        <v>1429</v>
      </c>
    </row>
    <row r="74" spans="1:27" ht="14.25" customHeight="1" x14ac:dyDescent="0.2">
      <c r="A74" s="66" t="s">
        <v>413</v>
      </c>
      <c r="B74" s="675" t="s">
        <v>182</v>
      </c>
      <c r="C74" s="676" t="s">
        <v>39</v>
      </c>
      <c r="D74" s="677" t="s">
        <v>117</v>
      </c>
      <c r="E74" s="685">
        <v>2016</v>
      </c>
      <c r="F74" s="679" t="s">
        <v>772</v>
      </c>
      <c r="G74" s="680">
        <v>0</v>
      </c>
      <c r="H74" s="680">
        <v>14375</v>
      </c>
      <c r="I74" s="680">
        <v>15000</v>
      </c>
      <c r="J74" s="680">
        <f>11425+6375</f>
        <v>17800</v>
      </c>
      <c r="K74" s="680">
        <v>14348.25</v>
      </c>
      <c r="L74" s="681">
        <v>0</v>
      </c>
      <c r="M74" s="682">
        <f>10000/4/3</f>
        <v>833.33333333333337</v>
      </c>
      <c r="N74" s="680">
        <v>3</v>
      </c>
      <c r="O74" s="681">
        <f t="shared" si="10"/>
        <v>2500</v>
      </c>
      <c r="P74" s="682">
        <f>10000/4/3</f>
        <v>833.33333333333337</v>
      </c>
      <c r="Q74" s="680">
        <v>3</v>
      </c>
      <c r="R74" s="681">
        <f t="shared" si="104"/>
        <v>2500</v>
      </c>
      <c r="S74" s="682">
        <f>10000/4/3</f>
        <v>833.33333333333337</v>
      </c>
      <c r="T74" s="680">
        <v>3</v>
      </c>
      <c r="U74" s="681">
        <f t="shared" si="105"/>
        <v>2500</v>
      </c>
      <c r="V74" s="682">
        <f>10000/4/3</f>
        <v>833.33333333333337</v>
      </c>
      <c r="W74" s="680">
        <v>3</v>
      </c>
      <c r="X74" s="683">
        <f t="shared" si="106"/>
        <v>2500</v>
      </c>
      <c r="Y74" s="684">
        <f t="shared" si="14"/>
        <v>10000</v>
      </c>
      <c r="Z74" s="367" t="s">
        <v>1287</v>
      </c>
      <c r="AA74" s="432" t="s">
        <v>1429</v>
      </c>
    </row>
    <row r="75" spans="1:27" ht="14.25" customHeight="1" x14ac:dyDescent="0.2">
      <c r="A75" s="66" t="s">
        <v>413</v>
      </c>
      <c r="B75" s="675" t="s">
        <v>182</v>
      </c>
      <c r="C75" s="676" t="s">
        <v>39</v>
      </c>
      <c r="D75" s="677" t="s">
        <v>117</v>
      </c>
      <c r="E75" s="685">
        <v>2016</v>
      </c>
      <c r="F75" s="679" t="s">
        <v>772</v>
      </c>
      <c r="G75" s="680">
        <v>0</v>
      </c>
      <c r="H75" s="680">
        <v>0</v>
      </c>
      <c r="I75" s="680">
        <v>0</v>
      </c>
      <c r="J75" s="680">
        <v>0</v>
      </c>
      <c r="K75" s="680">
        <v>0</v>
      </c>
      <c r="L75" s="681">
        <v>0</v>
      </c>
      <c r="M75" s="682"/>
      <c r="N75" s="680"/>
      <c r="O75" s="681">
        <f t="shared" ref="O75" si="111">N75*M75</f>
        <v>0</v>
      </c>
      <c r="P75" s="682"/>
      <c r="Q75" s="680"/>
      <c r="R75" s="681">
        <f t="shared" ref="R75" si="112">Q75*P75</f>
        <v>0</v>
      </c>
      <c r="S75" s="682"/>
      <c r="T75" s="680"/>
      <c r="U75" s="681">
        <f t="shared" ref="U75" si="113">T75*S75</f>
        <v>0</v>
      </c>
      <c r="V75" s="682"/>
      <c r="W75" s="680"/>
      <c r="X75" s="683">
        <f t="shared" ref="X75" si="114">W75*V75</f>
        <v>0</v>
      </c>
      <c r="Y75" s="684">
        <f t="shared" ref="Y75" si="115">X75+U75+R75+O75</f>
        <v>0</v>
      </c>
      <c r="AA75" s="432" t="s">
        <v>1429</v>
      </c>
    </row>
    <row r="76" spans="1:27" ht="14.25" customHeight="1" x14ac:dyDescent="0.2">
      <c r="A76" s="66"/>
      <c r="B76" s="16"/>
      <c r="C76" s="71"/>
      <c r="D76" s="17"/>
      <c r="E76" s="271"/>
      <c r="F76" s="274"/>
      <c r="G76" s="268"/>
      <c r="H76" s="268"/>
      <c r="I76" s="268"/>
      <c r="J76" s="268"/>
      <c r="K76" s="268"/>
      <c r="L76" s="269"/>
      <c r="M76" s="267"/>
      <c r="N76" s="268"/>
      <c r="O76" s="269"/>
      <c r="P76" s="267"/>
      <c r="Q76" s="268"/>
      <c r="R76" s="269"/>
      <c r="S76" s="267"/>
      <c r="T76" s="268"/>
      <c r="U76" s="269"/>
      <c r="V76" s="267"/>
      <c r="W76" s="268"/>
      <c r="X76" s="270"/>
      <c r="Y76" s="58"/>
    </row>
    <row r="77" spans="1:27" ht="14.25" customHeight="1" x14ac:dyDescent="0.2">
      <c r="A77" s="66"/>
      <c r="B77" s="69" t="s">
        <v>794</v>
      </c>
      <c r="C77" s="17"/>
      <c r="D77" s="17"/>
      <c r="E77" s="276"/>
      <c r="F77" s="277"/>
      <c r="G77" s="251">
        <f t="shared" ref="G77:L77" si="116">SUM(G78:G82)</f>
        <v>1688223.06</v>
      </c>
      <c r="H77" s="251">
        <f t="shared" si="116"/>
        <v>345680.15</v>
      </c>
      <c r="I77" s="251">
        <f t="shared" si="116"/>
        <v>411969.89</v>
      </c>
      <c r="J77" s="251">
        <f t="shared" si="116"/>
        <v>318966.38</v>
      </c>
      <c r="K77" s="251">
        <f t="shared" si="116"/>
        <v>375536.64000000001</v>
      </c>
      <c r="L77" s="249">
        <f t="shared" si="116"/>
        <v>257070</v>
      </c>
      <c r="M77" s="13"/>
      <c r="N77" s="14"/>
      <c r="O77" s="249">
        <f>SUM(O78:O82)</f>
        <v>66267.5</v>
      </c>
      <c r="P77" s="250"/>
      <c r="Q77" s="251"/>
      <c r="R77" s="249">
        <f>SUM(R78:R82)</f>
        <v>66267.5</v>
      </c>
      <c r="S77" s="250"/>
      <c r="T77" s="251"/>
      <c r="U77" s="249">
        <f>SUM(U78:U82)</f>
        <v>66267.5</v>
      </c>
      <c r="V77" s="250"/>
      <c r="W77" s="251"/>
      <c r="X77" s="252">
        <f>SUM(X78:X82)</f>
        <v>66267.5</v>
      </c>
      <c r="Y77" s="253">
        <f>SUM(Y78:Y82)</f>
        <v>265070</v>
      </c>
      <c r="Z77" s="367"/>
    </row>
    <row r="78" spans="1:27" ht="14.25" customHeight="1" x14ac:dyDescent="0.2">
      <c r="A78" s="66" t="s">
        <v>415</v>
      </c>
      <c r="B78" s="37" t="s">
        <v>178</v>
      </c>
      <c r="C78" s="71" t="s">
        <v>39</v>
      </c>
      <c r="D78" s="17" t="s">
        <v>121</v>
      </c>
      <c r="E78" s="416">
        <v>2017</v>
      </c>
      <c r="F78" s="275" t="s">
        <v>772</v>
      </c>
      <c r="G78" s="441">
        <v>0</v>
      </c>
      <c r="H78" s="441">
        <v>0</v>
      </c>
      <c r="I78" s="441">
        <v>0</v>
      </c>
      <c r="J78" s="441">
        <v>0</v>
      </c>
      <c r="K78" s="14">
        <v>0</v>
      </c>
      <c r="L78" s="15">
        <v>0</v>
      </c>
      <c r="M78" s="267"/>
      <c r="N78" s="441"/>
      <c r="O78" s="269">
        <f t="shared" si="10"/>
        <v>0</v>
      </c>
      <c r="P78" s="267"/>
      <c r="Q78" s="441"/>
      <c r="R78" s="269">
        <f t="shared" si="11"/>
        <v>0</v>
      </c>
      <c r="S78" s="267"/>
      <c r="T78" s="441"/>
      <c r="U78" s="269">
        <f t="shared" si="12"/>
        <v>0</v>
      </c>
      <c r="V78" s="267"/>
      <c r="W78" s="441"/>
      <c r="X78" s="270">
        <f t="shared" si="13"/>
        <v>0</v>
      </c>
      <c r="Y78" s="58">
        <f t="shared" si="14"/>
        <v>0</v>
      </c>
    </row>
    <row r="79" spans="1:27" ht="14.25" customHeight="1" x14ac:dyDescent="0.2">
      <c r="A79" s="66" t="s">
        <v>416</v>
      </c>
      <c r="B79" s="434" t="s">
        <v>179</v>
      </c>
      <c r="C79" s="483" t="s">
        <v>39</v>
      </c>
      <c r="D79" s="472" t="s">
        <v>121</v>
      </c>
      <c r="E79" s="415">
        <v>2017</v>
      </c>
      <c r="F79" s="275" t="s">
        <v>772</v>
      </c>
      <c r="G79" s="441">
        <v>0</v>
      </c>
      <c r="H79" s="441">
        <f>19178.14-13178.14</f>
        <v>6000</v>
      </c>
      <c r="I79" s="441">
        <f>13178.14-12178.14</f>
        <v>1000</v>
      </c>
      <c r="J79" s="441">
        <f>8500-3500</f>
        <v>5000</v>
      </c>
      <c r="K79" s="441">
        <v>9000</v>
      </c>
      <c r="L79" s="269">
        <v>0</v>
      </c>
      <c r="M79" s="267">
        <v>1000</v>
      </c>
      <c r="N79" s="441">
        <v>2</v>
      </c>
      <c r="O79" s="269">
        <f t="shared" ref="O79" si="117">N79*M79</f>
        <v>2000</v>
      </c>
      <c r="P79" s="267">
        <v>1000</v>
      </c>
      <c r="Q79" s="441">
        <v>2</v>
      </c>
      <c r="R79" s="269">
        <f t="shared" ref="R79" si="118">Q79*P79</f>
        <v>2000</v>
      </c>
      <c r="S79" s="267">
        <v>1000</v>
      </c>
      <c r="T79" s="441">
        <v>2</v>
      </c>
      <c r="U79" s="269">
        <f t="shared" ref="U79" si="119">T79*S79</f>
        <v>2000</v>
      </c>
      <c r="V79" s="267">
        <v>1000</v>
      </c>
      <c r="W79" s="441">
        <v>2</v>
      </c>
      <c r="X79" s="270">
        <f t="shared" si="3"/>
        <v>2000</v>
      </c>
      <c r="Y79" s="473">
        <f t="shared" ref="Y79" si="120">X79+U79+R79+O79</f>
        <v>8000</v>
      </c>
      <c r="Z79" s="367" t="s">
        <v>1287</v>
      </c>
    </row>
    <row r="80" spans="1:27" ht="14.25" customHeight="1" x14ac:dyDescent="0.2">
      <c r="A80" s="66" t="s">
        <v>417</v>
      </c>
      <c r="B80" s="37" t="s">
        <v>180</v>
      </c>
      <c r="C80" s="71" t="s">
        <v>39</v>
      </c>
      <c r="D80" s="17" t="s">
        <v>121</v>
      </c>
      <c r="E80" s="415">
        <v>2017</v>
      </c>
      <c r="F80" s="275" t="s">
        <v>772</v>
      </c>
      <c r="G80" s="441">
        <v>0</v>
      </c>
      <c r="H80" s="441">
        <v>0</v>
      </c>
      <c r="I80" s="441">
        <v>0</v>
      </c>
      <c r="J80" s="441">
        <v>0</v>
      </c>
      <c r="K80" s="14">
        <v>0</v>
      </c>
      <c r="L80" s="15">
        <v>0</v>
      </c>
      <c r="M80" s="267">
        <v>4500</v>
      </c>
      <c r="N80" s="441"/>
      <c r="O80" s="269">
        <f t="shared" si="0"/>
        <v>0</v>
      </c>
      <c r="P80" s="267">
        <v>4500</v>
      </c>
      <c r="Q80" s="441"/>
      <c r="R80" s="269">
        <f t="shared" si="1"/>
        <v>0</v>
      </c>
      <c r="S80" s="267">
        <v>4500</v>
      </c>
      <c r="T80" s="441"/>
      <c r="U80" s="269">
        <f t="shared" si="2"/>
        <v>0</v>
      </c>
      <c r="V80" s="267">
        <v>4500</v>
      </c>
      <c r="W80" s="441"/>
      <c r="X80" s="270">
        <f t="shared" si="3"/>
        <v>0</v>
      </c>
      <c r="Y80" s="58">
        <f t="shared" si="4"/>
        <v>0</v>
      </c>
    </row>
    <row r="81" spans="1:27" ht="14.25" customHeight="1" x14ac:dyDescent="0.2">
      <c r="A81" s="66" t="s">
        <v>418</v>
      </c>
      <c r="B81" s="37" t="s">
        <v>173</v>
      </c>
      <c r="C81" s="71" t="s">
        <v>39</v>
      </c>
      <c r="D81" s="17" t="s">
        <v>121</v>
      </c>
      <c r="E81" s="416" t="s">
        <v>786</v>
      </c>
      <c r="F81" s="275" t="s">
        <v>1082</v>
      </c>
      <c r="G81" s="418">
        <f>332804.89+339680.15+410969.89+313966.38+32571.11+1160.64</f>
        <v>1431153.06</v>
      </c>
      <c r="H81" s="441">
        <v>339680.15</v>
      </c>
      <c r="I81" s="441">
        <v>410969.89</v>
      </c>
      <c r="J81" s="441">
        <v>313966.38</v>
      </c>
      <c r="K81" s="14">
        <v>366536.64</v>
      </c>
      <c r="L81" s="433">
        <f t="shared" ref="L81" si="121">G81-H81-I81-J81-K81</f>
        <v>0</v>
      </c>
      <c r="M81" s="267"/>
      <c r="N81" s="441"/>
      <c r="O81" s="269">
        <f t="shared" ref="O81" si="122">N81*M81</f>
        <v>0</v>
      </c>
      <c r="P81" s="267"/>
      <c r="Q81" s="441"/>
      <c r="R81" s="269">
        <f t="shared" ref="R81:R82" si="123">Q81*P81</f>
        <v>0</v>
      </c>
      <c r="S81" s="267"/>
      <c r="T81" s="441"/>
      <c r="U81" s="269">
        <f t="shared" ref="U81:U82" si="124">T81*S81</f>
        <v>0</v>
      </c>
      <c r="V81" s="267"/>
      <c r="W81" s="441"/>
      <c r="X81" s="270">
        <f t="shared" ref="X81:X82" si="125">W81*V81</f>
        <v>0</v>
      </c>
      <c r="Y81" s="58">
        <f t="shared" ref="Y81" si="126">X81+U81+R81+O81</f>
        <v>0</v>
      </c>
    </row>
    <row r="82" spans="1:27" ht="14.25" customHeight="1" x14ac:dyDescent="0.2">
      <c r="A82" s="66" t="s">
        <v>418</v>
      </c>
      <c r="B82" s="37" t="s">
        <v>173</v>
      </c>
      <c r="C82" s="71" t="s">
        <v>39</v>
      </c>
      <c r="D82" s="17" t="s">
        <v>121</v>
      </c>
      <c r="E82" s="415">
        <v>2017</v>
      </c>
      <c r="F82" s="275" t="s">
        <v>1082</v>
      </c>
      <c r="G82" s="441">
        <v>257070</v>
      </c>
      <c r="H82" s="441">
        <v>0</v>
      </c>
      <c r="I82" s="441">
        <v>0</v>
      </c>
      <c r="J82" s="441">
        <v>0</v>
      </c>
      <c r="K82" s="441">
        <v>0</v>
      </c>
      <c r="L82" s="269">
        <f t="shared" si="110"/>
        <v>257070</v>
      </c>
      <c r="M82" s="267">
        <f>64267.5/43</f>
        <v>1494.5930232558139</v>
      </c>
      <c r="N82" s="441">
        <v>43</v>
      </c>
      <c r="O82" s="269">
        <f t="shared" si="0"/>
        <v>64267.5</v>
      </c>
      <c r="P82" s="267">
        <f>64267.5/43</f>
        <v>1494.5930232558139</v>
      </c>
      <c r="Q82" s="441">
        <v>43</v>
      </c>
      <c r="R82" s="269">
        <f t="shared" si="123"/>
        <v>64267.5</v>
      </c>
      <c r="S82" s="267">
        <f>64267.5/43</f>
        <v>1494.5930232558139</v>
      </c>
      <c r="T82" s="441">
        <v>43</v>
      </c>
      <c r="U82" s="269">
        <f t="shared" si="124"/>
        <v>64267.5</v>
      </c>
      <c r="V82" s="267">
        <f>64267.5/43</f>
        <v>1494.5930232558139</v>
      </c>
      <c r="W82" s="441">
        <v>43</v>
      </c>
      <c r="X82" s="270">
        <f t="shared" si="125"/>
        <v>64267.5</v>
      </c>
      <c r="Y82" s="58">
        <f t="shared" si="4"/>
        <v>257070</v>
      </c>
      <c r="Z82" s="367" t="s">
        <v>1287</v>
      </c>
    </row>
    <row r="83" spans="1:27" ht="14.25" customHeight="1" x14ac:dyDescent="0.2">
      <c r="A83" s="66"/>
      <c r="B83" s="37"/>
      <c r="C83" s="71"/>
      <c r="D83" s="17"/>
      <c r="E83" s="276"/>
      <c r="F83" s="277"/>
      <c r="G83" s="14"/>
      <c r="H83" s="14"/>
      <c r="I83" s="14"/>
      <c r="J83" s="14"/>
      <c r="K83" s="14"/>
      <c r="L83" s="15"/>
      <c r="M83" s="13"/>
      <c r="N83" s="14"/>
      <c r="O83" s="15"/>
      <c r="P83" s="13"/>
      <c r="Q83" s="14"/>
      <c r="R83" s="15"/>
      <c r="S83" s="13"/>
      <c r="T83" s="14"/>
      <c r="U83" s="15"/>
      <c r="V83" s="13"/>
      <c r="W83" s="14"/>
      <c r="X83" s="54"/>
      <c r="Y83" s="58"/>
    </row>
    <row r="84" spans="1:27" ht="14.25" customHeight="1" x14ac:dyDescent="0.2">
      <c r="A84" s="66"/>
      <c r="B84" s="69" t="s">
        <v>671</v>
      </c>
      <c r="C84" s="17"/>
      <c r="D84" s="17"/>
      <c r="E84" s="276"/>
      <c r="F84" s="277"/>
      <c r="G84" s="251">
        <f t="shared" ref="G84:K84" si="127">SUM(G85:G92)</f>
        <v>6038834.75</v>
      </c>
      <c r="H84" s="251">
        <f t="shared" si="127"/>
        <v>808324.06</v>
      </c>
      <c r="I84" s="251">
        <f t="shared" si="127"/>
        <v>1112218.6299999999</v>
      </c>
      <c r="J84" s="251">
        <f t="shared" si="127"/>
        <v>1233842.49</v>
      </c>
      <c r="K84" s="251">
        <f t="shared" si="127"/>
        <v>834099.96</v>
      </c>
      <c r="L84" s="249">
        <f>SUM(L85:L92)</f>
        <v>2061249.6099999999</v>
      </c>
      <c r="M84" s="13"/>
      <c r="N84" s="14"/>
      <c r="O84" s="249">
        <f>SUM(O85:O92)</f>
        <v>367901</v>
      </c>
      <c r="P84" s="250"/>
      <c r="Q84" s="251"/>
      <c r="R84" s="249">
        <f>SUM(R85:R92)</f>
        <v>367901.02</v>
      </c>
      <c r="S84" s="250"/>
      <c r="T84" s="251"/>
      <c r="U84" s="249">
        <f>SUM(U85:U92)</f>
        <v>255314.43</v>
      </c>
      <c r="V84" s="250"/>
      <c r="W84" s="251"/>
      <c r="X84" s="252">
        <f>SUM(X85:X92)</f>
        <v>334267.01</v>
      </c>
      <c r="Y84" s="253">
        <f>SUM(Y85:Y92)</f>
        <v>1325383.46</v>
      </c>
    </row>
    <row r="85" spans="1:27" ht="14.25" customHeight="1" x14ac:dyDescent="0.2">
      <c r="A85" s="66" t="s">
        <v>420</v>
      </c>
      <c r="B85" s="29" t="s">
        <v>171</v>
      </c>
      <c r="C85" s="17" t="s">
        <v>37</v>
      </c>
      <c r="D85" s="17" t="s">
        <v>116</v>
      </c>
      <c r="E85" s="416" t="s">
        <v>786</v>
      </c>
      <c r="F85" s="310">
        <v>42643</v>
      </c>
      <c r="G85" s="418">
        <f>611591.14+1023161.08+1161438.59+475188.57</f>
        <v>3271379.38</v>
      </c>
      <c r="H85" s="418">
        <v>611591.14</v>
      </c>
      <c r="I85" s="418">
        <v>1023161.08</v>
      </c>
      <c r="J85" s="418">
        <v>1161438.5900000001</v>
      </c>
      <c r="K85" s="418">
        <f>376934.51+37087.19+61166.87</f>
        <v>475188.57</v>
      </c>
      <c r="L85" s="433">
        <f t="shared" ref="L85:L91" si="128">G85-H85-I85-J85-K85</f>
        <v>0</v>
      </c>
      <c r="M85" s="267"/>
      <c r="N85" s="418"/>
      <c r="O85" s="269">
        <f t="shared" ref="O85:O98" si="129">N85*M85</f>
        <v>0</v>
      </c>
      <c r="P85" s="267"/>
      <c r="Q85" s="418"/>
      <c r="R85" s="269">
        <f t="shared" ref="R85:R98" si="130">Q85*P85</f>
        <v>0</v>
      </c>
      <c r="S85" s="267"/>
      <c r="T85" s="418"/>
      <c r="U85" s="269">
        <f t="shared" ref="U85:U98" si="131">T85*S85</f>
        <v>0</v>
      </c>
      <c r="V85" s="267"/>
      <c r="W85" s="418"/>
      <c r="X85" s="270">
        <f t="shared" ref="X85:X98" si="132">W85*V85</f>
        <v>0</v>
      </c>
      <c r="Y85" s="58">
        <f t="shared" ref="Y85:Y109" si="133">X85+U85+R85+O85</f>
        <v>0</v>
      </c>
    </row>
    <row r="86" spans="1:27" ht="14.25" customHeight="1" x14ac:dyDescent="0.2">
      <c r="A86" s="66" t="s">
        <v>420</v>
      </c>
      <c r="B86" s="29" t="s">
        <v>171</v>
      </c>
      <c r="C86" s="17" t="s">
        <v>37</v>
      </c>
      <c r="D86" s="17" t="s">
        <v>116</v>
      </c>
      <c r="E86" s="415">
        <v>2016</v>
      </c>
      <c r="F86" s="310">
        <v>43008</v>
      </c>
      <c r="G86" s="418">
        <v>947383</v>
      </c>
      <c r="H86" s="418">
        <v>0</v>
      </c>
      <c r="I86" s="418">
        <v>0</v>
      </c>
      <c r="J86" s="418">
        <v>0</v>
      </c>
      <c r="K86" s="418">
        <f>354252.26-61166.87</f>
        <v>293085.39</v>
      </c>
      <c r="L86" s="433">
        <f t="shared" si="128"/>
        <v>654297.61</v>
      </c>
      <c r="M86" s="267">
        <v>78948.67</v>
      </c>
      <c r="N86" s="418">
        <v>3</v>
      </c>
      <c r="O86" s="269">
        <f t="shared" ref="O86" si="134">N86*M86</f>
        <v>236846.01</v>
      </c>
      <c r="P86" s="267">
        <v>78948.67</v>
      </c>
      <c r="Q86" s="418">
        <v>3</v>
      </c>
      <c r="R86" s="269">
        <f t="shared" ref="R86" si="135">Q86*P86</f>
        <v>236846.01</v>
      </c>
      <c r="S86" s="267">
        <v>78948.67</v>
      </c>
      <c r="T86" s="418">
        <f>1.017</f>
        <v>1.0169999999999999</v>
      </c>
      <c r="U86" s="269">
        <f>(T86*S86)</f>
        <v>80290.797389999992</v>
      </c>
      <c r="V86" s="267">
        <v>0</v>
      </c>
      <c r="W86" s="418">
        <v>0</v>
      </c>
      <c r="X86" s="270">
        <f t="shared" ref="X86" si="136">W86*V86</f>
        <v>0</v>
      </c>
      <c r="Y86" s="58">
        <f t="shared" ref="Y86" si="137">X86+U86+R86+O86</f>
        <v>553982.81738999998</v>
      </c>
      <c r="Z86" s="367" t="s">
        <v>1287</v>
      </c>
      <c r="AA86" s="2"/>
    </row>
    <row r="87" spans="1:27" ht="14.25" customHeight="1" x14ac:dyDescent="0.2">
      <c r="A87" s="66" t="s">
        <v>420</v>
      </c>
      <c r="B87" s="29" t="s">
        <v>171</v>
      </c>
      <c r="C87" s="17" t="s">
        <v>37</v>
      </c>
      <c r="D87" s="17" t="s">
        <v>116</v>
      </c>
      <c r="E87" s="415">
        <v>2017</v>
      </c>
      <c r="F87" s="310">
        <v>43373</v>
      </c>
      <c r="G87" s="418">
        <v>950000</v>
      </c>
      <c r="H87" s="418">
        <v>0</v>
      </c>
      <c r="I87" s="418">
        <v>0</v>
      </c>
      <c r="J87" s="418">
        <v>0</v>
      </c>
      <c r="K87" s="418">
        <v>0</v>
      </c>
      <c r="L87" s="433">
        <f t="shared" si="128"/>
        <v>950000</v>
      </c>
      <c r="M87" s="267">
        <v>0</v>
      </c>
      <c r="N87" s="418">
        <v>0</v>
      </c>
      <c r="O87" s="269">
        <f t="shared" ref="O87" si="138">N87*M87</f>
        <v>0</v>
      </c>
      <c r="P87" s="267">
        <v>0</v>
      </c>
      <c r="Q87" s="418">
        <v>0</v>
      </c>
      <c r="R87" s="269">
        <f t="shared" ref="R87" si="139">Q87*P87</f>
        <v>0</v>
      </c>
      <c r="S87" s="267">
        <v>78948.67</v>
      </c>
      <c r="T87" s="418">
        <f>2-T86</f>
        <v>0.9830000000000001</v>
      </c>
      <c r="U87" s="269">
        <f>(T87*S87)-3.91</f>
        <v>77602.632610000001</v>
      </c>
      <c r="V87" s="267">
        <v>78948.67</v>
      </c>
      <c r="W87" s="418">
        <v>3</v>
      </c>
      <c r="X87" s="270">
        <f t="shared" ref="X87" si="140">W87*V87</f>
        <v>236846.01</v>
      </c>
      <c r="Y87" s="58">
        <f t="shared" ref="Y87" si="141">X87+U87+R87+O87</f>
        <v>314448.64260999998</v>
      </c>
      <c r="Z87" s="367" t="s">
        <v>1287</v>
      </c>
    </row>
    <row r="88" spans="1:27" ht="14.25" customHeight="1" x14ac:dyDescent="0.2">
      <c r="A88" s="140" t="s">
        <v>672</v>
      </c>
      <c r="B88" s="37" t="s">
        <v>171</v>
      </c>
      <c r="C88" s="17" t="s">
        <v>37</v>
      </c>
      <c r="D88" s="17" t="s">
        <v>142</v>
      </c>
      <c r="E88" s="415">
        <v>2009</v>
      </c>
      <c r="F88" s="310">
        <v>39994</v>
      </c>
      <c r="G88" s="418">
        <f>113035.25+62559.55-0.1</f>
        <v>175594.69999999998</v>
      </c>
      <c r="H88" s="418">
        <v>113035.25</v>
      </c>
      <c r="I88" s="418">
        <v>62559.55</v>
      </c>
      <c r="J88" s="418">
        <v>-0.1</v>
      </c>
      <c r="K88" s="418">
        <v>0</v>
      </c>
      <c r="L88" s="433">
        <f t="shared" si="128"/>
        <v>-2.0372675768598469E-11</v>
      </c>
      <c r="M88" s="267">
        <v>0</v>
      </c>
      <c r="N88" s="418">
        <v>0</v>
      </c>
      <c r="O88" s="269">
        <f t="shared" ref="O88" si="142">N88*M88</f>
        <v>0</v>
      </c>
      <c r="P88" s="267">
        <v>0</v>
      </c>
      <c r="Q88" s="418">
        <v>0</v>
      </c>
      <c r="R88" s="269">
        <f t="shared" ref="R88" si="143">Q88*P88</f>
        <v>0</v>
      </c>
      <c r="S88" s="267">
        <v>0</v>
      </c>
      <c r="T88" s="418">
        <v>0</v>
      </c>
      <c r="U88" s="269">
        <f t="shared" ref="U88" si="144">T88*S88</f>
        <v>0</v>
      </c>
      <c r="V88" s="267">
        <v>0</v>
      </c>
      <c r="W88" s="418">
        <v>0</v>
      </c>
      <c r="X88" s="270">
        <f t="shared" ref="X88" si="145">W88*V88</f>
        <v>0</v>
      </c>
      <c r="Y88" s="58">
        <f t="shared" ref="Y88" si="146">X88+U88+R88+O88</f>
        <v>0</v>
      </c>
    </row>
    <row r="89" spans="1:27" ht="14.25" customHeight="1" x14ac:dyDescent="0.2">
      <c r="A89" s="66" t="s">
        <v>421</v>
      </c>
      <c r="B89" s="37" t="s">
        <v>171</v>
      </c>
      <c r="C89" s="17" t="s">
        <v>37</v>
      </c>
      <c r="D89" s="17" t="s">
        <v>143</v>
      </c>
      <c r="E89" s="416" t="s">
        <v>786</v>
      </c>
      <c r="F89" s="310">
        <v>42551</v>
      </c>
      <c r="G89" s="418">
        <f>83697.67+26498+66604+60726</f>
        <v>237525.66999999998</v>
      </c>
      <c r="H89" s="418">
        <v>83697.67</v>
      </c>
      <c r="I89" s="418">
        <v>26498</v>
      </c>
      <c r="J89" s="418">
        <v>66604</v>
      </c>
      <c r="K89" s="418">
        <v>60726</v>
      </c>
      <c r="L89" s="433">
        <f t="shared" si="128"/>
        <v>0</v>
      </c>
      <c r="M89" s="267">
        <v>0</v>
      </c>
      <c r="N89" s="418">
        <v>0</v>
      </c>
      <c r="O89" s="269">
        <f t="shared" si="129"/>
        <v>0</v>
      </c>
      <c r="P89" s="267">
        <v>0</v>
      </c>
      <c r="Q89" s="418">
        <v>0</v>
      </c>
      <c r="R89" s="269">
        <f t="shared" si="130"/>
        <v>0</v>
      </c>
      <c r="S89" s="267">
        <v>0</v>
      </c>
      <c r="T89" s="418">
        <v>0</v>
      </c>
      <c r="U89" s="269">
        <f t="shared" si="131"/>
        <v>0</v>
      </c>
      <c r="V89" s="267">
        <v>0</v>
      </c>
      <c r="W89" s="418">
        <v>0</v>
      </c>
      <c r="X89" s="270">
        <f t="shared" si="132"/>
        <v>0</v>
      </c>
      <c r="Y89" s="58">
        <f t="shared" si="133"/>
        <v>0</v>
      </c>
    </row>
    <row r="90" spans="1:27" ht="14.25" customHeight="1" x14ac:dyDescent="0.2">
      <c r="A90" s="66" t="s">
        <v>421</v>
      </c>
      <c r="B90" s="37" t="s">
        <v>171</v>
      </c>
      <c r="C90" s="17" t="s">
        <v>37</v>
      </c>
      <c r="D90" s="17" t="s">
        <v>143</v>
      </c>
      <c r="E90" s="415">
        <v>2017</v>
      </c>
      <c r="F90" s="310">
        <v>42916</v>
      </c>
      <c r="G90" s="441">
        <v>67268</v>
      </c>
      <c r="H90" s="418">
        <v>0</v>
      </c>
      <c r="I90" s="418">
        <v>0</v>
      </c>
      <c r="J90" s="418">
        <v>0</v>
      </c>
      <c r="K90" s="418">
        <v>0</v>
      </c>
      <c r="L90" s="433">
        <f t="shared" si="128"/>
        <v>67268</v>
      </c>
      <c r="M90" s="267">
        <v>11211.33</v>
      </c>
      <c r="N90" s="418">
        <v>3</v>
      </c>
      <c r="O90" s="269">
        <f t="shared" ref="O90:O92" si="147">N90*M90</f>
        <v>33633.99</v>
      </c>
      <c r="P90" s="267">
        <v>11211.33</v>
      </c>
      <c r="Q90" s="418">
        <v>3</v>
      </c>
      <c r="R90" s="269">
        <f>Q90*P90+0.02</f>
        <v>33634.009999999995</v>
      </c>
      <c r="S90" s="267"/>
      <c r="T90" s="418"/>
      <c r="U90" s="269">
        <f>T90*S90</f>
        <v>0</v>
      </c>
      <c r="V90" s="267"/>
      <c r="W90" s="418"/>
      <c r="X90" s="270">
        <f t="shared" ref="X90:X92" si="148">W90*V90</f>
        <v>0</v>
      </c>
      <c r="Y90" s="58">
        <f t="shared" ref="Y90:Y91" si="149">X90+U90+R90+O90</f>
        <v>67268</v>
      </c>
      <c r="Z90" s="367" t="s">
        <v>1287</v>
      </c>
    </row>
    <row r="91" spans="1:27" s="432" customFormat="1" ht="14.25" customHeight="1" x14ac:dyDescent="0.2">
      <c r="A91" s="402" t="s">
        <v>1152</v>
      </c>
      <c r="B91" s="436" t="s">
        <v>1149</v>
      </c>
      <c r="C91" s="435" t="s">
        <v>37</v>
      </c>
      <c r="D91" s="435" t="s">
        <v>143</v>
      </c>
      <c r="E91" s="415">
        <v>2017</v>
      </c>
      <c r="F91" s="310">
        <v>42916</v>
      </c>
      <c r="G91" s="441">
        <v>389684</v>
      </c>
      <c r="H91" s="441">
        <v>0</v>
      </c>
      <c r="I91" s="441">
        <v>0</v>
      </c>
      <c r="J91" s="441">
        <v>0</v>
      </c>
      <c r="K91" s="441">
        <v>0</v>
      </c>
      <c r="L91" s="433">
        <f t="shared" si="128"/>
        <v>389684</v>
      </c>
      <c r="M91" s="267">
        <f>97421/3</f>
        <v>32473.666666666668</v>
      </c>
      <c r="N91" s="441">
        <v>3</v>
      </c>
      <c r="O91" s="269">
        <f t="shared" si="147"/>
        <v>97421</v>
      </c>
      <c r="P91" s="267">
        <f>97421/3</f>
        <v>32473.666666666668</v>
      </c>
      <c r="Q91" s="441">
        <v>3</v>
      </c>
      <c r="R91" s="269">
        <f t="shared" ref="R91:R92" si="150">Q91*P91</f>
        <v>97421</v>
      </c>
      <c r="S91" s="267">
        <f>97421/3</f>
        <v>32473.666666666668</v>
      </c>
      <c r="T91" s="441">
        <v>3</v>
      </c>
      <c r="U91" s="269">
        <f>T91*S91</f>
        <v>97421</v>
      </c>
      <c r="V91" s="267">
        <f>97421/3</f>
        <v>32473.666666666668</v>
      </c>
      <c r="W91" s="441">
        <v>3</v>
      </c>
      <c r="X91" s="270">
        <f t="shared" si="148"/>
        <v>97421</v>
      </c>
      <c r="Y91" s="437">
        <f t="shared" si="149"/>
        <v>389684</v>
      </c>
      <c r="Z91" s="367" t="s">
        <v>1287</v>
      </c>
    </row>
    <row r="92" spans="1:27" ht="14.25" customHeight="1" x14ac:dyDescent="0.2">
      <c r="A92" s="66" t="s">
        <v>422</v>
      </c>
      <c r="B92" s="29" t="s">
        <v>192</v>
      </c>
      <c r="C92" s="17" t="s">
        <v>37</v>
      </c>
      <c r="D92" s="17" t="s">
        <v>142</v>
      </c>
      <c r="E92" s="416" t="s">
        <v>772</v>
      </c>
      <c r="F92" s="275" t="s">
        <v>772</v>
      </c>
      <c r="G92" s="424">
        <v>0</v>
      </c>
      <c r="H92" s="418"/>
      <c r="I92" s="418"/>
      <c r="J92" s="418">
        <v>5800</v>
      </c>
      <c r="K92" s="418">
        <v>5100</v>
      </c>
      <c r="L92" s="15">
        <v>0</v>
      </c>
      <c r="M92" s="267">
        <v>0</v>
      </c>
      <c r="N92" s="418">
        <v>0</v>
      </c>
      <c r="O92" s="269">
        <f t="shared" si="147"/>
        <v>0</v>
      </c>
      <c r="P92" s="267">
        <v>0</v>
      </c>
      <c r="Q92" s="418">
        <v>0</v>
      </c>
      <c r="R92" s="269">
        <f t="shared" si="150"/>
        <v>0</v>
      </c>
      <c r="S92" s="267">
        <v>0</v>
      </c>
      <c r="T92" s="418">
        <v>0</v>
      </c>
      <c r="U92" s="269">
        <f t="shared" ref="U92" si="151">T92*S92</f>
        <v>0</v>
      </c>
      <c r="V92" s="267">
        <v>0</v>
      </c>
      <c r="W92" s="418">
        <v>0</v>
      </c>
      <c r="X92" s="270">
        <f t="shared" si="148"/>
        <v>0</v>
      </c>
      <c r="Y92" s="58">
        <f t="shared" si="133"/>
        <v>0</v>
      </c>
    </row>
    <row r="93" spans="1:27" ht="14.25" customHeight="1" x14ac:dyDescent="0.2">
      <c r="A93" s="66"/>
      <c r="B93" s="29"/>
      <c r="C93" s="17"/>
      <c r="D93" s="17"/>
      <c r="E93" s="276"/>
      <c r="F93" s="277"/>
      <c r="G93" s="14"/>
      <c r="H93" s="14"/>
      <c r="I93" s="14"/>
      <c r="J93" s="14"/>
      <c r="K93" s="14"/>
      <c r="L93" s="15"/>
      <c r="M93" s="13"/>
      <c r="N93" s="14"/>
      <c r="O93" s="15"/>
      <c r="P93" s="13"/>
      <c r="Q93" s="14"/>
      <c r="R93" s="15"/>
      <c r="S93" s="13"/>
      <c r="T93" s="14"/>
      <c r="U93" s="15"/>
      <c r="V93" s="13"/>
      <c r="W93" s="14"/>
      <c r="X93" s="54"/>
      <c r="Y93" s="58"/>
    </row>
    <row r="94" spans="1:27" ht="14.25" customHeight="1" x14ac:dyDescent="0.2">
      <c r="A94" s="66"/>
      <c r="B94" s="69" t="s">
        <v>543</v>
      </c>
      <c r="C94" s="17"/>
      <c r="D94" s="17"/>
      <c r="E94" s="276"/>
      <c r="F94" s="277"/>
      <c r="G94" s="251">
        <f t="shared" ref="G94:K94" si="152">SUM(G95:G101)</f>
        <v>11135088.42</v>
      </c>
      <c r="H94" s="251">
        <f t="shared" si="152"/>
        <v>2645533.4300000002</v>
      </c>
      <c r="I94" s="251">
        <f t="shared" si="152"/>
        <v>2742655.8000000003</v>
      </c>
      <c r="J94" s="251">
        <f t="shared" si="152"/>
        <v>2766598.9599999995</v>
      </c>
      <c r="K94" s="251">
        <f t="shared" si="152"/>
        <v>2607195.3200000003</v>
      </c>
      <c r="L94" s="249">
        <f>SUM(L95:L101)</f>
        <v>373104.90999999951</v>
      </c>
      <c r="M94" s="13"/>
      <c r="N94" s="14"/>
      <c r="O94" s="249">
        <f>SUM(O95:O101)</f>
        <v>789075.03</v>
      </c>
      <c r="P94" s="250"/>
      <c r="Q94" s="251"/>
      <c r="R94" s="249">
        <f>SUM(R95:R101)</f>
        <v>789075.03</v>
      </c>
      <c r="S94" s="250"/>
      <c r="T94" s="251"/>
      <c r="U94" s="249">
        <f>SUM(U95:U101)</f>
        <v>789075.03</v>
      </c>
      <c r="V94" s="250"/>
      <c r="W94" s="251"/>
      <c r="X94" s="252">
        <f>SUM(X95:X101)</f>
        <v>789075.03</v>
      </c>
      <c r="Y94" s="253">
        <f>SUM(Y95:Y101)</f>
        <v>3156300.12</v>
      </c>
      <c r="AA94" s="2"/>
    </row>
    <row r="95" spans="1:27" ht="14.25" customHeight="1" x14ac:dyDescent="0.2">
      <c r="A95" s="66" t="s">
        <v>673</v>
      </c>
      <c r="B95" s="29" t="s">
        <v>183</v>
      </c>
      <c r="C95" s="17" t="s">
        <v>33</v>
      </c>
      <c r="D95" s="17" t="s">
        <v>127</v>
      </c>
      <c r="E95" s="415">
        <v>2017</v>
      </c>
      <c r="F95" s="310">
        <v>43070</v>
      </c>
      <c r="G95" s="418">
        <f>528402.71+584164.85+552949.96+585660.05</f>
        <v>2251177.5700000003</v>
      </c>
      <c r="H95" s="414">
        <v>528402.71</v>
      </c>
      <c r="I95" s="414">
        <v>548164.85</v>
      </c>
      <c r="J95" s="414">
        <v>552949.96</v>
      </c>
      <c r="K95" s="414">
        <v>521439.02</v>
      </c>
      <c r="L95" s="412">
        <f t="shared" ref="L95:L101" si="153">G95-H95-I95-J95-K95</f>
        <v>100221.03000000026</v>
      </c>
      <c r="M95" s="267">
        <v>48805</v>
      </c>
      <c r="N95" s="418">
        <v>3</v>
      </c>
      <c r="O95" s="269">
        <f t="shared" si="129"/>
        <v>146415</v>
      </c>
      <c r="P95" s="267">
        <v>48805</v>
      </c>
      <c r="Q95" s="418">
        <v>3</v>
      </c>
      <c r="R95" s="269">
        <f t="shared" si="130"/>
        <v>146415</v>
      </c>
      <c r="S95" s="267">
        <v>48805</v>
      </c>
      <c r="T95" s="418">
        <v>3</v>
      </c>
      <c r="U95" s="269">
        <f t="shared" si="131"/>
        <v>146415</v>
      </c>
      <c r="V95" s="267">
        <v>48805</v>
      </c>
      <c r="W95" s="418">
        <v>3</v>
      </c>
      <c r="X95" s="270">
        <f t="shared" si="132"/>
        <v>146415</v>
      </c>
      <c r="Y95" s="58">
        <f t="shared" si="133"/>
        <v>585660</v>
      </c>
      <c r="Z95" s="367" t="s">
        <v>1287</v>
      </c>
    </row>
    <row r="96" spans="1:27" ht="14.25" customHeight="1" x14ac:dyDescent="0.2">
      <c r="A96" s="66" t="s">
        <v>674</v>
      </c>
      <c r="B96" s="29" t="s">
        <v>184</v>
      </c>
      <c r="C96" s="17" t="s">
        <v>33</v>
      </c>
      <c r="D96" s="71" t="s">
        <v>127</v>
      </c>
      <c r="E96" s="416">
        <v>2017</v>
      </c>
      <c r="F96" s="310">
        <v>43070</v>
      </c>
      <c r="G96" s="417">
        <f>793924.02+822934.08+830118.39+878490.07</f>
        <v>3325466.56</v>
      </c>
      <c r="H96" s="417">
        <v>793924.02</v>
      </c>
      <c r="I96" s="417">
        <v>822934.08</v>
      </c>
      <c r="J96" s="417">
        <v>830118.39</v>
      </c>
      <c r="K96" s="417">
        <v>782158.64</v>
      </c>
      <c r="L96" s="413">
        <f t="shared" si="153"/>
        <v>96331.429999999935</v>
      </c>
      <c r="M96" s="267">
        <v>73207.509999999995</v>
      </c>
      <c r="N96" s="418">
        <v>3</v>
      </c>
      <c r="O96" s="269">
        <f t="shared" si="129"/>
        <v>219622.52999999997</v>
      </c>
      <c r="P96" s="267">
        <v>73207.509999999995</v>
      </c>
      <c r="Q96" s="418">
        <v>3</v>
      </c>
      <c r="R96" s="269">
        <f t="shared" si="130"/>
        <v>219622.52999999997</v>
      </c>
      <c r="S96" s="267">
        <v>73207.509999999995</v>
      </c>
      <c r="T96" s="418">
        <v>3</v>
      </c>
      <c r="U96" s="269">
        <f t="shared" si="131"/>
        <v>219622.52999999997</v>
      </c>
      <c r="V96" s="267">
        <v>73207.509999999995</v>
      </c>
      <c r="W96" s="418">
        <v>3</v>
      </c>
      <c r="X96" s="270">
        <f t="shared" si="132"/>
        <v>219622.52999999997</v>
      </c>
      <c r="Y96" s="58">
        <f t="shared" si="133"/>
        <v>878490.11999999988</v>
      </c>
      <c r="Z96" s="367" t="s">
        <v>1287</v>
      </c>
    </row>
    <row r="97" spans="1:26" ht="14.25" customHeight="1" x14ac:dyDescent="0.2">
      <c r="A97" s="66" t="s">
        <v>675</v>
      </c>
      <c r="B97" s="29" t="s">
        <v>185</v>
      </c>
      <c r="C97" s="17" t="s">
        <v>33</v>
      </c>
      <c r="D97" s="71" t="s">
        <v>127</v>
      </c>
      <c r="E97" s="416">
        <v>2017</v>
      </c>
      <c r="F97" s="310">
        <v>43070</v>
      </c>
      <c r="G97" s="417">
        <f>264641.34+274311.39+276706.11+292830.02</f>
        <v>1108488.8599999999</v>
      </c>
      <c r="H97" s="417">
        <v>264641.34000000003</v>
      </c>
      <c r="I97" s="417">
        <v>274311.39</v>
      </c>
      <c r="J97" s="417">
        <v>276706.11</v>
      </c>
      <c r="K97" s="417">
        <v>260719.51</v>
      </c>
      <c r="L97" s="413">
        <f t="shared" si="153"/>
        <v>32110.509999999776</v>
      </c>
      <c r="M97" s="267">
        <v>24402.5</v>
      </c>
      <c r="N97" s="418">
        <v>3</v>
      </c>
      <c r="O97" s="269">
        <f t="shared" si="129"/>
        <v>73207.5</v>
      </c>
      <c r="P97" s="267">
        <v>24402.5</v>
      </c>
      <c r="Q97" s="418">
        <v>3</v>
      </c>
      <c r="R97" s="269">
        <f t="shared" si="130"/>
        <v>73207.5</v>
      </c>
      <c r="S97" s="267">
        <v>24402.5</v>
      </c>
      <c r="T97" s="418">
        <v>3</v>
      </c>
      <c r="U97" s="269">
        <f t="shared" si="131"/>
        <v>73207.5</v>
      </c>
      <c r="V97" s="267">
        <v>24402.5</v>
      </c>
      <c r="W97" s="418">
        <v>3</v>
      </c>
      <c r="X97" s="270">
        <f t="shared" si="132"/>
        <v>73207.5</v>
      </c>
      <c r="Y97" s="58">
        <f t="shared" si="133"/>
        <v>292830</v>
      </c>
      <c r="Z97" s="367" t="s">
        <v>1287</v>
      </c>
    </row>
    <row r="98" spans="1:26" ht="14.25" customHeight="1" x14ac:dyDescent="0.2">
      <c r="A98" s="66" t="s">
        <v>676</v>
      </c>
      <c r="B98" s="29" t="s">
        <v>186</v>
      </c>
      <c r="C98" s="17" t="s">
        <v>33</v>
      </c>
      <c r="D98" s="71" t="s">
        <v>127</v>
      </c>
      <c r="E98" s="416">
        <v>2017</v>
      </c>
      <c r="F98" s="310">
        <v>43070</v>
      </c>
      <c r="G98" s="417">
        <f>264641.34+274311.31+276706.17+292830.02</f>
        <v>1108488.8400000001</v>
      </c>
      <c r="H98" s="417">
        <v>264641.34000000003</v>
      </c>
      <c r="I98" s="417">
        <v>274311.31</v>
      </c>
      <c r="J98" s="417">
        <v>276706.17</v>
      </c>
      <c r="K98" s="417">
        <v>260719.62</v>
      </c>
      <c r="L98" s="413">
        <f t="shared" si="153"/>
        <v>32110.399999999965</v>
      </c>
      <c r="M98" s="267">
        <v>24402.5</v>
      </c>
      <c r="N98" s="418">
        <v>3</v>
      </c>
      <c r="O98" s="269">
        <f t="shared" si="129"/>
        <v>73207.5</v>
      </c>
      <c r="P98" s="267">
        <v>24402.5</v>
      </c>
      <c r="Q98" s="418">
        <v>3</v>
      </c>
      <c r="R98" s="269">
        <f t="shared" si="130"/>
        <v>73207.5</v>
      </c>
      <c r="S98" s="267">
        <v>24402.5</v>
      </c>
      <c r="T98" s="418">
        <v>3</v>
      </c>
      <c r="U98" s="269">
        <f t="shared" si="131"/>
        <v>73207.5</v>
      </c>
      <c r="V98" s="267">
        <v>24402.5</v>
      </c>
      <c r="W98" s="418">
        <v>3</v>
      </c>
      <c r="X98" s="270">
        <f t="shared" si="132"/>
        <v>73207.5</v>
      </c>
      <c r="Y98" s="58">
        <f t="shared" si="133"/>
        <v>292830</v>
      </c>
      <c r="Z98" s="367" t="s">
        <v>1287</v>
      </c>
    </row>
    <row r="99" spans="1:26" ht="14.25" customHeight="1" x14ac:dyDescent="0.2">
      <c r="A99" s="66" t="s">
        <v>677</v>
      </c>
      <c r="B99" s="29" t="s">
        <v>187</v>
      </c>
      <c r="C99" s="17" t="s">
        <v>33</v>
      </c>
      <c r="D99" s="71" t="s">
        <v>127</v>
      </c>
      <c r="E99" s="416">
        <v>2017</v>
      </c>
      <c r="F99" s="310">
        <v>43070</v>
      </c>
      <c r="G99" s="417">
        <f>529282.68+548622.78+553412.22+585660.05</f>
        <v>2216977.73</v>
      </c>
      <c r="H99" s="417">
        <v>529282.68000000005</v>
      </c>
      <c r="I99" s="417">
        <v>548622.78</v>
      </c>
      <c r="J99" s="417">
        <v>553412.22</v>
      </c>
      <c r="K99" s="417">
        <v>521439.02</v>
      </c>
      <c r="L99" s="413">
        <f t="shared" si="153"/>
        <v>64221.029999999795</v>
      </c>
      <c r="M99" s="267">
        <v>48805</v>
      </c>
      <c r="N99" s="418">
        <v>3</v>
      </c>
      <c r="O99" s="269">
        <f t="shared" ref="O99:O100" si="154">N99*M99</f>
        <v>146415</v>
      </c>
      <c r="P99" s="267">
        <v>48805</v>
      </c>
      <c r="Q99" s="418">
        <v>3</v>
      </c>
      <c r="R99" s="269">
        <f t="shared" ref="R99:R100" si="155">Q99*P99</f>
        <v>146415</v>
      </c>
      <c r="S99" s="267">
        <v>48805</v>
      </c>
      <c r="T99" s="418">
        <v>3</v>
      </c>
      <c r="U99" s="269">
        <f t="shared" ref="U99:U100" si="156">T99*S99</f>
        <v>146415</v>
      </c>
      <c r="V99" s="267">
        <v>48805</v>
      </c>
      <c r="W99" s="418">
        <v>3</v>
      </c>
      <c r="X99" s="270">
        <f t="shared" ref="X99:X100" si="157">W99*V99</f>
        <v>146415</v>
      </c>
      <c r="Y99" s="58">
        <f t="shared" si="133"/>
        <v>585660</v>
      </c>
      <c r="Z99" s="367" t="s">
        <v>1287</v>
      </c>
    </row>
    <row r="100" spans="1:26" ht="14.25" customHeight="1" x14ac:dyDescent="0.2">
      <c r="A100" s="66" t="s">
        <v>678</v>
      </c>
      <c r="B100" s="29" t="s">
        <v>188</v>
      </c>
      <c r="C100" s="17" t="s">
        <v>33</v>
      </c>
      <c r="D100" s="71" t="s">
        <v>127</v>
      </c>
      <c r="E100" s="416">
        <v>2017</v>
      </c>
      <c r="F100" s="310">
        <v>43070</v>
      </c>
      <c r="G100" s="417">
        <f>264641.34+274311.39+276706.11+292830.02</f>
        <v>1108488.8599999999</v>
      </c>
      <c r="H100" s="417">
        <v>264641.34000000003</v>
      </c>
      <c r="I100" s="417">
        <v>274311.39</v>
      </c>
      <c r="J100" s="417">
        <v>276706.11</v>
      </c>
      <c r="K100" s="417">
        <v>260719.51</v>
      </c>
      <c r="L100" s="413">
        <f t="shared" si="153"/>
        <v>32110.509999999776</v>
      </c>
      <c r="M100" s="267">
        <v>24402.5</v>
      </c>
      <c r="N100" s="418">
        <v>3</v>
      </c>
      <c r="O100" s="269">
        <f t="shared" si="154"/>
        <v>73207.5</v>
      </c>
      <c r="P100" s="267">
        <v>24402.5</v>
      </c>
      <c r="Q100" s="418">
        <v>3</v>
      </c>
      <c r="R100" s="269">
        <f t="shared" si="155"/>
        <v>73207.5</v>
      </c>
      <c r="S100" s="267">
        <v>24402.5</v>
      </c>
      <c r="T100" s="418">
        <v>3</v>
      </c>
      <c r="U100" s="269">
        <f t="shared" si="156"/>
        <v>73207.5</v>
      </c>
      <c r="V100" s="267">
        <v>24402.5</v>
      </c>
      <c r="W100" s="418">
        <v>3</v>
      </c>
      <c r="X100" s="270">
        <f t="shared" si="157"/>
        <v>73207.5</v>
      </c>
      <c r="Y100" s="58">
        <f t="shared" si="133"/>
        <v>292830</v>
      </c>
      <c r="Z100" s="367" t="s">
        <v>1287</v>
      </c>
    </row>
    <row r="101" spans="1:26" ht="14.25" customHeight="1" x14ac:dyDescent="0.2">
      <c r="A101" s="402" t="s">
        <v>1081</v>
      </c>
      <c r="B101" s="29" t="s">
        <v>189</v>
      </c>
      <c r="C101" s="17" t="s">
        <v>33</v>
      </c>
      <c r="D101" s="71" t="s">
        <v>127</v>
      </c>
      <c r="E101" s="416">
        <v>2017</v>
      </c>
      <c r="F101" s="310">
        <v>43070</v>
      </c>
      <c r="G101" s="417">
        <v>16000</v>
      </c>
      <c r="H101" s="417">
        <v>0</v>
      </c>
      <c r="I101" s="417">
        <v>0</v>
      </c>
      <c r="J101" s="417">
        <v>0</v>
      </c>
      <c r="K101" s="417">
        <v>0</v>
      </c>
      <c r="L101" s="413">
        <f t="shared" si="153"/>
        <v>16000</v>
      </c>
      <c r="M101" s="267">
        <f>3800</f>
        <v>3800</v>
      </c>
      <c r="N101" s="418">
        <v>15</v>
      </c>
      <c r="O101" s="269">
        <f t="shared" ref="O101" si="158">N101*M101</f>
        <v>57000</v>
      </c>
      <c r="P101" s="267">
        <v>3800</v>
      </c>
      <c r="Q101" s="418">
        <v>15</v>
      </c>
      <c r="R101" s="269">
        <f t="shared" ref="R101" si="159">Q101*P101</f>
        <v>57000</v>
      </c>
      <c r="S101" s="267">
        <v>3800</v>
      </c>
      <c r="T101" s="418">
        <v>15</v>
      </c>
      <c r="U101" s="269">
        <f t="shared" ref="U101" si="160">T101*S101</f>
        <v>57000</v>
      </c>
      <c r="V101" s="267">
        <v>3800</v>
      </c>
      <c r="W101" s="418">
        <v>15</v>
      </c>
      <c r="X101" s="270">
        <f t="shared" ref="X101" si="161">W101*V101</f>
        <v>57000</v>
      </c>
      <c r="Y101" s="58">
        <f t="shared" ref="Y101" si="162">X101+U101+R101+O101</f>
        <v>228000</v>
      </c>
      <c r="Z101" s="367" t="s">
        <v>1287</v>
      </c>
    </row>
    <row r="102" spans="1:26" ht="14.25" customHeight="1" x14ac:dyDescent="0.2">
      <c r="A102" s="66"/>
      <c r="B102" s="29"/>
      <c r="C102" s="17"/>
      <c r="D102" s="71"/>
      <c r="E102" s="278"/>
      <c r="F102" s="279"/>
      <c r="G102" s="262"/>
      <c r="H102" s="262"/>
      <c r="I102" s="262"/>
      <c r="J102" s="262"/>
      <c r="K102" s="262"/>
      <c r="L102" s="263"/>
      <c r="M102" s="13"/>
      <c r="N102" s="14"/>
      <c r="O102" s="15"/>
      <c r="P102" s="13"/>
      <c r="Q102" s="14"/>
      <c r="R102" s="15"/>
      <c r="S102" s="13"/>
      <c r="T102" s="14"/>
      <c r="U102" s="15"/>
      <c r="V102" s="13"/>
      <c r="W102" s="14"/>
      <c r="X102" s="54"/>
      <c r="Y102" s="58"/>
    </row>
    <row r="103" spans="1:26" ht="14.25" customHeight="1" x14ac:dyDescent="0.2">
      <c r="A103" s="66"/>
      <c r="B103" s="139" t="s">
        <v>384</v>
      </c>
      <c r="C103" s="17"/>
      <c r="D103" s="17"/>
      <c r="E103" s="276"/>
      <c r="F103" s="277"/>
      <c r="G103" s="251">
        <f t="shared" ref="G103:K103" si="163">SUM(G104:G116)</f>
        <v>223494.9</v>
      </c>
      <c r="H103" s="251">
        <f t="shared" si="163"/>
        <v>14925</v>
      </c>
      <c r="I103" s="251">
        <f t="shared" si="163"/>
        <v>366973.82</v>
      </c>
      <c r="J103" s="251">
        <f t="shared" si="163"/>
        <v>502272.69</v>
      </c>
      <c r="K103" s="251">
        <f t="shared" si="163"/>
        <v>637142.94999999995</v>
      </c>
      <c r="L103" s="249">
        <f>SUM(L104:L116)</f>
        <v>15800.1</v>
      </c>
      <c r="M103" s="13"/>
      <c r="N103" s="14"/>
      <c r="O103" s="249">
        <f>SUM(O104:O116)</f>
        <v>138476</v>
      </c>
      <c r="P103" s="250"/>
      <c r="Q103" s="251"/>
      <c r="R103" s="249">
        <f>SUM(R104:R116)</f>
        <v>138476</v>
      </c>
      <c r="S103" s="250"/>
      <c r="T103" s="251"/>
      <c r="U103" s="249">
        <f>SUM(U104:U116)</f>
        <v>138476</v>
      </c>
      <c r="V103" s="250"/>
      <c r="W103" s="251"/>
      <c r="X103" s="252">
        <f>SUM(X104:X116)</f>
        <v>138476</v>
      </c>
      <c r="Y103" s="253">
        <f>SUM(Y104:Y116)</f>
        <v>553904</v>
      </c>
    </row>
    <row r="104" spans="1:26" ht="14.25" customHeight="1" x14ac:dyDescent="0.2">
      <c r="A104" s="66" t="s">
        <v>399</v>
      </c>
      <c r="B104" s="29" t="s">
        <v>171</v>
      </c>
      <c r="C104" s="17" t="s">
        <v>34</v>
      </c>
      <c r="D104" s="17" t="s">
        <v>122</v>
      </c>
      <c r="E104" s="416" t="s">
        <v>787</v>
      </c>
      <c r="F104" s="310">
        <v>41791</v>
      </c>
      <c r="G104" s="418">
        <f>7047.25+16440+14678.95+9511.5</f>
        <v>47677.7</v>
      </c>
      <c r="H104" s="408">
        <v>0</v>
      </c>
      <c r="I104" s="408">
        <v>7047.25</v>
      </c>
      <c r="J104" s="408">
        <v>0</v>
      </c>
      <c r="K104" s="410">
        <v>33209.199999999997</v>
      </c>
      <c r="L104" s="406">
        <f t="shared" ref="L104:L108" si="164">G104-H104-I104-J104-K104</f>
        <v>7421.25</v>
      </c>
      <c r="M104" s="267"/>
      <c r="N104" s="441"/>
      <c r="O104" s="269">
        <v>0</v>
      </c>
      <c r="P104" s="267"/>
      <c r="Q104" s="441"/>
      <c r="R104" s="269">
        <v>0</v>
      </c>
      <c r="S104" s="267"/>
      <c r="T104" s="441"/>
      <c r="U104" s="269">
        <v>0</v>
      </c>
      <c r="V104" s="267"/>
      <c r="W104" s="441"/>
      <c r="X104" s="270">
        <v>0</v>
      </c>
      <c r="Y104" s="58">
        <f t="shared" si="133"/>
        <v>0</v>
      </c>
    </row>
    <row r="105" spans="1:26" ht="14.25" customHeight="1" x14ac:dyDescent="0.2">
      <c r="A105" s="66" t="s">
        <v>399</v>
      </c>
      <c r="B105" s="29" t="s">
        <v>171</v>
      </c>
      <c r="C105" s="17" t="s">
        <v>34</v>
      </c>
      <c r="D105" s="17" t="s">
        <v>122</v>
      </c>
      <c r="E105" s="415">
        <v>2015</v>
      </c>
      <c r="F105" s="310">
        <v>42156</v>
      </c>
      <c r="G105" s="418">
        <v>8378.85</v>
      </c>
      <c r="H105" s="408">
        <v>0</v>
      </c>
      <c r="I105" s="408">
        <v>0</v>
      </c>
      <c r="J105" s="408">
        <v>0</v>
      </c>
      <c r="K105" s="410">
        <v>0</v>
      </c>
      <c r="L105" s="406">
        <f t="shared" si="164"/>
        <v>8378.85</v>
      </c>
      <c r="M105" s="267"/>
      <c r="N105" s="441"/>
      <c r="O105" s="269">
        <v>0</v>
      </c>
      <c r="P105" s="267"/>
      <c r="Q105" s="441"/>
      <c r="R105" s="269">
        <v>0</v>
      </c>
      <c r="S105" s="267"/>
      <c r="T105" s="441"/>
      <c r="U105" s="269">
        <v>0</v>
      </c>
      <c r="V105" s="267"/>
      <c r="W105" s="441"/>
      <c r="X105" s="270">
        <v>0</v>
      </c>
      <c r="Y105" s="58">
        <f t="shared" ref="Y105:Y106" si="165">X105+U105+R105+O105</f>
        <v>0</v>
      </c>
    </row>
    <row r="106" spans="1:26" ht="14.25" customHeight="1" x14ac:dyDescent="0.2">
      <c r="A106" s="66" t="s">
        <v>399</v>
      </c>
      <c r="B106" s="29" t="s">
        <v>171</v>
      </c>
      <c r="C106" s="17" t="s">
        <v>34</v>
      </c>
      <c r="D106" s="17" t="s">
        <v>122</v>
      </c>
      <c r="E106" s="415">
        <v>2016</v>
      </c>
      <c r="F106" s="310">
        <v>42522</v>
      </c>
      <c r="G106" s="418">
        <v>0</v>
      </c>
      <c r="H106" s="408">
        <v>0</v>
      </c>
      <c r="I106" s="408">
        <v>0</v>
      </c>
      <c r="J106" s="408">
        <v>0</v>
      </c>
      <c r="K106" s="410">
        <v>0</v>
      </c>
      <c r="L106" s="406">
        <f t="shared" si="164"/>
        <v>0</v>
      </c>
      <c r="M106" s="267"/>
      <c r="N106" s="441"/>
      <c r="O106" s="269">
        <v>0</v>
      </c>
      <c r="P106" s="267"/>
      <c r="Q106" s="441"/>
      <c r="R106" s="269">
        <v>0</v>
      </c>
      <c r="S106" s="267"/>
      <c r="T106" s="441"/>
      <c r="U106" s="269">
        <v>0</v>
      </c>
      <c r="V106" s="267"/>
      <c r="W106" s="441"/>
      <c r="X106" s="270">
        <v>0</v>
      </c>
      <c r="Y106" s="58">
        <f t="shared" si="165"/>
        <v>0</v>
      </c>
    </row>
    <row r="107" spans="1:26" ht="14.25" customHeight="1" x14ac:dyDescent="0.2">
      <c r="A107" s="66" t="s">
        <v>404</v>
      </c>
      <c r="B107" s="29" t="s">
        <v>171</v>
      </c>
      <c r="C107" s="17" t="s">
        <v>34</v>
      </c>
      <c r="D107" s="17" t="s">
        <v>796</v>
      </c>
      <c r="E107" s="416" t="s">
        <v>787</v>
      </c>
      <c r="F107" s="310">
        <v>42430</v>
      </c>
      <c r="G107" s="441">
        <f>20905.5+69814.71+74621.04+2095.14+1.96</f>
        <v>167438.35</v>
      </c>
      <c r="H107" s="408">
        <v>0</v>
      </c>
      <c r="I107" s="408">
        <v>20905.5</v>
      </c>
      <c r="J107" s="408">
        <v>69814.710000000006</v>
      </c>
      <c r="K107" s="410">
        <v>76718.14</v>
      </c>
      <c r="L107" s="433">
        <f t="shared" si="164"/>
        <v>0</v>
      </c>
      <c r="M107" s="267"/>
      <c r="N107" s="441"/>
      <c r="O107" s="269">
        <v>0</v>
      </c>
      <c r="P107" s="267"/>
      <c r="Q107" s="441"/>
      <c r="R107" s="269">
        <v>0</v>
      </c>
      <c r="S107" s="267"/>
      <c r="T107" s="441"/>
      <c r="U107" s="269">
        <v>0</v>
      </c>
      <c r="V107" s="267"/>
      <c r="W107" s="441"/>
      <c r="X107" s="270">
        <v>0</v>
      </c>
      <c r="Y107" s="473">
        <f t="shared" ref="Y107:Y108" si="166">X107+U107+R107+O107</f>
        <v>0</v>
      </c>
    </row>
    <row r="108" spans="1:26" ht="14.25" customHeight="1" x14ac:dyDescent="0.2">
      <c r="A108" s="66" t="s">
        <v>404</v>
      </c>
      <c r="B108" s="29" t="s">
        <v>171</v>
      </c>
      <c r="C108" s="17" t="s">
        <v>34</v>
      </c>
      <c r="D108" s="17" t="s">
        <v>796</v>
      </c>
      <c r="E108" s="415">
        <v>2017</v>
      </c>
      <c r="F108" s="310">
        <v>42795</v>
      </c>
      <c r="G108" s="441">
        <v>0</v>
      </c>
      <c r="H108" s="408">
        <v>0</v>
      </c>
      <c r="I108" s="408">
        <v>0</v>
      </c>
      <c r="J108" s="408">
        <v>0</v>
      </c>
      <c r="K108" s="410">
        <v>0</v>
      </c>
      <c r="L108" s="433">
        <f t="shared" si="164"/>
        <v>0</v>
      </c>
      <c r="M108" s="267">
        <f>12500/3</f>
        <v>4166.666666666667</v>
      </c>
      <c r="N108" s="441">
        <v>3</v>
      </c>
      <c r="O108" s="269">
        <v>12500</v>
      </c>
      <c r="P108" s="267">
        <f>12500/3</f>
        <v>4166.666666666667</v>
      </c>
      <c r="Q108" s="441">
        <v>3</v>
      </c>
      <c r="R108" s="269">
        <v>12500</v>
      </c>
      <c r="S108" s="267">
        <f>12500/3</f>
        <v>4166.666666666667</v>
      </c>
      <c r="T108" s="441">
        <v>3</v>
      </c>
      <c r="U108" s="269">
        <v>12500</v>
      </c>
      <c r="V108" s="267">
        <f>12500/3</f>
        <v>4166.666666666667</v>
      </c>
      <c r="W108" s="441">
        <v>3</v>
      </c>
      <c r="X108" s="270">
        <v>12500</v>
      </c>
      <c r="Y108" s="473">
        <f t="shared" si="166"/>
        <v>50000</v>
      </c>
      <c r="Z108" t="s">
        <v>1287</v>
      </c>
    </row>
    <row r="109" spans="1:26" ht="14.25" customHeight="1" x14ac:dyDescent="0.2">
      <c r="A109" s="438" t="s">
        <v>1266</v>
      </c>
      <c r="B109" s="29" t="s">
        <v>190</v>
      </c>
      <c r="C109" s="17" t="s">
        <v>34</v>
      </c>
      <c r="D109" s="17" t="s">
        <v>121</v>
      </c>
      <c r="E109" s="416" t="s">
        <v>772</v>
      </c>
      <c r="F109" s="275" t="s">
        <v>772</v>
      </c>
      <c r="G109" s="418">
        <v>0</v>
      </c>
      <c r="H109" s="408">
        <v>75</v>
      </c>
      <c r="I109" s="408">
        <v>0</v>
      </c>
      <c r="J109" s="408">
        <v>0</v>
      </c>
      <c r="K109" s="410">
        <v>0</v>
      </c>
      <c r="L109" s="406">
        <v>0</v>
      </c>
      <c r="M109" s="267"/>
      <c r="N109" s="441"/>
      <c r="O109" s="269">
        <v>0</v>
      </c>
      <c r="P109" s="267"/>
      <c r="Q109" s="441"/>
      <c r="R109" s="269">
        <v>0</v>
      </c>
      <c r="S109" s="267"/>
      <c r="T109" s="441"/>
      <c r="U109" s="269">
        <v>0</v>
      </c>
      <c r="V109" s="267"/>
      <c r="W109" s="441"/>
      <c r="X109" s="270">
        <v>0</v>
      </c>
      <c r="Y109" s="473">
        <f t="shared" si="133"/>
        <v>0</v>
      </c>
    </row>
    <row r="110" spans="1:26" s="432" customFormat="1" ht="14.25" customHeight="1" x14ac:dyDescent="0.2">
      <c r="A110" s="438" t="s">
        <v>1267</v>
      </c>
      <c r="B110" s="29" t="s">
        <v>190</v>
      </c>
      <c r="C110" s="435" t="s">
        <v>34</v>
      </c>
      <c r="D110" s="435" t="s">
        <v>121</v>
      </c>
      <c r="E110" s="416" t="s">
        <v>772</v>
      </c>
      <c r="F110" s="275" t="s">
        <v>772</v>
      </c>
      <c r="G110" s="441">
        <v>0</v>
      </c>
      <c r="H110" s="441">
        <v>75</v>
      </c>
      <c r="I110" s="441">
        <v>0</v>
      </c>
      <c r="J110" s="441">
        <v>0</v>
      </c>
      <c r="K110" s="441">
        <v>0</v>
      </c>
      <c r="L110" s="433">
        <v>0</v>
      </c>
      <c r="M110" s="267"/>
      <c r="N110" s="441"/>
      <c r="O110" s="269">
        <v>0</v>
      </c>
      <c r="P110" s="267"/>
      <c r="Q110" s="441"/>
      <c r="R110" s="269">
        <v>0</v>
      </c>
      <c r="S110" s="267"/>
      <c r="T110" s="441"/>
      <c r="U110" s="269">
        <v>0</v>
      </c>
      <c r="V110" s="267"/>
      <c r="W110" s="441"/>
      <c r="X110" s="270">
        <v>0</v>
      </c>
      <c r="Y110" s="473">
        <f t="shared" ref="Y110" si="167">X110+U110+R110+O110</f>
        <v>0</v>
      </c>
    </row>
    <row r="111" spans="1:26" s="432" customFormat="1" ht="14.25" customHeight="1" x14ac:dyDescent="0.2">
      <c r="A111" s="438" t="s">
        <v>401</v>
      </c>
      <c r="B111" s="29" t="s">
        <v>190</v>
      </c>
      <c r="C111" s="435" t="s">
        <v>34</v>
      </c>
      <c r="D111" s="435" t="s">
        <v>121</v>
      </c>
      <c r="E111" s="416" t="s">
        <v>772</v>
      </c>
      <c r="F111" s="275" t="s">
        <v>772</v>
      </c>
      <c r="G111" s="441">
        <v>0</v>
      </c>
      <c r="H111" s="441">
        <v>8775</v>
      </c>
      <c r="I111" s="441">
        <v>3150</v>
      </c>
      <c r="J111" s="441">
        <v>0</v>
      </c>
      <c r="K111" s="441">
        <v>0</v>
      </c>
      <c r="L111" s="433">
        <v>0</v>
      </c>
      <c r="M111" s="267"/>
      <c r="N111" s="441"/>
      <c r="O111" s="269">
        <v>0</v>
      </c>
      <c r="P111" s="267"/>
      <c r="Q111" s="441"/>
      <c r="R111" s="269">
        <v>0</v>
      </c>
      <c r="S111" s="267"/>
      <c r="T111" s="441"/>
      <c r="U111" s="269">
        <v>0</v>
      </c>
      <c r="V111" s="267"/>
      <c r="W111" s="441"/>
      <c r="X111" s="270">
        <v>0</v>
      </c>
      <c r="Y111" s="473">
        <f t="shared" ref="Y111" si="168">X111+U111+R111+O111</f>
        <v>0</v>
      </c>
    </row>
    <row r="112" spans="1:26" ht="14.25" customHeight="1" x14ac:dyDescent="0.2">
      <c r="A112" s="66" t="s">
        <v>403</v>
      </c>
      <c r="B112" s="70" t="s">
        <v>190</v>
      </c>
      <c r="C112" s="71" t="s">
        <v>34</v>
      </c>
      <c r="D112" s="439" t="s">
        <v>121</v>
      </c>
      <c r="E112" s="416" t="s">
        <v>772</v>
      </c>
      <c r="F112" s="275" t="s">
        <v>772</v>
      </c>
      <c r="G112" s="417">
        <v>0</v>
      </c>
      <c r="H112" s="409">
        <v>300</v>
      </c>
      <c r="I112" s="409">
        <v>75</v>
      </c>
      <c r="J112" s="409">
        <v>0</v>
      </c>
      <c r="K112" s="411">
        <v>0</v>
      </c>
      <c r="L112" s="407">
        <v>0</v>
      </c>
      <c r="M112" s="267"/>
      <c r="N112" s="441"/>
      <c r="O112" s="269">
        <v>0</v>
      </c>
      <c r="P112" s="267"/>
      <c r="Q112" s="441"/>
      <c r="R112" s="269">
        <v>0</v>
      </c>
      <c r="S112" s="267"/>
      <c r="T112" s="441"/>
      <c r="U112" s="269">
        <v>0</v>
      </c>
      <c r="V112" s="267"/>
      <c r="W112" s="441"/>
      <c r="X112" s="270">
        <v>0</v>
      </c>
      <c r="Y112" s="473">
        <f t="shared" si="4"/>
        <v>0</v>
      </c>
    </row>
    <row r="113" spans="1:26" ht="14.25" customHeight="1" x14ac:dyDescent="0.2">
      <c r="A113" s="66" t="s">
        <v>402</v>
      </c>
      <c r="B113" s="70" t="s">
        <v>190</v>
      </c>
      <c r="C113" s="71" t="s">
        <v>34</v>
      </c>
      <c r="D113" s="439" t="s">
        <v>121</v>
      </c>
      <c r="E113" s="416" t="s">
        <v>772</v>
      </c>
      <c r="F113" s="275" t="s">
        <v>772</v>
      </c>
      <c r="G113" s="417">
        <v>0</v>
      </c>
      <c r="H113" s="409">
        <v>5175</v>
      </c>
      <c r="I113" s="409">
        <v>150</v>
      </c>
      <c r="J113" s="409">
        <v>0</v>
      </c>
      <c r="K113" s="411">
        <v>0</v>
      </c>
      <c r="L113" s="407">
        <v>0</v>
      </c>
      <c r="M113" s="267"/>
      <c r="N113" s="441"/>
      <c r="O113" s="269">
        <v>0</v>
      </c>
      <c r="P113" s="267"/>
      <c r="Q113" s="441"/>
      <c r="R113" s="269">
        <v>0</v>
      </c>
      <c r="S113" s="267"/>
      <c r="T113" s="441"/>
      <c r="U113" s="269">
        <v>0</v>
      </c>
      <c r="V113" s="267"/>
      <c r="W113" s="441"/>
      <c r="X113" s="270">
        <v>0</v>
      </c>
      <c r="Y113" s="473">
        <f t="shared" si="4"/>
        <v>0</v>
      </c>
    </row>
    <row r="114" spans="1:26" s="432" customFormat="1" ht="14.25" customHeight="1" x14ac:dyDescent="0.2">
      <c r="A114" s="438" t="s">
        <v>1268</v>
      </c>
      <c r="B114" s="70" t="s">
        <v>190</v>
      </c>
      <c r="C114" s="439" t="s">
        <v>34</v>
      </c>
      <c r="D114" s="439" t="s">
        <v>121</v>
      </c>
      <c r="E114" s="416" t="s">
        <v>772</v>
      </c>
      <c r="F114" s="275" t="s">
        <v>772</v>
      </c>
      <c r="G114" s="417">
        <v>0</v>
      </c>
      <c r="H114" s="417">
        <v>75</v>
      </c>
      <c r="I114" s="417">
        <v>0</v>
      </c>
      <c r="J114" s="417">
        <v>0</v>
      </c>
      <c r="K114" s="417">
        <v>0</v>
      </c>
      <c r="L114" s="413">
        <v>0</v>
      </c>
      <c r="M114" s="267"/>
      <c r="N114" s="441"/>
      <c r="O114" s="269">
        <v>0</v>
      </c>
      <c r="P114" s="267"/>
      <c r="Q114" s="441"/>
      <c r="R114" s="269">
        <v>0</v>
      </c>
      <c r="S114" s="267"/>
      <c r="T114" s="441"/>
      <c r="U114" s="269">
        <v>0</v>
      </c>
      <c r="V114" s="267"/>
      <c r="W114" s="441"/>
      <c r="X114" s="270">
        <v>0</v>
      </c>
      <c r="Y114" s="473">
        <f t="shared" ref="Y114" si="169">X114+U114+R114+O114</f>
        <v>0</v>
      </c>
    </row>
    <row r="115" spans="1:26" ht="14.25" customHeight="1" x14ac:dyDescent="0.2">
      <c r="A115" s="66" t="s">
        <v>400</v>
      </c>
      <c r="B115" s="70" t="s">
        <v>190</v>
      </c>
      <c r="C115" s="71" t="s">
        <v>34</v>
      </c>
      <c r="D115" s="439" t="s">
        <v>121</v>
      </c>
      <c r="E115" s="416" t="s">
        <v>772</v>
      </c>
      <c r="F115" s="275" t="s">
        <v>772</v>
      </c>
      <c r="G115" s="417">
        <v>0</v>
      </c>
      <c r="H115" s="409">
        <v>450</v>
      </c>
      <c r="I115" s="409">
        <v>1200</v>
      </c>
      <c r="J115" s="409">
        <v>0</v>
      </c>
      <c r="K115" s="411">
        <v>0</v>
      </c>
      <c r="L115" s="407">
        <v>0</v>
      </c>
      <c r="M115" s="267"/>
      <c r="N115" s="441"/>
      <c r="O115" s="269">
        <v>0</v>
      </c>
      <c r="P115" s="267"/>
      <c r="Q115" s="441"/>
      <c r="R115" s="269">
        <v>0</v>
      </c>
      <c r="S115" s="267"/>
      <c r="T115" s="441"/>
      <c r="U115" s="269">
        <v>0</v>
      </c>
      <c r="V115" s="267"/>
      <c r="W115" s="441"/>
      <c r="X115" s="270">
        <v>0</v>
      </c>
      <c r="Y115" s="58">
        <f t="shared" si="4"/>
        <v>0</v>
      </c>
    </row>
    <row r="116" spans="1:26" ht="14.25" customHeight="1" x14ac:dyDescent="0.2">
      <c r="A116" s="66" t="s">
        <v>398</v>
      </c>
      <c r="B116" s="29" t="s">
        <v>191</v>
      </c>
      <c r="C116" s="71" t="s">
        <v>34</v>
      </c>
      <c r="D116" s="71" t="s">
        <v>692</v>
      </c>
      <c r="E116" s="416">
        <v>2017</v>
      </c>
      <c r="F116" s="275" t="s">
        <v>772</v>
      </c>
      <c r="G116" s="417">
        <v>0</v>
      </c>
      <c r="H116" s="417">
        <v>0</v>
      </c>
      <c r="I116" s="417">
        <v>334446.07</v>
      </c>
      <c r="J116" s="417">
        <v>432457.98</v>
      </c>
      <c r="K116" s="417">
        <v>527215.61</v>
      </c>
      <c r="L116" s="425">
        <v>0</v>
      </c>
      <c r="M116" s="267">
        <f>125976/75</f>
        <v>1679.68</v>
      </c>
      <c r="N116" s="441">
        <v>75</v>
      </c>
      <c r="O116" s="269">
        <f>N116*M116</f>
        <v>125976</v>
      </c>
      <c r="P116" s="267">
        <v>1679.68</v>
      </c>
      <c r="Q116" s="441">
        <v>75</v>
      </c>
      <c r="R116" s="269">
        <f>Q116*P116</f>
        <v>125976</v>
      </c>
      <c r="S116" s="267">
        <v>1679.68</v>
      </c>
      <c r="T116" s="441">
        <v>75</v>
      </c>
      <c r="U116" s="269">
        <f>T116*S116</f>
        <v>125976</v>
      </c>
      <c r="V116" s="267">
        <v>1679.68</v>
      </c>
      <c r="W116" s="441">
        <v>75</v>
      </c>
      <c r="X116" s="270">
        <f>W116*V116</f>
        <v>125976</v>
      </c>
      <c r="Y116" s="58">
        <f t="shared" si="4"/>
        <v>503904</v>
      </c>
      <c r="Z116" t="s">
        <v>1287</v>
      </c>
    </row>
    <row r="117" spans="1:26" ht="14.25" customHeight="1" x14ac:dyDescent="0.2">
      <c r="A117" s="66"/>
      <c r="B117" s="29"/>
      <c r="C117" s="71"/>
      <c r="D117" s="71"/>
      <c r="E117" s="278"/>
      <c r="F117" s="279"/>
      <c r="G117" s="262"/>
      <c r="H117" s="262"/>
      <c r="I117" s="262"/>
      <c r="J117" s="262"/>
      <c r="K117" s="262"/>
      <c r="L117" s="263"/>
      <c r="M117" s="13"/>
      <c r="N117" s="14"/>
      <c r="O117" s="15"/>
      <c r="P117" s="13"/>
      <c r="Q117" s="14"/>
      <c r="R117" s="15"/>
      <c r="S117" s="13"/>
      <c r="T117" s="14"/>
      <c r="U117" s="15"/>
      <c r="V117" s="13"/>
      <c r="W117" s="14"/>
      <c r="X117" s="54"/>
      <c r="Y117" s="58"/>
    </row>
    <row r="118" spans="1:26" ht="14.25" customHeight="1" x14ac:dyDescent="0.2">
      <c r="A118" s="66"/>
      <c r="B118" s="139" t="s">
        <v>385</v>
      </c>
      <c r="C118" s="17"/>
      <c r="D118" s="17"/>
      <c r="E118" s="276"/>
      <c r="F118" s="277"/>
      <c r="G118" s="251">
        <f t="shared" ref="G118:K118" si="170">SUM(G119:G121)</f>
        <v>5712127.7999999998</v>
      </c>
      <c r="H118" s="251">
        <f t="shared" si="170"/>
        <v>7885547.5699999994</v>
      </c>
      <c r="I118" s="251">
        <f t="shared" si="170"/>
        <v>1309140.6400000001</v>
      </c>
      <c r="J118" s="251">
        <f t="shared" si="170"/>
        <v>2822922.49</v>
      </c>
      <c r="K118" s="251">
        <f t="shared" si="170"/>
        <v>1067150.23</v>
      </c>
      <c r="L118" s="249">
        <f>SUM(L119:L121)</f>
        <v>1336072.6499999999</v>
      </c>
      <c r="M118" s="13"/>
      <c r="N118" s="14"/>
      <c r="O118" s="249">
        <f>SUM(O119:O121)</f>
        <v>0</v>
      </c>
      <c r="P118" s="250"/>
      <c r="Q118" s="251"/>
      <c r="R118" s="249">
        <f>SUM(R119:R121)</f>
        <v>488980.42</v>
      </c>
      <c r="S118" s="250"/>
      <c r="T118" s="251"/>
      <c r="U118" s="249">
        <f>SUM(U119:U121)</f>
        <v>0</v>
      </c>
      <c r="V118" s="250"/>
      <c r="W118" s="251"/>
      <c r="X118" s="252">
        <f>SUM(X119:X121)</f>
        <v>358010</v>
      </c>
      <c r="Y118" s="253">
        <f>SUM(Y119:Y121)</f>
        <v>846990.41999999993</v>
      </c>
    </row>
    <row r="119" spans="1:26" ht="14.25" customHeight="1" x14ac:dyDescent="0.2">
      <c r="A119" s="66" t="s">
        <v>405</v>
      </c>
      <c r="B119" s="29" t="s">
        <v>172</v>
      </c>
      <c r="C119" s="17" t="s">
        <v>34</v>
      </c>
      <c r="D119" s="17" t="s">
        <v>121</v>
      </c>
      <c r="E119" s="416" t="s">
        <v>786</v>
      </c>
      <c r="F119" s="275" t="s">
        <v>1082</v>
      </c>
      <c r="G119" s="418">
        <f>1423202.3+1290971.03+1091503.39+1059460.66</f>
        <v>4865137.38</v>
      </c>
      <c r="H119" s="441">
        <v>1423202.3</v>
      </c>
      <c r="I119" s="441">
        <v>1290971.03</v>
      </c>
      <c r="J119" s="441">
        <v>1091503.3899999999</v>
      </c>
      <c r="K119" s="14">
        <v>570378.43000000005</v>
      </c>
      <c r="L119" s="15">
        <f t="shared" ref="L119:L120" si="171">G119-H119-I119-J119-K119</f>
        <v>489082.22999999986</v>
      </c>
      <c r="M119" s="267"/>
      <c r="N119" s="441"/>
      <c r="O119" s="269">
        <f t="shared" si="0"/>
        <v>0</v>
      </c>
      <c r="P119" s="267"/>
      <c r="Q119" s="441"/>
      <c r="R119" s="269">
        <f t="shared" si="1"/>
        <v>0</v>
      </c>
      <c r="S119" s="267"/>
      <c r="T119" s="441"/>
      <c r="U119" s="269">
        <f t="shared" si="2"/>
        <v>0</v>
      </c>
      <c r="V119" s="267"/>
      <c r="W119" s="441"/>
      <c r="X119" s="270">
        <f t="shared" si="3"/>
        <v>0</v>
      </c>
      <c r="Y119" s="473">
        <f t="shared" si="4"/>
        <v>0</v>
      </c>
    </row>
    <row r="120" spans="1:26" ht="14.25" customHeight="1" x14ac:dyDescent="0.2">
      <c r="A120" s="66" t="s">
        <v>405</v>
      </c>
      <c r="B120" s="29" t="s">
        <v>172</v>
      </c>
      <c r="C120" s="17" t="s">
        <v>34</v>
      </c>
      <c r="D120" s="17" t="s">
        <v>121</v>
      </c>
      <c r="E120" s="415">
        <v>2017</v>
      </c>
      <c r="F120" s="275" t="s">
        <v>1082</v>
      </c>
      <c r="G120" s="418">
        <v>846990.42</v>
      </c>
      <c r="H120" s="441">
        <v>0</v>
      </c>
      <c r="I120" s="441">
        <v>0</v>
      </c>
      <c r="J120" s="441">
        <v>0</v>
      </c>
      <c r="K120" s="14">
        <v>0</v>
      </c>
      <c r="L120" s="15">
        <f t="shared" si="171"/>
        <v>846990.42</v>
      </c>
      <c r="M120" s="267"/>
      <c r="N120" s="441"/>
      <c r="O120" s="269">
        <f t="shared" ref="O120" si="172">N120*M120</f>
        <v>0</v>
      </c>
      <c r="P120" s="267">
        <f>488980.42/12</f>
        <v>40748.368333333332</v>
      </c>
      <c r="Q120" s="441">
        <v>12</v>
      </c>
      <c r="R120" s="269">
        <f t="shared" ref="R120" si="173">Q120*P120</f>
        <v>488980.42</v>
      </c>
      <c r="S120" s="267">
        <v>0</v>
      </c>
      <c r="T120" s="441">
        <v>0</v>
      </c>
      <c r="U120" s="269">
        <f t="shared" ref="U120" si="174">T120*S120</f>
        <v>0</v>
      </c>
      <c r="V120" s="267">
        <f>(308001.43+50008.57)/12</f>
        <v>29834.166666666668</v>
      </c>
      <c r="W120" s="441">
        <v>12</v>
      </c>
      <c r="X120" s="270">
        <f t="shared" ref="X120" si="175">W120*V120</f>
        <v>358010</v>
      </c>
      <c r="Y120" s="473">
        <f t="shared" ref="Y120" si="176">X120+U120+R120+O120</f>
        <v>846990.41999999993</v>
      </c>
      <c r="Z120" t="s">
        <v>1287</v>
      </c>
    </row>
    <row r="121" spans="1:26" ht="14.25" customHeight="1" x14ac:dyDescent="0.2">
      <c r="A121" s="66" t="s">
        <v>407</v>
      </c>
      <c r="B121" s="29" t="s">
        <v>175</v>
      </c>
      <c r="C121" s="17" t="s">
        <v>34</v>
      </c>
      <c r="D121" s="17" t="s">
        <v>121</v>
      </c>
      <c r="E121" s="415">
        <v>2017</v>
      </c>
      <c r="F121" s="275" t="s">
        <v>1082</v>
      </c>
      <c r="G121" s="418">
        <v>0</v>
      </c>
      <c r="H121" s="441">
        <v>6462345.2699999996</v>
      </c>
      <c r="I121" s="441">
        <v>18169.61</v>
      </c>
      <c r="J121" s="441">
        <v>1731419.1</v>
      </c>
      <c r="K121" s="14">
        <v>496771.8</v>
      </c>
      <c r="L121" s="15">
        <v>0</v>
      </c>
      <c r="M121" s="267"/>
      <c r="N121" s="441"/>
      <c r="O121" s="269">
        <f t="shared" si="0"/>
        <v>0</v>
      </c>
      <c r="P121" s="267"/>
      <c r="Q121" s="441"/>
      <c r="R121" s="269">
        <f t="shared" si="1"/>
        <v>0</v>
      </c>
      <c r="S121" s="267"/>
      <c r="T121" s="441"/>
      <c r="U121" s="269">
        <f t="shared" si="2"/>
        <v>0</v>
      </c>
      <c r="V121" s="267"/>
      <c r="W121" s="441"/>
      <c r="X121" s="270">
        <f t="shared" si="3"/>
        <v>0</v>
      </c>
      <c r="Y121" s="473">
        <f t="shared" si="4"/>
        <v>0</v>
      </c>
    </row>
    <row r="122" spans="1:26" ht="14.25" customHeight="1" x14ac:dyDescent="0.2">
      <c r="A122" s="66"/>
      <c r="B122" s="29"/>
      <c r="C122" s="17"/>
      <c r="D122" s="17"/>
      <c r="E122" s="276"/>
      <c r="F122" s="277"/>
      <c r="G122" s="14"/>
      <c r="H122" s="14"/>
      <c r="I122" s="14"/>
      <c r="J122" s="14"/>
      <c r="K122" s="14"/>
      <c r="L122" s="15"/>
      <c r="M122" s="13"/>
      <c r="N122" s="14"/>
      <c r="O122" s="15"/>
      <c r="P122" s="13"/>
      <c r="Q122" s="14"/>
      <c r="R122" s="15"/>
      <c r="S122" s="13"/>
      <c r="T122" s="14"/>
      <c r="U122" s="15"/>
      <c r="V122" s="13"/>
      <c r="W122" s="14"/>
      <c r="X122" s="54"/>
      <c r="Y122" s="58"/>
    </row>
    <row r="123" spans="1:26" ht="14.25" customHeight="1" x14ac:dyDescent="0.2">
      <c r="A123" s="66"/>
      <c r="B123" s="139" t="s">
        <v>775</v>
      </c>
      <c r="C123" s="17"/>
      <c r="D123" s="17"/>
      <c r="E123" s="276"/>
      <c r="F123" s="277"/>
      <c r="G123" s="251">
        <f>SUM(G124:G138)</f>
        <v>11712628.719999999</v>
      </c>
      <c r="H123" s="251">
        <f t="shared" ref="H123:L123" si="177">SUM(H124:H138)</f>
        <v>1712534.37</v>
      </c>
      <c r="I123" s="251">
        <f t="shared" si="177"/>
        <v>499371.14</v>
      </c>
      <c r="J123" s="251">
        <f t="shared" si="177"/>
        <v>1386613.06</v>
      </c>
      <c r="K123" s="251">
        <f t="shared" si="177"/>
        <v>710117.76</v>
      </c>
      <c r="L123" s="249">
        <f t="shared" si="177"/>
        <v>7403992.3900000015</v>
      </c>
      <c r="M123" s="13"/>
      <c r="N123" s="14"/>
      <c r="O123" s="249">
        <f>SUM(O124:O138)</f>
        <v>525994.375</v>
      </c>
      <c r="P123" s="250"/>
      <c r="Q123" s="251"/>
      <c r="R123" s="249">
        <f>SUM(R124:R138)</f>
        <v>525994.41749999998</v>
      </c>
      <c r="S123" s="250"/>
      <c r="T123" s="251"/>
      <c r="U123" s="249">
        <f>SUM(U124:U138)</f>
        <v>525994.375</v>
      </c>
      <c r="V123" s="250"/>
      <c r="W123" s="251"/>
      <c r="X123" s="252">
        <f>SUM(X124:X138)</f>
        <v>525994.375</v>
      </c>
      <c r="Y123" s="253">
        <f>SUM(Y124:Y138)</f>
        <v>2103977.5425</v>
      </c>
    </row>
    <row r="124" spans="1:26" ht="14.25" customHeight="1" x14ac:dyDescent="0.2">
      <c r="A124" s="140" t="s">
        <v>679</v>
      </c>
      <c r="B124" s="37" t="s">
        <v>171</v>
      </c>
      <c r="C124" s="17" t="s">
        <v>775</v>
      </c>
      <c r="D124" s="17" t="s">
        <v>156</v>
      </c>
      <c r="E124" s="415">
        <v>2012</v>
      </c>
      <c r="F124" s="310">
        <v>45261</v>
      </c>
      <c r="G124" s="441">
        <f>4856.52</f>
        <v>4856.5200000000004</v>
      </c>
      <c r="H124" s="441">
        <v>4856.5200000000004</v>
      </c>
      <c r="I124" s="441">
        <v>0</v>
      </c>
      <c r="J124" s="441">
        <v>0</v>
      </c>
      <c r="K124" s="14">
        <v>0</v>
      </c>
      <c r="L124" s="433">
        <f t="shared" ref="L124" si="178">G124-H124-I124-J124-K124</f>
        <v>0</v>
      </c>
      <c r="M124" s="267"/>
      <c r="N124" s="441"/>
      <c r="O124" s="269">
        <f t="shared" si="0"/>
        <v>0</v>
      </c>
      <c r="P124" s="267"/>
      <c r="Q124" s="441"/>
      <c r="R124" s="269">
        <f t="shared" si="1"/>
        <v>0</v>
      </c>
      <c r="S124" s="267"/>
      <c r="T124" s="441"/>
      <c r="U124" s="269">
        <f t="shared" si="2"/>
        <v>0</v>
      </c>
      <c r="V124" s="267"/>
      <c r="W124" s="441"/>
      <c r="X124" s="270">
        <f t="shared" si="3"/>
        <v>0</v>
      </c>
      <c r="Y124" s="58">
        <f t="shared" si="4"/>
        <v>0</v>
      </c>
    </row>
    <row r="125" spans="1:26" ht="14.25" customHeight="1" x14ac:dyDescent="0.2">
      <c r="A125" s="392" t="s">
        <v>427</v>
      </c>
      <c r="B125" s="396" t="s">
        <v>171</v>
      </c>
      <c r="C125" s="472" t="s">
        <v>775</v>
      </c>
      <c r="D125" s="395" t="s">
        <v>130</v>
      </c>
      <c r="E125" s="415">
        <v>2012</v>
      </c>
      <c r="F125" s="310">
        <v>45261</v>
      </c>
      <c r="G125" s="418">
        <f>410020.15+378778.32+971530.13+2528606.48</f>
        <v>4288935.08</v>
      </c>
      <c r="H125" s="441">
        <v>410020.15</v>
      </c>
      <c r="I125" s="441">
        <v>378778.32</v>
      </c>
      <c r="J125" s="441">
        <v>971530.13</v>
      </c>
      <c r="K125" s="397">
        <f>287627.4-K131</f>
        <v>264379.40000000002</v>
      </c>
      <c r="L125" s="387">
        <f>G125+G126+G131-H125-H126-H131-I125-I126-I131-J125-J126-J131-K125-K126-K131</f>
        <v>2264227.0800000005</v>
      </c>
      <c r="M125" s="267">
        <f>268216.5/12</f>
        <v>22351.375</v>
      </c>
      <c r="N125" s="441">
        <v>3</v>
      </c>
      <c r="O125" s="269">
        <f>M125*N125</f>
        <v>67054.125</v>
      </c>
      <c r="P125" s="267">
        <f>268216.5/12</f>
        <v>22351.375</v>
      </c>
      <c r="Q125" s="441">
        <v>3</v>
      </c>
      <c r="R125" s="269">
        <f>P125*Q125</f>
        <v>67054.125</v>
      </c>
      <c r="S125" s="267">
        <f>268216.5/12</f>
        <v>22351.375</v>
      </c>
      <c r="T125" s="441">
        <v>3</v>
      </c>
      <c r="U125" s="269">
        <f>S125*T125</f>
        <v>67054.125</v>
      </c>
      <c r="V125" s="267">
        <f>268216.5/12</f>
        <v>22351.375</v>
      </c>
      <c r="W125" s="441">
        <v>3</v>
      </c>
      <c r="X125" s="270">
        <f>V125*W125</f>
        <v>67054.125</v>
      </c>
      <c r="Y125" s="753">
        <f>X125+U125+R125+O125</f>
        <v>268216.5</v>
      </c>
      <c r="Z125" t="s">
        <v>1287</v>
      </c>
    </row>
    <row r="126" spans="1:26" s="432" customFormat="1" ht="14.25" customHeight="1" x14ac:dyDescent="0.2">
      <c r="A126" s="402" t="s">
        <v>1595</v>
      </c>
      <c r="B126" s="434" t="s">
        <v>171</v>
      </c>
      <c r="C126" s="472" t="s">
        <v>38</v>
      </c>
      <c r="D126" s="435" t="s">
        <v>130</v>
      </c>
      <c r="E126" s="415">
        <v>2012</v>
      </c>
      <c r="F126" s="310">
        <v>45261</v>
      </c>
      <c r="G126" s="441"/>
      <c r="H126" s="441">
        <v>0</v>
      </c>
      <c r="I126" s="441">
        <v>0</v>
      </c>
      <c r="J126" s="441">
        <v>0</v>
      </c>
      <c r="K126" s="397">
        <v>0</v>
      </c>
      <c r="L126" s="433">
        <v>0</v>
      </c>
      <c r="M126" s="267">
        <f>17422/3</f>
        <v>5807.333333333333</v>
      </c>
      <c r="N126" s="441">
        <v>3</v>
      </c>
      <c r="O126" s="269">
        <f>M126*N126</f>
        <v>17422</v>
      </c>
      <c r="P126" s="267">
        <f>17422/3</f>
        <v>5807.333333333333</v>
      </c>
      <c r="Q126" s="441">
        <v>3</v>
      </c>
      <c r="R126" s="269">
        <f>P126*Q126</f>
        <v>17422</v>
      </c>
      <c r="S126" s="267">
        <f>17422/3</f>
        <v>5807.333333333333</v>
      </c>
      <c r="T126" s="441">
        <v>3</v>
      </c>
      <c r="U126" s="269">
        <f>S126*T126</f>
        <v>17422</v>
      </c>
      <c r="V126" s="267">
        <f>17422/3</f>
        <v>5807.333333333333</v>
      </c>
      <c r="W126" s="441">
        <v>3</v>
      </c>
      <c r="X126" s="270">
        <f>V126*W126</f>
        <v>17422</v>
      </c>
      <c r="Y126" s="437">
        <f>X126+U126+R126+O126</f>
        <v>69688</v>
      </c>
      <c r="Z126" s="432" t="s">
        <v>1287</v>
      </c>
    </row>
    <row r="127" spans="1:26" s="432" customFormat="1" ht="14.25" customHeight="1" x14ac:dyDescent="0.2">
      <c r="A127" s="402" t="s">
        <v>1596</v>
      </c>
      <c r="B127" s="434" t="s">
        <v>171</v>
      </c>
      <c r="C127" s="483" t="s">
        <v>775</v>
      </c>
      <c r="D127" s="435" t="s">
        <v>1475</v>
      </c>
      <c r="E127" s="415"/>
      <c r="F127" s="310"/>
      <c r="G127" s="441">
        <v>0</v>
      </c>
      <c r="H127" s="441">
        <v>0</v>
      </c>
      <c r="I127" s="441">
        <v>0</v>
      </c>
      <c r="J127" s="441">
        <v>0</v>
      </c>
      <c r="K127" s="397">
        <v>0</v>
      </c>
      <c r="L127" s="433">
        <v>0</v>
      </c>
      <c r="M127" s="267">
        <v>0</v>
      </c>
      <c r="N127" s="441">
        <v>3</v>
      </c>
      <c r="O127" s="269">
        <f t="shared" ref="O127:O128" si="179">M127*N127</f>
        <v>0</v>
      </c>
      <c r="P127" s="267">
        <v>0</v>
      </c>
      <c r="Q127" s="441">
        <v>3</v>
      </c>
      <c r="R127" s="269">
        <f t="shared" ref="R127:R128" si="180">P127*Q127</f>
        <v>0</v>
      </c>
      <c r="S127" s="267">
        <v>0</v>
      </c>
      <c r="T127" s="441">
        <v>3</v>
      </c>
      <c r="U127" s="269"/>
      <c r="V127" s="267">
        <v>0</v>
      </c>
      <c r="W127" s="441">
        <v>3</v>
      </c>
      <c r="X127" s="270">
        <f t="shared" ref="X127:X128" si="181">V127*W127</f>
        <v>0</v>
      </c>
      <c r="Y127" s="437">
        <f t="shared" ref="Y127:Y128" si="182">X127+U127+R127+O127</f>
        <v>0</v>
      </c>
    </row>
    <row r="128" spans="1:26" s="432" customFormat="1" ht="14.25" customHeight="1" x14ac:dyDescent="0.2">
      <c r="A128" s="402" t="s">
        <v>1597</v>
      </c>
      <c r="B128" s="434" t="s">
        <v>171</v>
      </c>
      <c r="C128" s="483" t="s">
        <v>38</v>
      </c>
      <c r="D128" s="439" t="s">
        <v>1475</v>
      </c>
      <c r="E128" s="415"/>
      <c r="F128" s="310"/>
      <c r="G128" s="441">
        <v>0</v>
      </c>
      <c r="H128" s="441">
        <v>0</v>
      </c>
      <c r="I128" s="441">
        <v>0</v>
      </c>
      <c r="J128" s="441">
        <v>0</v>
      </c>
      <c r="K128" s="397">
        <v>0</v>
      </c>
      <c r="L128" s="433">
        <v>0</v>
      </c>
      <c r="M128" s="267">
        <f>9735/12</f>
        <v>811.25</v>
      </c>
      <c r="N128" s="441">
        <v>3</v>
      </c>
      <c r="O128" s="269">
        <f t="shared" si="179"/>
        <v>2433.75</v>
      </c>
      <c r="P128" s="267">
        <f>9735/12</f>
        <v>811.25</v>
      </c>
      <c r="Q128" s="441">
        <v>3</v>
      </c>
      <c r="R128" s="269">
        <f t="shared" si="180"/>
        <v>2433.75</v>
      </c>
      <c r="S128" s="267">
        <f>9735/12</f>
        <v>811.25</v>
      </c>
      <c r="T128" s="441">
        <v>3</v>
      </c>
      <c r="U128" s="269">
        <f>S128*T128</f>
        <v>2433.75</v>
      </c>
      <c r="V128" s="267">
        <f>9735/12</f>
        <v>811.25</v>
      </c>
      <c r="W128" s="441">
        <v>3</v>
      </c>
      <c r="X128" s="270">
        <f t="shared" si="181"/>
        <v>2433.75</v>
      </c>
      <c r="Y128" s="437">
        <f t="shared" si="182"/>
        <v>9735</v>
      </c>
      <c r="Z128" s="432" t="s">
        <v>1287</v>
      </c>
    </row>
    <row r="129" spans="1:28" s="386" customFormat="1" ht="14.25" customHeight="1" x14ac:dyDescent="0.2">
      <c r="A129" s="392" t="s">
        <v>1147</v>
      </c>
      <c r="B129" s="396" t="s">
        <v>171</v>
      </c>
      <c r="C129" s="483" t="s">
        <v>38</v>
      </c>
      <c r="D129" s="395" t="s">
        <v>131</v>
      </c>
      <c r="E129" s="415">
        <v>2012</v>
      </c>
      <c r="F129" s="310">
        <v>45261</v>
      </c>
      <c r="G129" s="441">
        <v>10910</v>
      </c>
      <c r="H129" s="441">
        <v>0</v>
      </c>
      <c r="I129" s="441">
        <v>0</v>
      </c>
      <c r="J129" s="441">
        <v>0</v>
      </c>
      <c r="K129" s="441">
        <v>10610</v>
      </c>
      <c r="L129" s="390">
        <v>0</v>
      </c>
      <c r="M129" s="267">
        <f>16685/3</f>
        <v>5561.666666666667</v>
      </c>
      <c r="N129" s="441">
        <v>3</v>
      </c>
      <c r="O129" s="269">
        <f>M129*N129</f>
        <v>16685</v>
      </c>
      <c r="P129" s="267">
        <f>16685/3</f>
        <v>5561.666666666667</v>
      </c>
      <c r="Q129" s="441">
        <v>3</v>
      </c>
      <c r="R129" s="269">
        <f>P129*Q129</f>
        <v>16685</v>
      </c>
      <c r="S129" s="267">
        <f>16685/3</f>
        <v>5561.666666666667</v>
      </c>
      <c r="T129" s="441">
        <v>3</v>
      </c>
      <c r="U129" s="269">
        <f>S129*T129</f>
        <v>16685</v>
      </c>
      <c r="V129" s="267">
        <f>16685/3</f>
        <v>5561.666666666667</v>
      </c>
      <c r="W129" s="441">
        <v>3</v>
      </c>
      <c r="X129" s="270">
        <f>V129*W129</f>
        <v>16685</v>
      </c>
      <c r="Y129" s="437">
        <f t="shared" ref="Y129:Y130" si="183">X129+U129+R129+O129</f>
        <v>66740</v>
      </c>
      <c r="Z129" s="386" t="s">
        <v>1287</v>
      </c>
    </row>
    <row r="130" spans="1:28" ht="14.25" customHeight="1" x14ac:dyDescent="0.2">
      <c r="A130" s="392" t="s">
        <v>428</v>
      </c>
      <c r="B130" s="396" t="s">
        <v>171</v>
      </c>
      <c r="C130" s="483" t="s">
        <v>775</v>
      </c>
      <c r="D130" s="395" t="s">
        <v>132</v>
      </c>
      <c r="E130" s="415">
        <v>2012</v>
      </c>
      <c r="F130" s="310">
        <v>45261</v>
      </c>
      <c r="G130" s="441">
        <f>298067.39+100899.44+240252.68+2986649.62</f>
        <v>3625869.13</v>
      </c>
      <c r="H130" s="441">
        <v>298067.39</v>
      </c>
      <c r="I130" s="441">
        <v>100899.44</v>
      </c>
      <c r="J130" s="441">
        <v>240252.68</v>
      </c>
      <c r="K130" s="441">
        <f>131051.82-K129</f>
        <v>120441.82</v>
      </c>
      <c r="L130" s="390">
        <f>G129+G130-H129-H130-I129-I130-J129-J130-K129-K130</f>
        <v>2866507.8</v>
      </c>
      <c r="M130" s="267">
        <f>(404897-66740)/12</f>
        <v>28179.75</v>
      </c>
      <c r="N130" s="441">
        <v>3</v>
      </c>
      <c r="O130" s="269">
        <f>M130*N130</f>
        <v>84539.25</v>
      </c>
      <c r="P130" s="267">
        <f>(404897.17-66740)/12</f>
        <v>28179.764166666664</v>
      </c>
      <c r="Q130" s="441">
        <v>3</v>
      </c>
      <c r="R130" s="269">
        <f>P130*Q130</f>
        <v>84539.292499999996</v>
      </c>
      <c r="S130" s="267">
        <f>(404897-66740)/12</f>
        <v>28179.75</v>
      </c>
      <c r="T130" s="441">
        <v>3</v>
      </c>
      <c r="U130" s="269">
        <f>S130*T130</f>
        <v>84539.25</v>
      </c>
      <c r="V130" s="267">
        <f>(404897-66740)/12</f>
        <v>28179.75</v>
      </c>
      <c r="W130" s="441">
        <v>3</v>
      </c>
      <c r="X130" s="270">
        <f t="shared" ref="X130:X138" si="184">V130*W130</f>
        <v>84539.25</v>
      </c>
      <c r="Y130" s="437">
        <f t="shared" si="183"/>
        <v>338157.04249999998</v>
      </c>
      <c r="Z130" t="s">
        <v>1287</v>
      </c>
    </row>
    <row r="131" spans="1:28" s="386" customFormat="1" ht="14.25" customHeight="1" x14ac:dyDescent="0.2">
      <c r="A131" s="393" t="s">
        <v>1148</v>
      </c>
      <c r="B131" s="394" t="s">
        <v>171</v>
      </c>
      <c r="C131" s="483" t="s">
        <v>38</v>
      </c>
      <c r="D131" s="395" t="s">
        <v>138</v>
      </c>
      <c r="E131" s="415">
        <v>2012</v>
      </c>
      <c r="F131" s="310">
        <v>45261</v>
      </c>
      <c r="G131" s="441">
        <v>23248</v>
      </c>
      <c r="H131" s="441">
        <v>0</v>
      </c>
      <c r="I131" s="441">
        <v>0</v>
      </c>
      <c r="J131" s="441">
        <v>0</v>
      </c>
      <c r="K131" s="441">
        <v>23248</v>
      </c>
      <c r="L131" s="390">
        <v>0</v>
      </c>
      <c r="M131" s="267">
        <f>13689/3</f>
        <v>4563</v>
      </c>
      <c r="N131" s="441">
        <v>3</v>
      </c>
      <c r="O131" s="269">
        <f>M131*N131</f>
        <v>13689</v>
      </c>
      <c r="P131" s="267">
        <f>13689/3</f>
        <v>4563</v>
      </c>
      <c r="Q131" s="441">
        <v>3</v>
      </c>
      <c r="R131" s="269">
        <f>P131*Q131</f>
        <v>13689</v>
      </c>
      <c r="S131" s="267">
        <f>13689/3</f>
        <v>4563</v>
      </c>
      <c r="T131" s="441">
        <v>3</v>
      </c>
      <c r="U131" s="269">
        <f>S131*T131</f>
        <v>13689</v>
      </c>
      <c r="V131" s="267">
        <f>13689/3</f>
        <v>4563</v>
      </c>
      <c r="W131" s="441">
        <v>3</v>
      </c>
      <c r="X131" s="270">
        <f t="shared" si="184"/>
        <v>13689</v>
      </c>
      <c r="Y131" s="391">
        <f t="shared" ref="Y131" si="185">X131+U131+R131+O131</f>
        <v>54756</v>
      </c>
      <c r="Z131" s="386" t="s">
        <v>1287</v>
      </c>
    </row>
    <row r="132" spans="1:28" ht="14.25" customHeight="1" x14ac:dyDescent="0.2">
      <c r="A132" s="66" t="s">
        <v>429</v>
      </c>
      <c r="B132" s="37" t="s">
        <v>171</v>
      </c>
      <c r="C132" s="71" t="s">
        <v>775</v>
      </c>
      <c r="D132" s="17" t="s">
        <v>145</v>
      </c>
      <c r="E132" s="415">
        <v>2012</v>
      </c>
      <c r="F132" s="310">
        <v>45261</v>
      </c>
      <c r="G132" s="441">
        <f>110331.25+258792.05</f>
        <v>369123.3</v>
      </c>
      <c r="H132" s="441">
        <v>0</v>
      </c>
      <c r="I132" s="441">
        <v>0</v>
      </c>
      <c r="J132" s="441">
        <v>110331.25</v>
      </c>
      <c r="K132" s="14">
        <v>96600.23</v>
      </c>
      <c r="L132" s="15">
        <f>G132-H132-I132-J132-K132</f>
        <v>162191.82</v>
      </c>
      <c r="M132" s="267">
        <f>227160/12</f>
        <v>18930</v>
      </c>
      <c r="N132" s="441">
        <v>3</v>
      </c>
      <c r="O132" s="269">
        <f t="shared" si="0"/>
        <v>56790</v>
      </c>
      <c r="P132" s="267">
        <f>227160/12</f>
        <v>18930</v>
      </c>
      <c r="Q132" s="441">
        <v>3</v>
      </c>
      <c r="R132" s="269">
        <f t="shared" si="1"/>
        <v>56790</v>
      </c>
      <c r="S132" s="267">
        <f>227160/12</f>
        <v>18930</v>
      </c>
      <c r="T132" s="441">
        <v>3</v>
      </c>
      <c r="U132" s="269">
        <f t="shared" si="2"/>
        <v>56790</v>
      </c>
      <c r="V132" s="267">
        <f>227160/12</f>
        <v>18930</v>
      </c>
      <c r="W132" s="441">
        <v>3</v>
      </c>
      <c r="X132" s="270">
        <f t="shared" si="184"/>
        <v>56790</v>
      </c>
      <c r="Y132" s="473">
        <f t="shared" si="4"/>
        <v>227160</v>
      </c>
    </row>
    <row r="133" spans="1:28" ht="14.25" customHeight="1" x14ac:dyDescent="0.2">
      <c r="A133" s="66" t="s">
        <v>430</v>
      </c>
      <c r="B133" s="16" t="s">
        <v>171</v>
      </c>
      <c r="C133" s="71" t="s">
        <v>775</v>
      </c>
      <c r="D133" s="17" t="s">
        <v>163</v>
      </c>
      <c r="E133" s="416" t="s">
        <v>1083</v>
      </c>
      <c r="F133" s="275" t="s">
        <v>772</v>
      </c>
      <c r="G133" s="418">
        <v>0</v>
      </c>
      <c r="H133" s="441">
        <v>0</v>
      </c>
      <c r="I133" s="441">
        <v>0</v>
      </c>
      <c r="J133" s="441">
        <v>0</v>
      </c>
      <c r="K133" s="14">
        <v>0</v>
      </c>
      <c r="L133" s="433">
        <f>G133-H133-I133-J133-K133</f>
        <v>0</v>
      </c>
      <c r="M133" s="267"/>
      <c r="N133" s="441"/>
      <c r="O133" s="269">
        <f t="shared" ref="O133:O135" si="186">N133*M133</f>
        <v>0</v>
      </c>
      <c r="P133" s="267"/>
      <c r="Q133" s="441"/>
      <c r="R133" s="269">
        <f t="shared" ref="R133:R135" si="187">Q133*P133</f>
        <v>0</v>
      </c>
      <c r="S133" s="267"/>
      <c r="T133" s="441"/>
      <c r="U133" s="269">
        <f t="shared" ref="U133:U135" si="188">T133*S133</f>
        <v>0</v>
      </c>
      <c r="V133" s="267"/>
      <c r="W133" s="441"/>
      <c r="X133" s="270">
        <f t="shared" si="184"/>
        <v>0</v>
      </c>
      <c r="Y133" s="58">
        <f t="shared" ref="Y133:Y135" si="189">X133+U133+R133+O133</f>
        <v>0</v>
      </c>
    </row>
    <row r="134" spans="1:28" s="432" customFormat="1" ht="14.25" customHeight="1" x14ac:dyDescent="0.2">
      <c r="A134" s="438" t="s">
        <v>1308</v>
      </c>
      <c r="B134" s="434" t="s">
        <v>171</v>
      </c>
      <c r="C134" s="439" t="s">
        <v>775</v>
      </c>
      <c r="D134" s="435" t="s">
        <v>123</v>
      </c>
      <c r="E134" s="416">
        <v>2006</v>
      </c>
      <c r="F134" s="552">
        <v>41426</v>
      </c>
      <c r="G134" s="441">
        <v>866575</v>
      </c>
      <c r="H134" s="441">
        <v>866575</v>
      </c>
      <c r="I134" s="441">
        <v>0</v>
      </c>
      <c r="J134" s="441">
        <v>0</v>
      </c>
      <c r="K134" s="397">
        <v>0</v>
      </c>
      <c r="L134" s="433">
        <f>G134-H134-I134-J134-K134</f>
        <v>0</v>
      </c>
      <c r="M134" s="267">
        <v>0</v>
      </c>
      <c r="N134" s="441">
        <v>0</v>
      </c>
      <c r="O134" s="269">
        <f t="shared" si="186"/>
        <v>0</v>
      </c>
      <c r="P134" s="267"/>
      <c r="Q134" s="441"/>
      <c r="R134" s="269">
        <f t="shared" si="187"/>
        <v>0</v>
      </c>
      <c r="S134" s="267"/>
      <c r="T134" s="441"/>
      <c r="U134" s="269">
        <f t="shared" si="188"/>
        <v>0</v>
      </c>
      <c r="V134" s="267"/>
      <c r="W134" s="441"/>
      <c r="X134" s="270">
        <f t="shared" ref="X134" si="190">W134*V134</f>
        <v>0</v>
      </c>
      <c r="Y134" s="437">
        <f t="shared" si="4"/>
        <v>0</v>
      </c>
    </row>
    <row r="135" spans="1:28" ht="14.25" customHeight="1" x14ac:dyDescent="0.2">
      <c r="A135" s="66" t="s">
        <v>771</v>
      </c>
      <c r="B135" s="16" t="s">
        <v>171</v>
      </c>
      <c r="C135" s="71" t="s">
        <v>775</v>
      </c>
      <c r="D135" s="17" t="s">
        <v>125</v>
      </c>
      <c r="E135" s="415">
        <v>2007</v>
      </c>
      <c r="F135" s="310">
        <v>43738</v>
      </c>
      <c r="G135" s="441">
        <v>417393</v>
      </c>
      <c r="H135" s="441">
        <v>0</v>
      </c>
      <c r="I135" s="441">
        <v>0</v>
      </c>
      <c r="J135" s="441">
        <v>0</v>
      </c>
      <c r="K135" s="14">
        <v>0</v>
      </c>
      <c r="L135" s="433">
        <f t="shared" ref="L135:L139" si="191">G135-H135-I135-J135-K135</f>
        <v>417393</v>
      </c>
      <c r="M135" s="484">
        <f>321405/12</f>
        <v>26783.75</v>
      </c>
      <c r="N135" s="485">
        <v>3</v>
      </c>
      <c r="O135" s="269">
        <f t="shared" si="186"/>
        <v>80351.25</v>
      </c>
      <c r="P135" s="484">
        <f>321405/12</f>
        <v>26783.75</v>
      </c>
      <c r="Q135" s="485">
        <v>3</v>
      </c>
      <c r="R135" s="269">
        <f t="shared" si="187"/>
        <v>80351.25</v>
      </c>
      <c r="S135" s="484">
        <f>321405/12</f>
        <v>26783.75</v>
      </c>
      <c r="T135" s="441">
        <v>3</v>
      </c>
      <c r="U135" s="269">
        <f t="shared" si="188"/>
        <v>80351.25</v>
      </c>
      <c r="V135" s="484">
        <f>321405/12</f>
        <v>26783.75</v>
      </c>
      <c r="W135" s="485">
        <v>3</v>
      </c>
      <c r="X135" s="270">
        <f t="shared" si="184"/>
        <v>80351.25</v>
      </c>
      <c r="Y135" s="437">
        <f t="shared" si="189"/>
        <v>321405</v>
      </c>
    </row>
    <row r="136" spans="1:28" ht="14.25" customHeight="1" x14ac:dyDescent="0.2">
      <c r="A136" s="66" t="s">
        <v>436</v>
      </c>
      <c r="B136" s="70" t="s">
        <v>171</v>
      </c>
      <c r="C136" s="17" t="s">
        <v>775</v>
      </c>
      <c r="D136" s="17" t="s">
        <v>124</v>
      </c>
      <c r="E136" s="415">
        <v>2006</v>
      </c>
      <c r="F136" s="310">
        <v>43070</v>
      </c>
      <c r="G136" s="441">
        <f>1308989+133015.31+19693.38+64499-20000</f>
        <v>1506196.69</v>
      </c>
      <c r="H136" s="441">
        <v>133015.31</v>
      </c>
      <c r="I136" s="441">
        <v>19693.38</v>
      </c>
      <c r="J136" s="441">
        <v>64499</v>
      </c>
      <c r="K136" s="14">
        <v>160735.35</v>
      </c>
      <c r="L136" s="433">
        <f t="shared" si="191"/>
        <v>1128253.6499999999</v>
      </c>
      <c r="M136" s="267">
        <f>507290/12</f>
        <v>42274.166666666664</v>
      </c>
      <c r="N136" s="441">
        <v>3</v>
      </c>
      <c r="O136" s="269">
        <f>N136*M136</f>
        <v>126822.5</v>
      </c>
      <c r="P136" s="267">
        <f>507290/12</f>
        <v>42274.166666666664</v>
      </c>
      <c r="Q136" s="441">
        <v>3</v>
      </c>
      <c r="R136" s="269">
        <f>Q136*P136</f>
        <v>126822.5</v>
      </c>
      <c r="S136" s="267">
        <f>507290/12</f>
        <v>42274.166666666664</v>
      </c>
      <c r="T136" s="441">
        <v>3</v>
      </c>
      <c r="U136" s="269">
        <f>T136*S136</f>
        <v>126822.5</v>
      </c>
      <c r="V136" s="267">
        <f>507290/12</f>
        <v>42274.166666666664</v>
      </c>
      <c r="W136" s="441">
        <v>3</v>
      </c>
      <c r="X136" s="270">
        <f t="shared" si="184"/>
        <v>126822.5</v>
      </c>
      <c r="Y136" s="58">
        <f>X136+U136+R136+O136</f>
        <v>507290</v>
      </c>
    </row>
    <row r="137" spans="1:28" ht="14.25" customHeight="1" x14ac:dyDescent="0.2">
      <c r="A137" s="140" t="s">
        <v>680</v>
      </c>
      <c r="B137" s="37" t="s">
        <v>171</v>
      </c>
      <c r="C137" s="71" t="s">
        <v>775</v>
      </c>
      <c r="D137" s="17" t="s">
        <v>159</v>
      </c>
      <c r="E137" s="415">
        <v>2013</v>
      </c>
      <c r="F137" s="310">
        <v>43921</v>
      </c>
      <c r="G137" s="441">
        <v>351212</v>
      </c>
      <c r="H137" s="441">
        <v>0</v>
      </c>
      <c r="I137" s="441">
        <v>0</v>
      </c>
      <c r="J137" s="441">
        <v>0</v>
      </c>
      <c r="K137" s="14">
        <v>32214.26</v>
      </c>
      <c r="L137" s="433">
        <f t="shared" si="191"/>
        <v>318997.74</v>
      </c>
      <c r="M137" s="267">
        <f>153098/12</f>
        <v>12758.166666666666</v>
      </c>
      <c r="N137" s="441">
        <v>3</v>
      </c>
      <c r="O137" s="269">
        <f t="shared" ref="O137" si="192">N137*M137</f>
        <v>38274.5</v>
      </c>
      <c r="P137" s="267">
        <f>153098/12</f>
        <v>12758.166666666666</v>
      </c>
      <c r="Q137" s="441">
        <v>3</v>
      </c>
      <c r="R137" s="269">
        <f t="shared" ref="R137" si="193">Q137*P137</f>
        <v>38274.5</v>
      </c>
      <c r="S137" s="267">
        <f>153098/12</f>
        <v>12758.166666666666</v>
      </c>
      <c r="T137" s="441">
        <v>3</v>
      </c>
      <c r="U137" s="269">
        <f t="shared" ref="U137" si="194">T137*S137</f>
        <v>38274.5</v>
      </c>
      <c r="V137" s="267">
        <f>153098/12</f>
        <v>12758.166666666666</v>
      </c>
      <c r="W137" s="441">
        <v>3</v>
      </c>
      <c r="X137" s="270">
        <f t="shared" si="184"/>
        <v>38274.5</v>
      </c>
      <c r="Y137" s="58">
        <f t="shared" ref="Y137" si="195">X137+U137+R137+O137</f>
        <v>153098</v>
      </c>
      <c r="Z137" s="432"/>
      <c r="AA137" s="432"/>
    </row>
    <row r="138" spans="1:28" ht="14.25" customHeight="1" x14ac:dyDescent="0.2">
      <c r="A138" s="140" t="s">
        <v>681</v>
      </c>
      <c r="B138" s="16" t="s">
        <v>171</v>
      </c>
      <c r="C138" s="71" t="s">
        <v>775</v>
      </c>
      <c r="D138" s="17" t="s">
        <v>162</v>
      </c>
      <c r="E138" s="415">
        <v>2006</v>
      </c>
      <c r="F138" s="310">
        <v>43100</v>
      </c>
      <c r="G138" s="441">
        <f>648310-400000</f>
        <v>248310</v>
      </c>
      <c r="H138" s="441">
        <v>0</v>
      </c>
      <c r="I138" s="441">
        <v>0</v>
      </c>
      <c r="J138" s="441">
        <v>0</v>
      </c>
      <c r="K138" s="441">
        <v>1888.7</v>
      </c>
      <c r="L138" s="433">
        <f t="shared" si="191"/>
        <v>246421.3</v>
      </c>
      <c r="M138" s="267">
        <f>87732/12</f>
        <v>7311</v>
      </c>
      <c r="N138" s="441">
        <v>3</v>
      </c>
      <c r="O138" s="269">
        <f t="shared" ref="O138" si="196">N138*M138</f>
        <v>21933</v>
      </c>
      <c r="P138" s="267">
        <f>87732/12</f>
        <v>7311</v>
      </c>
      <c r="Q138" s="441">
        <v>3</v>
      </c>
      <c r="R138" s="269">
        <f t="shared" ref="R138" si="197">Q138*P138</f>
        <v>21933</v>
      </c>
      <c r="S138" s="267">
        <f>87732/12</f>
        <v>7311</v>
      </c>
      <c r="T138" s="441">
        <v>3</v>
      </c>
      <c r="U138" s="269">
        <f t="shared" ref="U138" si="198">T138*S138</f>
        <v>21933</v>
      </c>
      <c r="V138" s="267">
        <f>87732/12</f>
        <v>7311</v>
      </c>
      <c r="W138" s="441">
        <v>3</v>
      </c>
      <c r="X138" s="270">
        <f t="shared" si="184"/>
        <v>21933</v>
      </c>
      <c r="Y138" s="58">
        <f t="shared" ref="Y138" si="199">X138+U138+R138+O138</f>
        <v>87732</v>
      </c>
      <c r="AB138" s="432"/>
    </row>
    <row r="139" spans="1:28" ht="14.25" customHeight="1" x14ac:dyDescent="0.2">
      <c r="A139" s="66"/>
      <c r="B139" s="70"/>
      <c r="C139" s="17"/>
      <c r="D139" s="17"/>
      <c r="E139" s="415"/>
      <c r="F139" s="274"/>
      <c r="G139" s="418"/>
      <c r="H139" s="418"/>
      <c r="I139" s="418"/>
      <c r="J139" s="418"/>
      <c r="K139" s="418"/>
      <c r="L139" s="433">
        <f t="shared" si="191"/>
        <v>0</v>
      </c>
      <c r="M139" s="267"/>
      <c r="N139" s="418"/>
      <c r="O139" s="269"/>
      <c r="P139" s="267"/>
      <c r="Q139" s="418"/>
      <c r="R139" s="269"/>
      <c r="S139" s="267"/>
      <c r="T139" s="418"/>
      <c r="U139" s="269"/>
      <c r="V139" s="267"/>
      <c r="W139" s="418"/>
      <c r="X139" s="270"/>
      <c r="Y139" s="58"/>
    </row>
    <row r="140" spans="1:28" ht="14.25" customHeight="1" x14ac:dyDescent="0.2">
      <c r="A140" s="66" t="s">
        <v>437</v>
      </c>
      <c r="B140" s="29" t="s">
        <v>193</v>
      </c>
      <c r="C140" s="17" t="s">
        <v>684</v>
      </c>
      <c r="D140" s="17" t="s">
        <v>692</v>
      </c>
      <c r="E140" s="276"/>
      <c r="F140" s="277"/>
      <c r="G140" s="14"/>
      <c r="H140" s="14">
        <v>144319</v>
      </c>
      <c r="I140" s="14">
        <v>9493</v>
      </c>
      <c r="J140" s="14">
        <v>36818</v>
      </c>
      <c r="K140" s="14">
        <v>22991</v>
      </c>
      <c r="L140" s="433">
        <v>0</v>
      </c>
      <c r="M140" s="13">
        <f>18000/12</f>
        <v>1500</v>
      </c>
      <c r="N140" s="14">
        <v>0</v>
      </c>
      <c r="O140" s="15">
        <f t="shared" si="0"/>
        <v>0</v>
      </c>
      <c r="P140" s="13">
        <v>1500</v>
      </c>
      <c r="Q140" s="14">
        <v>0</v>
      </c>
      <c r="R140" s="15">
        <f t="shared" si="1"/>
        <v>0</v>
      </c>
      <c r="S140" s="13">
        <v>1500</v>
      </c>
      <c r="T140" s="14">
        <v>1</v>
      </c>
      <c r="U140" s="15">
        <f t="shared" si="2"/>
        <v>1500</v>
      </c>
      <c r="V140" s="13">
        <v>1500</v>
      </c>
      <c r="W140" s="14">
        <v>3</v>
      </c>
      <c r="X140" s="54">
        <f t="shared" si="3"/>
        <v>4500</v>
      </c>
      <c r="Y140" s="58">
        <f t="shared" si="4"/>
        <v>6000</v>
      </c>
    </row>
    <row r="141" spans="1:28" ht="14.25" customHeight="1" x14ac:dyDescent="0.2">
      <c r="A141" s="66"/>
      <c r="B141" s="29"/>
      <c r="C141" s="17"/>
      <c r="D141" s="17"/>
      <c r="E141" s="276"/>
      <c r="F141" s="277"/>
      <c r="G141" s="14"/>
      <c r="H141" s="14"/>
      <c r="I141" s="14"/>
      <c r="J141" s="14"/>
      <c r="K141" s="14"/>
      <c r="L141" s="15"/>
      <c r="M141" s="13"/>
      <c r="N141" s="14"/>
      <c r="O141" s="15"/>
      <c r="P141" s="13"/>
      <c r="Q141" s="14"/>
      <c r="R141" s="15"/>
      <c r="S141" s="13"/>
      <c r="T141" s="14"/>
      <c r="U141" s="15"/>
      <c r="V141" s="13"/>
      <c r="W141" s="14"/>
      <c r="X141" s="54"/>
      <c r="Y141" s="58"/>
    </row>
    <row r="142" spans="1:28" ht="14.25" customHeight="1" thickBot="1" x14ac:dyDescent="0.25">
      <c r="A142" s="67"/>
      <c r="B142" s="65" t="s">
        <v>22</v>
      </c>
      <c r="C142" s="38" t="s">
        <v>211</v>
      </c>
      <c r="D142" s="38" t="s">
        <v>212</v>
      </c>
      <c r="E142" s="260"/>
      <c r="F142" s="261"/>
      <c r="G142" s="264">
        <f>G6+G19+G36+G40+G52+G56+G77+G84+G94+G103+G118+G123+G140</f>
        <v>48612194.819999993</v>
      </c>
      <c r="H142" s="264">
        <f t="shared" ref="H142:L142" si="200">H6+H19+H36+H40+H52+H56+H77+H84+H94+H103+H118+H123+H140</f>
        <v>20831906.760000002</v>
      </c>
      <c r="I142" s="264">
        <f t="shared" si="200"/>
        <v>15403525.310000002</v>
      </c>
      <c r="J142" s="264">
        <f t="shared" si="200"/>
        <v>15745263.369999999</v>
      </c>
      <c r="K142" s="264">
        <f>K6+K19+K36+K40+K52+K56+K77+K84+K94+K103+K118+K123+K140</f>
        <v>12270309.4</v>
      </c>
      <c r="L142" s="265">
        <f t="shared" si="200"/>
        <v>16069103.399999999</v>
      </c>
      <c r="M142" s="18"/>
      <c r="N142" s="19"/>
      <c r="O142" s="20">
        <f>O6+O19+O36+O40+O52+O56+O77+O84+O94+O103+O118+O123+O140</f>
        <v>3841974.7050000001</v>
      </c>
      <c r="P142" s="18"/>
      <c r="Q142" s="19"/>
      <c r="R142" s="20">
        <f>R6+R19+R36+R40+R52+R56+R77+R84+R94+R103+R118+R123+R140</f>
        <v>3799706.1341499998</v>
      </c>
      <c r="S142" s="18"/>
      <c r="T142" s="19"/>
      <c r="U142" s="20">
        <f>U6+U19+U36+U40+U52+U56+U77+U84+U94+U103+U118+U123+U140</f>
        <v>3316678.165</v>
      </c>
      <c r="V142" s="18"/>
      <c r="W142" s="19"/>
      <c r="X142" s="55">
        <f>X6+X19+X36+X40+X52+X56+X77+X84+X94+X103+X118+X123+X140</f>
        <v>3444657.6749999998</v>
      </c>
      <c r="Y142" s="59">
        <f>Y6+Y19+Y36+Y40+Y52+Y56+Y77+Y84+Y94+Y103+Y118+Y123+Y140</f>
        <v>14403016.67915</v>
      </c>
    </row>
    <row r="144" spans="1:28" x14ac:dyDescent="0.2">
      <c r="H144" s="2"/>
      <c r="I144" s="2"/>
      <c r="J144" s="2"/>
    </row>
    <row r="145" spans="2:14" x14ac:dyDescent="0.2">
      <c r="B145" s="36" t="s">
        <v>376</v>
      </c>
    </row>
    <row r="147" spans="2:14" x14ac:dyDescent="0.2">
      <c r="B147" s="1" t="s">
        <v>1080</v>
      </c>
    </row>
    <row r="148" spans="2:14" x14ac:dyDescent="0.2">
      <c r="B148" s="367" t="s">
        <v>1572</v>
      </c>
    </row>
    <row r="149" spans="2:14" s="432" customFormat="1" x14ac:dyDescent="0.2">
      <c r="B149" s="686" t="s">
        <v>1573</v>
      </c>
      <c r="C149" s="687"/>
      <c r="D149" s="687"/>
    </row>
    <row r="150" spans="2:14" s="30" customFormat="1" x14ac:dyDescent="0.2">
      <c r="B150" s="34" t="s">
        <v>1574</v>
      </c>
    </row>
    <row r="151" spans="2:14" x14ac:dyDescent="0.2">
      <c r="B151" s="1"/>
    </row>
    <row r="154" spans="2:14" x14ac:dyDescent="0.2">
      <c r="B154" s="36" t="s">
        <v>380</v>
      </c>
      <c r="M154" s="39" t="s">
        <v>381</v>
      </c>
      <c r="N154" s="39" t="s">
        <v>382</v>
      </c>
    </row>
    <row r="155" spans="2:14" x14ac:dyDescent="0.2">
      <c r="B155" s="1" t="s">
        <v>377</v>
      </c>
    </row>
    <row r="156" spans="2:14" x14ac:dyDescent="0.2">
      <c r="B156" s="1" t="s">
        <v>378</v>
      </c>
    </row>
    <row r="160" spans="2:14" ht="15" x14ac:dyDescent="0.25">
      <c r="B160" s="40"/>
      <c r="C160" s="11"/>
    </row>
    <row r="161" spans="2:3" ht="15" x14ac:dyDescent="0.25">
      <c r="B161" s="40"/>
      <c r="C161" s="11"/>
    </row>
    <row r="162" spans="2:3" ht="15" x14ac:dyDescent="0.25">
      <c r="B162" s="40"/>
      <c r="C162" s="11"/>
    </row>
    <row r="163" spans="2:3" ht="15" x14ac:dyDescent="0.25">
      <c r="B163" s="40"/>
      <c r="C163" s="11"/>
    </row>
    <row r="164" spans="2:3" ht="15" x14ac:dyDescent="0.25">
      <c r="B164" s="40"/>
      <c r="C164" s="11"/>
    </row>
    <row r="165" spans="2:3" ht="15" x14ac:dyDescent="0.25">
      <c r="B165" s="40"/>
      <c r="C165" s="11"/>
    </row>
    <row r="166" spans="2:3" ht="15" x14ac:dyDescent="0.25">
      <c r="B166" s="40"/>
      <c r="C166" s="11"/>
    </row>
    <row r="167" spans="2:3" ht="15" x14ac:dyDescent="0.25">
      <c r="B167" s="40"/>
      <c r="C167" s="11"/>
    </row>
    <row r="168" spans="2:3" ht="15" x14ac:dyDescent="0.25">
      <c r="B168" s="40"/>
      <c r="C168" s="11"/>
    </row>
    <row r="169" spans="2:3" ht="15" x14ac:dyDescent="0.25">
      <c r="B169" s="40"/>
      <c r="C169" s="11"/>
    </row>
    <row r="170" spans="2:3" ht="15" x14ac:dyDescent="0.25">
      <c r="B170" s="40"/>
      <c r="C170" s="11"/>
    </row>
    <row r="171" spans="2:3" ht="15" x14ac:dyDescent="0.25">
      <c r="B171" s="40"/>
      <c r="C171" s="11"/>
    </row>
    <row r="172" spans="2:3" ht="15" x14ac:dyDescent="0.25">
      <c r="B172" s="40"/>
      <c r="C172" s="11"/>
    </row>
    <row r="173" spans="2:3" ht="15" x14ac:dyDescent="0.25">
      <c r="B173" s="40"/>
      <c r="C173" s="11"/>
    </row>
    <row r="174" spans="2:3" ht="15" x14ac:dyDescent="0.25">
      <c r="B174" s="40"/>
      <c r="C174" s="11"/>
    </row>
    <row r="175" spans="2:3" ht="15" x14ac:dyDescent="0.25">
      <c r="B175" s="40"/>
      <c r="C175" s="11"/>
    </row>
    <row r="176" spans="2:3" ht="15" x14ac:dyDescent="0.25">
      <c r="B176" s="40"/>
      <c r="C176" s="11"/>
    </row>
    <row r="177" spans="2:3" ht="15" x14ac:dyDescent="0.25">
      <c r="B177" s="40"/>
      <c r="C177" s="11"/>
    </row>
    <row r="178" spans="2:3" ht="15" x14ac:dyDescent="0.25">
      <c r="B178" s="40"/>
      <c r="C178" s="11"/>
    </row>
    <row r="179" spans="2:3" ht="15" x14ac:dyDescent="0.25">
      <c r="B179" s="33"/>
      <c r="C179" s="11"/>
    </row>
    <row r="180" spans="2:3" ht="15" x14ac:dyDescent="0.25">
      <c r="B180" s="40"/>
      <c r="C180" s="11"/>
    </row>
    <row r="181" spans="2:3" ht="15" x14ac:dyDescent="0.25">
      <c r="B181" s="40"/>
      <c r="C181" s="11"/>
    </row>
    <row r="182" spans="2:3" ht="15" x14ac:dyDescent="0.25">
      <c r="B182" s="41"/>
      <c r="C182" s="11"/>
    </row>
    <row r="183" spans="2:3" ht="15" x14ac:dyDescent="0.25">
      <c r="B183" s="40"/>
      <c r="C183" s="11"/>
    </row>
    <row r="184" spans="2:3" ht="15" x14ac:dyDescent="0.25">
      <c r="B184" s="11"/>
      <c r="C184" s="42"/>
    </row>
    <row r="185" spans="2:3" ht="15" x14ac:dyDescent="0.25">
      <c r="B185" s="40"/>
      <c r="C185" s="11"/>
    </row>
    <row r="186" spans="2:3" ht="15" x14ac:dyDescent="0.25">
      <c r="B186" s="40"/>
      <c r="C186" s="11"/>
    </row>
    <row r="187" spans="2:3" ht="15" x14ac:dyDescent="0.25">
      <c r="B187" s="40"/>
      <c r="C187" s="11"/>
    </row>
    <row r="188" spans="2:3" ht="15" x14ac:dyDescent="0.25">
      <c r="B188" s="40"/>
      <c r="C188" s="11"/>
    </row>
    <row r="189" spans="2:3" ht="15" x14ac:dyDescent="0.25">
      <c r="B189" s="40"/>
      <c r="C189" s="11"/>
    </row>
    <row r="190" spans="2:3" ht="15" x14ac:dyDescent="0.25">
      <c r="B190" s="40"/>
      <c r="C190" s="11"/>
    </row>
    <row r="191" spans="2:3" ht="15" x14ac:dyDescent="0.25">
      <c r="B191" s="40"/>
      <c r="C191" s="11"/>
    </row>
    <row r="192" spans="2:3" ht="15" x14ac:dyDescent="0.25">
      <c r="B192" s="40"/>
      <c r="C192" s="11"/>
    </row>
    <row r="193" spans="2:3" ht="15" x14ac:dyDescent="0.25">
      <c r="B193" s="40"/>
      <c r="C193" s="11"/>
    </row>
    <row r="194" spans="2:3" ht="15" x14ac:dyDescent="0.25">
      <c r="B194" s="40"/>
      <c r="C194" s="11"/>
    </row>
    <row r="195" spans="2:3" ht="15" x14ac:dyDescent="0.25">
      <c r="B195" s="40"/>
      <c r="C195" s="11"/>
    </row>
    <row r="196" spans="2:3" ht="15" x14ac:dyDescent="0.25">
      <c r="B196" s="40"/>
      <c r="C196" s="11"/>
    </row>
    <row r="197" spans="2:3" ht="15" x14ac:dyDescent="0.25">
      <c r="B197" s="40"/>
      <c r="C197" s="11"/>
    </row>
    <row r="198" spans="2:3" ht="15" x14ac:dyDescent="0.25">
      <c r="B198" s="40"/>
      <c r="C198" s="11"/>
    </row>
    <row r="199" spans="2:3" ht="15" x14ac:dyDescent="0.25">
      <c r="B199" s="40"/>
      <c r="C199" s="11"/>
    </row>
    <row r="200" spans="2:3" ht="15" x14ac:dyDescent="0.25">
      <c r="B200" s="40"/>
      <c r="C200" s="11"/>
    </row>
    <row r="201" spans="2:3" ht="15" x14ac:dyDescent="0.25">
      <c r="B201" s="41"/>
      <c r="C201" s="11"/>
    </row>
    <row r="202" spans="2:3" ht="15" x14ac:dyDescent="0.25">
      <c r="B202" s="11"/>
      <c r="C202" s="42"/>
    </row>
    <row r="203" spans="2:3" ht="15" x14ac:dyDescent="0.25">
      <c r="B203" s="11"/>
      <c r="C203" s="42"/>
    </row>
    <row r="204" spans="2:3" ht="15" x14ac:dyDescent="0.25">
      <c r="B204" s="11"/>
      <c r="C204" s="42"/>
    </row>
    <row r="205" spans="2:3" ht="15" x14ac:dyDescent="0.25">
      <c r="B205" s="11"/>
      <c r="C205" s="42"/>
    </row>
    <row r="206" spans="2:3" ht="15" x14ac:dyDescent="0.25">
      <c r="B206" s="41"/>
      <c r="C206" s="11"/>
    </row>
    <row r="207" spans="2:3" ht="15" x14ac:dyDescent="0.25">
      <c r="B207" s="41"/>
      <c r="C207" s="11"/>
    </row>
    <row r="208" spans="2:3" ht="15" x14ac:dyDescent="0.25">
      <c r="B208" s="40"/>
      <c r="C208" s="11"/>
    </row>
    <row r="209" spans="2:3" ht="15" x14ac:dyDescent="0.25">
      <c r="B209" s="40"/>
      <c r="C209" s="11"/>
    </row>
    <row r="210" spans="2:3" ht="15" x14ac:dyDescent="0.25">
      <c r="B210" s="40"/>
      <c r="C210" s="11"/>
    </row>
    <row r="211" spans="2:3" ht="15" x14ac:dyDescent="0.25">
      <c r="B211" s="40"/>
      <c r="C211" s="11"/>
    </row>
    <row r="212" spans="2:3" ht="15" x14ac:dyDescent="0.25">
      <c r="B212" s="40"/>
      <c r="C212" s="11"/>
    </row>
    <row r="213" spans="2:3" ht="15" x14ac:dyDescent="0.25">
      <c r="B213" s="40"/>
      <c r="C213" s="11"/>
    </row>
    <row r="214" spans="2:3" ht="15" x14ac:dyDescent="0.25">
      <c r="B214" s="43"/>
      <c r="C214" s="29"/>
    </row>
    <row r="215" spans="2:3" ht="15" x14ac:dyDescent="0.25">
      <c r="B215" s="43"/>
      <c r="C215" s="29"/>
    </row>
    <row r="216" spans="2:3" ht="15" x14ac:dyDescent="0.25">
      <c r="B216" s="43"/>
      <c r="C216" s="29"/>
    </row>
    <row r="217" spans="2:3" ht="15" x14ac:dyDescent="0.25">
      <c r="B217" s="41"/>
      <c r="C217" s="44"/>
    </row>
    <row r="218" spans="2:3" ht="15" x14ac:dyDescent="0.25">
      <c r="B218" s="40"/>
      <c r="C218" s="11"/>
    </row>
    <row r="219" spans="2:3" ht="15" x14ac:dyDescent="0.25">
      <c r="B219" s="40"/>
      <c r="C219" s="11"/>
    </row>
    <row r="220" spans="2:3" ht="15" x14ac:dyDescent="0.25">
      <c r="B220" s="40"/>
      <c r="C220" s="11"/>
    </row>
    <row r="221" spans="2:3" ht="15" x14ac:dyDescent="0.25">
      <c r="B221" s="40"/>
      <c r="C221" s="11"/>
    </row>
    <row r="222" spans="2:3" ht="15" x14ac:dyDescent="0.25">
      <c r="B222" s="40"/>
      <c r="C222" s="11"/>
    </row>
    <row r="223" spans="2:3" ht="15" x14ac:dyDescent="0.25">
      <c r="B223" s="40"/>
      <c r="C223" s="11"/>
    </row>
    <row r="224" spans="2:3" ht="15" x14ac:dyDescent="0.25">
      <c r="B224" s="40"/>
      <c r="C224" s="11"/>
    </row>
    <row r="225" spans="2:3" ht="15" x14ac:dyDescent="0.25">
      <c r="B225" s="40"/>
      <c r="C225" s="11"/>
    </row>
    <row r="226" spans="2:3" ht="15" x14ac:dyDescent="0.25">
      <c r="B226" s="40"/>
      <c r="C226" s="11"/>
    </row>
    <row r="227" spans="2:3" ht="15" x14ac:dyDescent="0.25">
      <c r="B227" s="40"/>
      <c r="C227" s="11"/>
    </row>
    <row r="228" spans="2:3" ht="15" x14ac:dyDescent="0.25">
      <c r="B228" s="40"/>
      <c r="C228" s="11"/>
    </row>
    <row r="229" spans="2:3" ht="15" x14ac:dyDescent="0.25">
      <c r="B229" s="40"/>
      <c r="C229" s="11"/>
    </row>
    <row r="230" spans="2:3" ht="15" x14ac:dyDescent="0.25">
      <c r="B230" s="40"/>
      <c r="C230" s="11"/>
    </row>
    <row r="231" spans="2:3" ht="15" x14ac:dyDescent="0.25">
      <c r="B231" s="40"/>
      <c r="C231" s="11"/>
    </row>
    <row r="232" spans="2:3" x14ac:dyDescent="0.2">
      <c r="B232" s="41" t="s">
        <v>193</v>
      </c>
      <c r="C232" s="42"/>
    </row>
  </sheetData>
  <autoFilter ref="B5:Y5"/>
  <mergeCells count="4">
    <mergeCell ref="V4:X4"/>
    <mergeCell ref="M4:O4"/>
    <mergeCell ref="P4:R4"/>
    <mergeCell ref="S4:U4"/>
  </mergeCells>
  <dataValidations count="3">
    <dataValidation type="list" allowBlank="1" showInputMessage="1" showErrorMessage="1" errorTitle="Error" error="You must choose a revenue type from the list." promptTitle="Revenue Type" prompt="Enter the appropriate type of revenue." sqref="B124:B141 B104:B117 B85:B93 B95:B102 B119:B122 B78:B83 B6:B18 B57:B76 B53:B55 B41:B51 B20:B39">
      <formula1>Revenues</formula1>
    </dataValidation>
    <dataValidation type="list" allowBlank="1" showInputMessage="1" showErrorMessage="1" errorTitle="Error" error="You must choose a funding source from the list." promptTitle="Funding Source" prompt="Enter the appropriate grant or other funding source from the list." sqref="D6:D141">
      <formula1>Funding</formula1>
    </dataValidation>
    <dataValidation type="list" allowBlank="1" showInputMessage="1" showErrorMessage="1" errorTitle="Error" error="You must choose a budget unit from the list." promptTitle="Budget Unit" prompt="Choose the appropriate budget unit that applies to the revenue line item." sqref="C6:C141">
      <formula1>Budgets</formula1>
    </dataValidation>
  </dataValidations>
  <pageMargins left="0.45" right="0.45" top="0.5" bottom="0.5" header="0.3" footer="0.3"/>
  <pageSetup scale="55" fitToHeight="2"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57"/>
  <sheetViews>
    <sheetView workbookViewId="0">
      <selection activeCell="F24" sqref="F24"/>
    </sheetView>
  </sheetViews>
  <sheetFormatPr defaultRowHeight="12.75" x14ac:dyDescent="0.2"/>
  <cols>
    <col min="1" max="1" width="34.140625" style="514" customWidth="1"/>
    <col min="2" max="3" width="12.5703125" style="514" customWidth="1"/>
    <col min="4" max="4" width="14.7109375" style="514" customWidth="1"/>
    <col min="5" max="5" width="13.5703125" style="514" customWidth="1"/>
    <col min="6" max="7" width="12.5703125" style="514" hidden="1" customWidth="1"/>
    <col min="8" max="8" width="12.5703125" style="514" customWidth="1"/>
    <col min="9" max="9" width="25" style="514" customWidth="1"/>
    <col min="10" max="14" width="9.140625" style="514"/>
    <col min="15" max="15" width="9.140625" style="514" hidden="1" customWidth="1"/>
    <col min="16" max="20" width="9.140625" style="514" customWidth="1"/>
    <col min="21" max="16384" width="9.140625" style="514"/>
  </cols>
  <sheetData>
    <row r="1" spans="1:9" ht="15.75" x14ac:dyDescent="0.25">
      <c r="A1" s="553" t="s">
        <v>527</v>
      </c>
    </row>
    <row r="2" spans="1:9" ht="15.75" x14ac:dyDescent="0.25">
      <c r="A2" s="553" t="s">
        <v>1311</v>
      </c>
    </row>
    <row r="3" spans="1:9" ht="13.5" thickBot="1" x14ac:dyDescent="0.25"/>
    <row r="4" spans="1:9" x14ac:dyDescent="0.2">
      <c r="A4" s="774" t="s">
        <v>1312</v>
      </c>
      <c r="B4" s="554" t="s">
        <v>1313</v>
      </c>
      <c r="C4" s="554" t="s">
        <v>1313</v>
      </c>
      <c r="D4" s="554" t="s">
        <v>1313</v>
      </c>
      <c r="E4" s="554" t="s">
        <v>1314</v>
      </c>
      <c r="F4" s="554" t="s">
        <v>1315</v>
      </c>
      <c r="G4" s="555" t="s">
        <v>1316</v>
      </c>
      <c r="H4" s="556" t="s">
        <v>1316</v>
      </c>
      <c r="I4" s="40"/>
    </row>
    <row r="5" spans="1:9" ht="13.5" thickBot="1" x14ac:dyDescent="0.25">
      <c r="A5" s="775"/>
      <c r="B5" s="557" t="s">
        <v>782</v>
      </c>
      <c r="C5" s="557" t="s">
        <v>783</v>
      </c>
      <c r="D5" s="557" t="s">
        <v>784</v>
      </c>
      <c r="E5" s="557" t="s">
        <v>785</v>
      </c>
      <c r="F5" s="557" t="s">
        <v>785</v>
      </c>
      <c r="G5" s="558" t="s">
        <v>785</v>
      </c>
      <c r="H5" s="559" t="s">
        <v>1317</v>
      </c>
      <c r="I5" s="560" t="s">
        <v>1318</v>
      </c>
    </row>
    <row r="6" spans="1:9" x14ac:dyDescent="0.2">
      <c r="A6" s="42" t="s">
        <v>1319</v>
      </c>
      <c r="B6" s="561">
        <f>18000</f>
        <v>18000</v>
      </c>
      <c r="C6" s="561">
        <v>18000</v>
      </c>
      <c r="D6" s="561">
        <v>18000</v>
      </c>
      <c r="E6" s="561">
        <v>18000</v>
      </c>
      <c r="F6" s="562"/>
      <c r="G6" s="561">
        <f t="shared" ref="G6:G53" si="0">SUM(E6:F6)</f>
        <v>18000</v>
      </c>
      <c r="H6" s="563">
        <v>18000</v>
      </c>
      <c r="I6" s="560"/>
    </row>
    <row r="7" spans="1:9" x14ac:dyDescent="0.2">
      <c r="A7" s="42" t="s">
        <v>1320</v>
      </c>
      <c r="B7" s="561">
        <v>8015</v>
      </c>
      <c r="C7" s="561">
        <v>7910</v>
      </c>
      <c r="D7" s="561">
        <f>7800</f>
        <v>7800</v>
      </c>
      <c r="E7" s="561">
        <v>7685</v>
      </c>
      <c r="F7" s="561">
        <v>0</v>
      </c>
      <c r="G7" s="561">
        <f t="shared" si="0"/>
        <v>7685</v>
      </c>
      <c r="H7" s="563">
        <v>7800</v>
      </c>
      <c r="I7" s="560"/>
    </row>
    <row r="8" spans="1:9" x14ac:dyDescent="0.2">
      <c r="A8" s="42" t="s">
        <v>1321</v>
      </c>
      <c r="B8" s="561">
        <v>14650</v>
      </c>
      <c r="C8" s="561">
        <v>14430</v>
      </c>
      <c r="D8" s="561">
        <v>14195</v>
      </c>
      <c r="E8" s="561">
        <v>0</v>
      </c>
      <c r="F8" s="561">
        <v>0</v>
      </c>
      <c r="G8" s="561">
        <f t="shared" si="0"/>
        <v>0</v>
      </c>
      <c r="H8" s="563">
        <v>0</v>
      </c>
      <c r="I8" s="564" t="s">
        <v>1322</v>
      </c>
    </row>
    <row r="9" spans="1:9" x14ac:dyDescent="0.2">
      <c r="A9" s="42" t="s">
        <v>1323</v>
      </c>
      <c r="B9" s="561">
        <v>8950</v>
      </c>
      <c r="C9" s="561">
        <v>8795</v>
      </c>
      <c r="D9" s="561">
        <f>8610</f>
        <v>8610</v>
      </c>
      <c r="E9" s="561"/>
      <c r="F9" s="561">
        <v>8600</v>
      </c>
      <c r="G9" s="561">
        <f t="shared" si="0"/>
        <v>8600</v>
      </c>
      <c r="H9" s="563">
        <v>8600</v>
      </c>
      <c r="I9" s="565"/>
    </row>
    <row r="10" spans="1:9" x14ac:dyDescent="0.2">
      <c r="A10" s="42" t="s">
        <v>1324</v>
      </c>
      <c r="B10" s="561">
        <v>13000</v>
      </c>
      <c r="C10" s="561">
        <v>1186.1300000000001</v>
      </c>
      <c r="D10" s="561">
        <f>1170.2</f>
        <v>1170.2</v>
      </c>
      <c r="E10" s="561"/>
      <c r="F10" s="561">
        <v>100</v>
      </c>
      <c r="G10" s="561">
        <f t="shared" si="0"/>
        <v>100</v>
      </c>
      <c r="H10" s="563">
        <v>1000</v>
      </c>
      <c r="I10" s="565"/>
    </row>
    <row r="11" spans="1:9" x14ac:dyDescent="0.2">
      <c r="A11" s="42" t="s">
        <v>1325</v>
      </c>
      <c r="B11" s="561"/>
      <c r="C11" s="561">
        <v>20000</v>
      </c>
      <c r="D11" s="561"/>
      <c r="E11" s="561">
        <v>0</v>
      </c>
      <c r="F11" s="561">
        <v>0</v>
      </c>
      <c r="G11" s="561">
        <f t="shared" si="0"/>
        <v>0</v>
      </c>
      <c r="H11" s="563">
        <v>0</v>
      </c>
      <c r="I11" s="564" t="s">
        <v>1322</v>
      </c>
    </row>
    <row r="12" spans="1:9" x14ac:dyDescent="0.2">
      <c r="A12" s="42" t="s">
        <v>1326</v>
      </c>
      <c r="B12" s="561"/>
      <c r="C12" s="561">
        <v>5500</v>
      </c>
      <c r="D12" s="561"/>
      <c r="E12" s="561"/>
      <c r="F12" s="561">
        <v>0</v>
      </c>
      <c r="G12" s="561">
        <f t="shared" si="0"/>
        <v>0</v>
      </c>
      <c r="H12" s="563">
        <v>0</v>
      </c>
      <c r="I12" s="565" t="s">
        <v>1327</v>
      </c>
    </row>
    <row r="13" spans="1:9" x14ac:dyDescent="0.2">
      <c r="A13" s="42" t="s">
        <v>1328</v>
      </c>
      <c r="B13" s="561">
        <v>15470</v>
      </c>
      <c r="C13" s="561">
        <v>15470</v>
      </c>
      <c r="D13" s="561">
        <f>15470</f>
        <v>15470</v>
      </c>
      <c r="E13" s="561">
        <v>15470</v>
      </c>
      <c r="F13" s="561">
        <v>0</v>
      </c>
      <c r="G13" s="561">
        <f t="shared" si="0"/>
        <v>15470</v>
      </c>
      <c r="H13" s="563">
        <v>14500</v>
      </c>
      <c r="I13" s="565"/>
    </row>
    <row r="14" spans="1:9" x14ac:dyDescent="0.2">
      <c r="A14" s="42" t="s">
        <v>1329</v>
      </c>
      <c r="B14" s="561"/>
      <c r="C14" s="561"/>
      <c r="D14" s="561">
        <v>4150</v>
      </c>
      <c r="E14" s="561">
        <v>4150</v>
      </c>
      <c r="F14" s="561">
        <v>0</v>
      </c>
      <c r="G14" s="561">
        <f t="shared" si="0"/>
        <v>4150</v>
      </c>
      <c r="H14" s="563">
        <v>3900</v>
      </c>
      <c r="I14" s="565"/>
    </row>
    <row r="15" spans="1:9" x14ac:dyDescent="0.2">
      <c r="A15" s="42" t="s">
        <v>1330</v>
      </c>
      <c r="B15" s="561">
        <v>7395.59</v>
      </c>
      <c r="C15" s="561">
        <v>7344.36</v>
      </c>
      <c r="D15" s="561">
        <f>7289.88</f>
        <v>7289.88</v>
      </c>
      <c r="E15" s="561"/>
      <c r="F15" s="561">
        <v>7200</v>
      </c>
      <c r="G15" s="561">
        <f t="shared" si="0"/>
        <v>7200</v>
      </c>
      <c r="H15" s="563">
        <v>7100</v>
      </c>
      <c r="I15" s="566"/>
    </row>
    <row r="16" spans="1:9" x14ac:dyDescent="0.2">
      <c r="A16" s="42" t="s">
        <v>1331</v>
      </c>
      <c r="B16" s="561"/>
      <c r="C16" s="561"/>
      <c r="D16" s="561">
        <v>9250</v>
      </c>
      <c r="E16" s="561">
        <v>9250</v>
      </c>
      <c r="F16" s="561">
        <v>0</v>
      </c>
      <c r="G16" s="561">
        <f t="shared" si="0"/>
        <v>9250</v>
      </c>
      <c r="H16" s="563">
        <v>8700</v>
      </c>
      <c r="I16" s="566"/>
    </row>
    <row r="17" spans="1:9" x14ac:dyDescent="0.2">
      <c r="A17" s="42" t="s">
        <v>1332</v>
      </c>
      <c r="B17" s="561"/>
      <c r="C17" s="561">
        <v>4100</v>
      </c>
      <c r="D17" s="561"/>
      <c r="E17" s="561">
        <v>4100</v>
      </c>
      <c r="F17" s="561">
        <v>0</v>
      </c>
      <c r="G17" s="561">
        <f t="shared" si="0"/>
        <v>4100</v>
      </c>
      <c r="H17" s="563">
        <v>3700</v>
      </c>
      <c r="I17" s="566"/>
    </row>
    <row r="18" spans="1:9" x14ac:dyDescent="0.2">
      <c r="A18" s="42" t="s">
        <v>1333</v>
      </c>
      <c r="B18" s="561"/>
      <c r="C18" s="561">
        <v>3500</v>
      </c>
      <c r="D18" s="561"/>
      <c r="E18" s="561">
        <v>0</v>
      </c>
      <c r="F18" s="561">
        <v>0</v>
      </c>
      <c r="G18" s="561">
        <f t="shared" si="0"/>
        <v>0</v>
      </c>
      <c r="H18" s="563">
        <v>0</v>
      </c>
      <c r="I18" s="564" t="s">
        <v>1322</v>
      </c>
    </row>
    <row r="19" spans="1:9" x14ac:dyDescent="0.2">
      <c r="A19" s="42" t="s">
        <v>1334</v>
      </c>
      <c r="B19" s="561"/>
      <c r="C19" s="561">
        <v>12979.14</v>
      </c>
      <c r="D19" s="561">
        <f>3674.89</f>
        <v>3674.89</v>
      </c>
      <c r="E19" s="561"/>
      <c r="F19" s="561">
        <v>3600</v>
      </c>
      <c r="G19" s="561">
        <f t="shared" si="0"/>
        <v>3600</v>
      </c>
      <c r="H19" s="563">
        <v>3000</v>
      </c>
      <c r="I19" s="566"/>
    </row>
    <row r="20" spans="1:9" x14ac:dyDescent="0.2">
      <c r="A20" s="42" t="s">
        <v>1335</v>
      </c>
      <c r="B20" s="561">
        <v>4630</v>
      </c>
      <c r="C20" s="561">
        <v>4630</v>
      </c>
      <c r="D20" s="561">
        <v>4630</v>
      </c>
      <c r="E20" s="561">
        <v>4630</v>
      </c>
      <c r="F20" s="561">
        <v>0</v>
      </c>
      <c r="G20" s="561">
        <f t="shared" si="0"/>
        <v>4630</v>
      </c>
      <c r="H20" s="563">
        <v>4200</v>
      </c>
      <c r="I20" s="565"/>
    </row>
    <row r="21" spans="1:9" x14ac:dyDescent="0.2">
      <c r="A21" s="42" t="s">
        <v>1336</v>
      </c>
      <c r="B21" s="561">
        <v>3050</v>
      </c>
      <c r="C21" s="561">
        <v>4510</v>
      </c>
      <c r="D21" s="561">
        <f>1490+1480</f>
        <v>2970</v>
      </c>
      <c r="E21" s="561">
        <f>1470+1460</f>
        <v>2930</v>
      </c>
      <c r="F21" s="561">
        <v>0</v>
      </c>
      <c r="G21" s="561">
        <f t="shared" si="0"/>
        <v>2930</v>
      </c>
      <c r="H21" s="563">
        <f>1470+1460</f>
        <v>2930</v>
      </c>
      <c r="I21" s="567"/>
    </row>
    <row r="22" spans="1:9" x14ac:dyDescent="0.2">
      <c r="A22" s="42" t="s">
        <v>1337</v>
      </c>
      <c r="B22" s="561">
        <v>7350</v>
      </c>
      <c r="C22" s="561"/>
      <c r="D22" s="561"/>
      <c r="E22" s="561">
        <v>0</v>
      </c>
      <c r="F22" s="561">
        <v>0</v>
      </c>
      <c r="G22" s="561">
        <f t="shared" si="0"/>
        <v>0</v>
      </c>
      <c r="H22" s="563">
        <v>0</v>
      </c>
      <c r="I22" s="564" t="s">
        <v>1338</v>
      </c>
    </row>
    <row r="23" spans="1:9" x14ac:dyDescent="0.2">
      <c r="A23" s="42" t="s">
        <v>1339</v>
      </c>
      <c r="B23" s="561">
        <v>4000</v>
      </c>
      <c r="C23" s="561">
        <v>2000</v>
      </c>
      <c r="D23" s="561">
        <f>2000+750</f>
        <v>2750</v>
      </c>
      <c r="E23" s="561">
        <v>1500</v>
      </c>
      <c r="F23" s="561">
        <v>750</v>
      </c>
      <c r="G23" s="561">
        <f t="shared" si="0"/>
        <v>2250</v>
      </c>
      <c r="H23" s="563">
        <v>750</v>
      </c>
      <c r="I23" s="565"/>
    </row>
    <row r="24" spans="1:9" x14ac:dyDescent="0.2">
      <c r="A24" s="42" t="s">
        <v>1340</v>
      </c>
      <c r="B24" s="561"/>
      <c r="C24" s="561"/>
      <c r="D24" s="561">
        <v>3400</v>
      </c>
      <c r="E24" s="561">
        <v>3400</v>
      </c>
      <c r="F24" s="561">
        <v>0</v>
      </c>
      <c r="G24" s="561">
        <f t="shared" si="0"/>
        <v>3400</v>
      </c>
      <c r="H24" s="563">
        <v>3400</v>
      </c>
      <c r="I24" s="565"/>
    </row>
    <row r="25" spans="1:9" x14ac:dyDescent="0.2">
      <c r="A25" s="42" t="s">
        <v>1341</v>
      </c>
      <c r="B25" s="561"/>
      <c r="C25" s="561">
        <v>25600</v>
      </c>
      <c r="D25" s="561">
        <v>25600</v>
      </c>
      <c r="E25" s="561">
        <v>25600</v>
      </c>
      <c r="F25" s="561">
        <v>0</v>
      </c>
      <c r="G25" s="561">
        <f t="shared" si="0"/>
        <v>25600</v>
      </c>
      <c r="H25" s="563"/>
      <c r="I25" s="565"/>
    </row>
    <row r="26" spans="1:9" x14ac:dyDescent="0.2">
      <c r="A26" s="42" t="s">
        <v>1342</v>
      </c>
      <c r="B26" s="561"/>
      <c r="C26" s="561">
        <v>9600</v>
      </c>
      <c r="D26" s="561"/>
      <c r="E26" s="561">
        <v>9600</v>
      </c>
      <c r="F26" s="561"/>
      <c r="G26" s="561">
        <f t="shared" si="0"/>
        <v>9600</v>
      </c>
      <c r="H26" s="563">
        <v>0</v>
      </c>
      <c r="I26" s="565" t="s">
        <v>1343</v>
      </c>
    </row>
    <row r="27" spans="1:9" x14ac:dyDescent="0.2">
      <c r="A27" s="42" t="s">
        <v>1344</v>
      </c>
      <c r="B27" s="561">
        <v>9946.69</v>
      </c>
      <c r="C27" s="561"/>
      <c r="D27" s="561">
        <f>9882.84</f>
        <v>9882.84</v>
      </c>
      <c r="E27" s="561">
        <f>9777.89</f>
        <v>9777.89</v>
      </c>
      <c r="F27" s="561">
        <v>0</v>
      </c>
      <c r="G27" s="561">
        <f t="shared" si="0"/>
        <v>9777.89</v>
      </c>
      <c r="H27" s="563">
        <v>9000</v>
      </c>
      <c r="I27" s="566"/>
    </row>
    <row r="28" spans="1:9" x14ac:dyDescent="0.2">
      <c r="A28" s="42" t="s">
        <v>1345</v>
      </c>
      <c r="B28" s="561">
        <v>0</v>
      </c>
      <c r="C28" s="561">
        <v>0</v>
      </c>
      <c r="D28" s="561">
        <v>0</v>
      </c>
      <c r="E28" s="561">
        <v>22000</v>
      </c>
      <c r="F28" s="561"/>
      <c r="G28" s="561">
        <f t="shared" si="0"/>
        <v>22000</v>
      </c>
      <c r="H28" s="563">
        <v>20000</v>
      </c>
      <c r="I28" s="566"/>
    </row>
    <row r="29" spans="1:9" x14ac:dyDescent="0.2">
      <c r="A29" s="42" t="s">
        <v>1346</v>
      </c>
      <c r="B29" s="561">
        <v>14900</v>
      </c>
      <c r="C29" s="561">
        <v>14900</v>
      </c>
      <c r="D29" s="561">
        <v>14900</v>
      </c>
      <c r="E29" s="561">
        <f>13680</f>
        <v>13680</v>
      </c>
      <c r="F29" s="561">
        <v>0</v>
      </c>
      <c r="G29" s="561">
        <f t="shared" si="0"/>
        <v>13680</v>
      </c>
      <c r="H29" s="563">
        <v>12000</v>
      </c>
      <c r="I29" s="565"/>
    </row>
    <row r="30" spans="1:9" x14ac:dyDescent="0.2">
      <c r="A30" s="42" t="s">
        <v>1347</v>
      </c>
      <c r="B30" s="561">
        <v>6400</v>
      </c>
      <c r="C30" s="561">
        <v>6400</v>
      </c>
      <c r="D30" s="561">
        <v>6400</v>
      </c>
      <c r="E30" s="561">
        <v>6400</v>
      </c>
      <c r="F30" s="561">
        <v>0</v>
      </c>
      <c r="G30" s="561">
        <f t="shared" si="0"/>
        <v>6400</v>
      </c>
      <c r="H30" s="563">
        <v>5500</v>
      </c>
      <c r="I30" s="565"/>
    </row>
    <row r="31" spans="1:9" x14ac:dyDescent="0.2">
      <c r="A31" s="42" t="s">
        <v>1348</v>
      </c>
      <c r="B31" s="561">
        <v>56685</v>
      </c>
      <c r="C31" s="561">
        <v>56165</v>
      </c>
      <c r="D31" s="561">
        <f>55565</f>
        <v>55565</v>
      </c>
      <c r="E31" s="561">
        <v>54855</v>
      </c>
      <c r="F31" s="561">
        <v>0</v>
      </c>
      <c r="G31" s="561">
        <f t="shared" si="0"/>
        <v>54855</v>
      </c>
      <c r="H31" s="563">
        <v>50000</v>
      </c>
      <c r="I31" s="566"/>
    </row>
    <row r="32" spans="1:9" x14ac:dyDescent="0.2">
      <c r="A32" s="42" t="s">
        <v>1349</v>
      </c>
      <c r="B32" s="561">
        <v>16950</v>
      </c>
      <c r="C32" s="561">
        <v>10940</v>
      </c>
      <c r="D32" s="561">
        <f>5290+5262.5</f>
        <v>10552.5</v>
      </c>
      <c r="E32" s="561">
        <v>5240</v>
      </c>
      <c r="F32" s="561">
        <f>10525-E32</f>
        <v>5285</v>
      </c>
      <c r="G32" s="561">
        <f t="shared" si="0"/>
        <v>10525</v>
      </c>
      <c r="H32" s="563">
        <v>9500</v>
      </c>
      <c r="I32" s="566"/>
    </row>
    <row r="33" spans="1:9" x14ac:dyDescent="0.2">
      <c r="A33" s="42" t="s">
        <v>1350</v>
      </c>
      <c r="B33" s="561">
        <v>4850</v>
      </c>
      <c r="C33" s="561">
        <v>4770</v>
      </c>
      <c r="D33" s="561">
        <f>4685</f>
        <v>4685</v>
      </c>
      <c r="E33" s="561">
        <v>4640</v>
      </c>
      <c r="F33" s="561">
        <v>0</v>
      </c>
      <c r="G33" s="561">
        <f t="shared" si="0"/>
        <v>4640</v>
      </c>
      <c r="H33" s="563">
        <v>4580</v>
      </c>
      <c r="I33" s="566"/>
    </row>
    <row r="34" spans="1:9" x14ac:dyDescent="0.2">
      <c r="A34" s="42" t="s">
        <v>1351</v>
      </c>
      <c r="B34" s="561">
        <v>3917.16</v>
      </c>
      <c r="C34" s="561">
        <v>3901.5</v>
      </c>
      <c r="D34" s="561">
        <f>3901.5</f>
        <v>3901.5</v>
      </c>
      <c r="E34" s="561">
        <v>3925.05</v>
      </c>
      <c r="F34" s="561">
        <v>0</v>
      </c>
      <c r="G34" s="561">
        <f t="shared" si="0"/>
        <v>3925.05</v>
      </c>
      <c r="H34" s="563">
        <v>3828</v>
      </c>
      <c r="I34" s="566"/>
    </row>
    <row r="35" spans="1:9" x14ac:dyDescent="0.2">
      <c r="A35" s="42" t="s">
        <v>1352</v>
      </c>
      <c r="B35" s="561">
        <v>4313.33</v>
      </c>
      <c r="C35" s="561">
        <v>2121.77</v>
      </c>
      <c r="D35" s="561">
        <f>2093.31</f>
        <v>2093.31</v>
      </c>
      <c r="E35" s="561"/>
      <c r="F35" s="561">
        <v>2090</v>
      </c>
      <c r="G35" s="561">
        <f t="shared" si="0"/>
        <v>2090</v>
      </c>
      <c r="H35" s="563">
        <v>1900</v>
      </c>
      <c r="I35" s="565"/>
    </row>
    <row r="36" spans="1:9" x14ac:dyDescent="0.2">
      <c r="A36" s="42" t="s">
        <v>1353</v>
      </c>
      <c r="B36" s="561"/>
      <c r="C36" s="561">
        <v>4200</v>
      </c>
      <c r="D36" s="561"/>
      <c r="E36" s="561">
        <v>4200</v>
      </c>
      <c r="F36" s="561">
        <v>0</v>
      </c>
      <c r="G36" s="561">
        <f t="shared" si="0"/>
        <v>4200</v>
      </c>
      <c r="H36" s="563">
        <v>0</v>
      </c>
      <c r="I36" s="564" t="s">
        <v>1322</v>
      </c>
    </row>
    <row r="37" spans="1:9" x14ac:dyDescent="0.2">
      <c r="A37" s="42" t="s">
        <v>1354</v>
      </c>
      <c r="B37" s="561">
        <v>3040</v>
      </c>
      <c r="C37" s="561">
        <v>2940</v>
      </c>
      <c r="D37" s="561">
        <f>2940</f>
        <v>2940</v>
      </c>
      <c r="E37" s="561">
        <v>2840</v>
      </c>
      <c r="F37" s="561">
        <v>0</v>
      </c>
      <c r="G37" s="561">
        <f t="shared" si="0"/>
        <v>2840</v>
      </c>
      <c r="H37" s="563">
        <v>2540</v>
      </c>
      <c r="I37" s="566"/>
    </row>
    <row r="38" spans="1:9" x14ac:dyDescent="0.2">
      <c r="A38" s="42" t="s">
        <v>1355</v>
      </c>
      <c r="B38" s="561">
        <v>0</v>
      </c>
      <c r="C38" s="561">
        <v>8545</v>
      </c>
      <c r="D38" s="561">
        <f>4180</f>
        <v>4180</v>
      </c>
      <c r="E38" s="561"/>
      <c r="F38" s="561">
        <v>4140</v>
      </c>
      <c r="G38" s="561">
        <f t="shared" si="0"/>
        <v>4140</v>
      </c>
      <c r="H38" s="563">
        <v>4000</v>
      </c>
      <c r="I38" s="566"/>
    </row>
    <row r="39" spans="1:9" x14ac:dyDescent="0.2">
      <c r="A39" s="42" t="s">
        <v>1356</v>
      </c>
      <c r="B39" s="561">
        <v>5210</v>
      </c>
      <c r="C39" s="561">
        <v>5090</v>
      </c>
      <c r="D39" s="561">
        <f>4965</f>
        <v>4965</v>
      </c>
      <c r="E39" s="561">
        <v>0</v>
      </c>
      <c r="F39" s="561">
        <v>0</v>
      </c>
      <c r="G39" s="561">
        <f t="shared" si="0"/>
        <v>0</v>
      </c>
      <c r="H39" s="563">
        <v>0</v>
      </c>
      <c r="I39" s="564" t="s">
        <v>1338</v>
      </c>
    </row>
    <row r="40" spans="1:9" x14ac:dyDescent="0.2">
      <c r="A40" s="42" t="s">
        <v>1357</v>
      </c>
      <c r="B40" s="561">
        <v>0</v>
      </c>
      <c r="C40" s="561">
        <v>0</v>
      </c>
      <c r="D40" s="561">
        <v>0</v>
      </c>
      <c r="E40" s="561">
        <v>16000</v>
      </c>
      <c r="F40" s="561"/>
      <c r="G40" s="561">
        <f t="shared" si="0"/>
        <v>16000</v>
      </c>
      <c r="H40" s="563">
        <v>14000</v>
      </c>
      <c r="I40" s="564"/>
    </row>
    <row r="41" spans="1:9" x14ac:dyDescent="0.2">
      <c r="A41" s="42" t="s">
        <v>1358</v>
      </c>
      <c r="B41" s="561">
        <v>0</v>
      </c>
      <c r="C41" s="561">
        <v>23128.799999999999</v>
      </c>
      <c r="D41" s="561">
        <f>600+11500</f>
        <v>12100</v>
      </c>
      <c r="E41" s="561"/>
      <c r="F41" s="561">
        <v>11500</v>
      </c>
      <c r="G41" s="561">
        <f t="shared" si="0"/>
        <v>11500</v>
      </c>
      <c r="H41" s="563">
        <v>9700</v>
      </c>
      <c r="I41" s="566"/>
    </row>
    <row r="42" spans="1:9" x14ac:dyDescent="0.2">
      <c r="A42" s="42" t="s">
        <v>1359</v>
      </c>
      <c r="B42" s="561">
        <v>8190</v>
      </c>
      <c r="C42" s="561">
        <v>8190</v>
      </c>
      <c r="D42" s="561">
        <v>8190</v>
      </c>
      <c r="E42" s="561"/>
      <c r="F42" s="568">
        <v>8090</v>
      </c>
      <c r="G42" s="561">
        <f t="shared" si="0"/>
        <v>8090</v>
      </c>
      <c r="H42" s="563">
        <v>7900</v>
      </c>
      <c r="I42" s="566"/>
    </row>
    <row r="43" spans="1:9" x14ac:dyDescent="0.2">
      <c r="A43" s="42" t="s">
        <v>1360</v>
      </c>
      <c r="B43" s="561">
        <v>3165</v>
      </c>
      <c r="C43" s="561">
        <v>3751.5</v>
      </c>
      <c r="D43" s="561">
        <f>512.5*4</f>
        <v>2050</v>
      </c>
      <c r="E43" s="561">
        <f>615+287+348.5+430.5+369</f>
        <v>2050</v>
      </c>
      <c r="F43" s="561">
        <v>1050</v>
      </c>
      <c r="G43" s="561">
        <f t="shared" si="0"/>
        <v>3100</v>
      </c>
      <c r="H43" s="563">
        <v>0</v>
      </c>
      <c r="I43" s="566"/>
    </row>
    <row r="44" spans="1:9" x14ac:dyDescent="0.2">
      <c r="A44" s="42" t="s">
        <v>1361</v>
      </c>
      <c r="B44" s="561">
        <v>974.05</v>
      </c>
      <c r="C44" s="561">
        <v>958.3599999999999</v>
      </c>
      <c r="D44" s="561"/>
      <c r="E44" s="561"/>
      <c r="F44" s="561">
        <v>0</v>
      </c>
      <c r="G44" s="561">
        <f t="shared" si="0"/>
        <v>0</v>
      </c>
      <c r="H44" s="563">
        <v>0</v>
      </c>
      <c r="I44" s="564" t="s">
        <v>1322</v>
      </c>
    </row>
    <row r="45" spans="1:9" x14ac:dyDescent="0.2">
      <c r="A45" s="42" t="s">
        <v>1362</v>
      </c>
      <c r="B45" s="561">
        <v>7695</v>
      </c>
      <c r="C45" s="561">
        <v>7510</v>
      </c>
      <c r="D45" s="561">
        <f>3580+3630</f>
        <v>7210</v>
      </c>
      <c r="E45" s="561">
        <f>10435</f>
        <v>10435</v>
      </c>
      <c r="F45" s="561">
        <v>0</v>
      </c>
      <c r="G45" s="561">
        <f t="shared" si="0"/>
        <v>10435</v>
      </c>
      <c r="H45" s="563">
        <v>0</v>
      </c>
      <c r="I45" s="566" t="s">
        <v>1363</v>
      </c>
    </row>
    <row r="46" spans="1:9" x14ac:dyDescent="0.2">
      <c r="A46" s="42" t="s">
        <v>1364</v>
      </c>
      <c r="B46" s="561">
        <v>8297.5</v>
      </c>
      <c r="C46" s="561">
        <v>8245</v>
      </c>
      <c r="D46" s="561">
        <f>4082.5+4062.5</f>
        <v>8145</v>
      </c>
      <c r="E46" s="561">
        <f>4042.5+11992.5</f>
        <v>16035</v>
      </c>
      <c r="F46" s="561">
        <v>0</v>
      </c>
      <c r="G46" s="561">
        <f t="shared" si="0"/>
        <v>16035</v>
      </c>
      <c r="H46" s="563">
        <v>0</v>
      </c>
      <c r="I46" s="566" t="s">
        <v>1363</v>
      </c>
    </row>
    <row r="47" spans="1:9" x14ac:dyDescent="0.2">
      <c r="A47" s="42" t="s">
        <v>1365</v>
      </c>
      <c r="B47" s="561">
        <v>3672.5</v>
      </c>
      <c r="C47" s="561">
        <v>0</v>
      </c>
      <c r="D47" s="561">
        <v>0</v>
      </c>
      <c r="E47" s="561">
        <v>0</v>
      </c>
      <c r="F47" s="561">
        <v>0</v>
      </c>
      <c r="G47" s="561">
        <f t="shared" si="0"/>
        <v>0</v>
      </c>
      <c r="H47" s="563">
        <v>0</v>
      </c>
      <c r="I47" s="569" t="s">
        <v>1366</v>
      </c>
    </row>
    <row r="48" spans="1:9" x14ac:dyDescent="0.2">
      <c r="A48" s="42" t="s">
        <v>1367</v>
      </c>
      <c r="B48" s="561">
        <v>0</v>
      </c>
      <c r="C48" s="561">
        <v>6000</v>
      </c>
      <c r="D48" s="561"/>
      <c r="E48" s="561">
        <v>8500</v>
      </c>
      <c r="F48" s="561">
        <v>0</v>
      </c>
      <c r="G48" s="561">
        <f t="shared" si="0"/>
        <v>8500</v>
      </c>
      <c r="H48" s="563">
        <v>0</v>
      </c>
      <c r="I48" s="564" t="s">
        <v>1322</v>
      </c>
    </row>
    <row r="49" spans="1:9" x14ac:dyDescent="0.2">
      <c r="A49" s="42" t="s">
        <v>1368</v>
      </c>
      <c r="B49" s="561">
        <v>4935</v>
      </c>
      <c r="C49" s="561">
        <v>4882.5</v>
      </c>
      <c r="D49" s="561">
        <f>2365</f>
        <v>2365</v>
      </c>
      <c r="E49" s="561">
        <f>2365+2365</f>
        <v>4730</v>
      </c>
      <c r="F49" s="561">
        <f>2335+2300</f>
        <v>4635</v>
      </c>
      <c r="G49" s="561">
        <f t="shared" si="0"/>
        <v>9365</v>
      </c>
      <c r="H49" s="563">
        <v>4700</v>
      </c>
      <c r="I49" s="566"/>
    </row>
    <row r="50" spans="1:9" x14ac:dyDescent="0.2">
      <c r="A50" s="42" t="s">
        <v>1369</v>
      </c>
      <c r="B50" s="561">
        <v>0</v>
      </c>
      <c r="C50" s="561">
        <v>8500</v>
      </c>
      <c r="D50" s="561"/>
      <c r="E50" s="561">
        <f>5225.62+4171.03</f>
        <v>9396.65</v>
      </c>
      <c r="F50" s="561">
        <v>3274.38</v>
      </c>
      <c r="G50" s="561">
        <f t="shared" si="0"/>
        <v>12671.029999999999</v>
      </c>
      <c r="H50" s="563">
        <v>2000</v>
      </c>
      <c r="I50" s="566"/>
    </row>
    <row r="51" spans="1:9" x14ac:dyDescent="0.2">
      <c r="A51" s="42" t="s">
        <v>1370</v>
      </c>
      <c r="B51" s="561">
        <v>3800</v>
      </c>
      <c r="C51" s="561">
        <v>0</v>
      </c>
      <c r="D51" s="561"/>
      <c r="E51" s="561"/>
      <c r="F51" s="561"/>
      <c r="G51" s="561">
        <f t="shared" si="0"/>
        <v>0</v>
      </c>
      <c r="H51" s="563">
        <v>0</v>
      </c>
      <c r="I51" s="569" t="s">
        <v>1371</v>
      </c>
    </row>
    <row r="52" spans="1:9" x14ac:dyDescent="0.2">
      <c r="A52" s="42" t="s">
        <v>1372</v>
      </c>
      <c r="B52" s="561">
        <v>13432.5</v>
      </c>
      <c r="C52" s="561">
        <v>8955</v>
      </c>
      <c r="D52" s="561"/>
      <c r="E52" s="561"/>
      <c r="F52" s="561"/>
      <c r="G52" s="561">
        <f t="shared" si="0"/>
        <v>0</v>
      </c>
      <c r="H52" s="563">
        <v>0</v>
      </c>
      <c r="I52" s="569" t="s">
        <v>1371</v>
      </c>
    </row>
    <row r="53" spans="1:9" x14ac:dyDescent="0.2">
      <c r="A53" s="42" t="s">
        <v>1373</v>
      </c>
      <c r="B53" s="561">
        <f>50631.25+4164.58</f>
        <v>54795.83</v>
      </c>
      <c r="C53" s="561">
        <v>45320.829999999994</v>
      </c>
      <c r="D53" s="561">
        <f>3306.25+2647.92+2591.67+2535.42+2477.08+1822.92+1783.33+1495.83+1604.17+1572.92+1539.58+1504.17</f>
        <v>24881.259999999995</v>
      </c>
      <c r="E53" s="561">
        <f>1470.83+1435.42+1402.08+1372.92+1335.42+1300+1264.58+1227.08+1191.67</f>
        <v>12000</v>
      </c>
      <c r="F53" s="561">
        <f>10691.67+154</f>
        <v>10845.67</v>
      </c>
      <c r="G53" s="561">
        <f t="shared" si="0"/>
        <v>22845.67</v>
      </c>
      <c r="H53" s="563">
        <v>5000</v>
      </c>
      <c r="I53" s="566"/>
    </row>
    <row r="54" spans="1:9" ht="16.5" customHeight="1" x14ac:dyDescent="0.2">
      <c r="A54" s="42" t="s">
        <v>1374</v>
      </c>
      <c r="B54" s="561"/>
      <c r="C54" s="561"/>
      <c r="D54" s="561"/>
      <c r="E54" s="561"/>
      <c r="F54" s="561"/>
      <c r="G54" s="561"/>
      <c r="H54" s="563">
        <f>257070-253728</f>
        <v>3342</v>
      </c>
      <c r="I54" s="566"/>
    </row>
    <row r="55" spans="1:9" ht="13.5" thickBot="1" x14ac:dyDescent="0.25">
      <c r="A55" s="41" t="s">
        <v>632</v>
      </c>
      <c r="B55" s="570">
        <f>SUM(B6:B54)</f>
        <v>339680.14999999997</v>
      </c>
      <c r="C55" s="570">
        <f t="shared" ref="C55:D55" si="1">SUM(C6:C54)</f>
        <v>410969.89</v>
      </c>
      <c r="D55" s="570">
        <f t="shared" si="1"/>
        <v>313966.38</v>
      </c>
      <c r="E55" s="570">
        <f>SUM(E6:E54)</f>
        <v>313019.59000000003</v>
      </c>
      <c r="F55" s="570">
        <f t="shared" ref="F55:G55" si="2">SUM(F6:F53)</f>
        <v>71160.05</v>
      </c>
      <c r="G55" s="570">
        <f t="shared" si="2"/>
        <v>384179.63999999996</v>
      </c>
      <c r="H55" s="571">
        <f>SUM(H6:H54)</f>
        <v>257070</v>
      </c>
      <c r="I55" s="566"/>
    </row>
    <row r="56" spans="1:9" ht="13.5" thickBot="1" x14ac:dyDescent="0.25">
      <c r="A56" s="41"/>
      <c r="B56" s="561"/>
      <c r="C56" s="561"/>
      <c r="D56" s="561"/>
      <c r="E56" s="561"/>
      <c r="F56" s="561"/>
      <c r="G56" s="572"/>
      <c r="H56" s="572"/>
      <c r="I56" s="566"/>
    </row>
    <row r="57" spans="1:9" ht="15.75" thickBot="1" x14ac:dyDescent="0.3">
      <c r="A57" s="41"/>
      <c r="B57" s="572"/>
      <c r="C57" s="572"/>
      <c r="D57" s="572"/>
      <c r="E57" s="572"/>
      <c r="F57" s="573"/>
      <c r="G57" s="574"/>
      <c r="H57" s="575"/>
      <c r="I57" s="566"/>
    </row>
  </sheetData>
  <mergeCells count="1">
    <mergeCell ref="A4:A5"/>
  </mergeCells>
  <pageMargins left="0.45" right="0.45" top="0.5" bottom="0.5" header="0.3" footer="0.3"/>
  <pageSetup scale="71" fitToWidth="2"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4"/>
  <sheetViews>
    <sheetView workbookViewId="0">
      <selection activeCell="F24" sqref="F24"/>
    </sheetView>
  </sheetViews>
  <sheetFormatPr defaultRowHeight="12.75" x14ac:dyDescent="0.2"/>
  <cols>
    <col min="1" max="1" width="9.140625" style="514"/>
    <col min="2" max="2" width="23.140625" style="514" customWidth="1"/>
    <col min="3" max="3" width="9.140625" style="514" hidden="1" customWidth="1"/>
    <col min="4" max="4" width="46.5703125" style="514" hidden="1" customWidth="1"/>
    <col min="5" max="5" width="9.140625" style="514" hidden="1" customWidth="1"/>
    <col min="6" max="6" width="2" style="514" hidden="1" customWidth="1"/>
    <col min="7" max="7" width="12.7109375" style="514" customWidth="1"/>
    <col min="8" max="14" width="9.140625" style="514"/>
    <col min="15" max="15" width="9.140625" style="514" hidden="1" customWidth="1"/>
    <col min="16" max="20" width="9.140625" style="514" customWidth="1"/>
    <col min="21" max="16384" width="9.140625" style="514"/>
  </cols>
  <sheetData>
    <row r="1" spans="1:8" ht="15.75" x14ac:dyDescent="0.25">
      <c r="A1" s="553" t="s">
        <v>527</v>
      </c>
    </row>
    <row r="2" spans="1:8" ht="15.75" x14ac:dyDescent="0.25">
      <c r="A2" s="553" t="s">
        <v>1375</v>
      </c>
    </row>
    <row r="5" spans="1:8" x14ac:dyDescent="0.2">
      <c r="A5" s="40" t="s">
        <v>734</v>
      </c>
      <c r="B5" s="40" t="s">
        <v>1376</v>
      </c>
      <c r="C5" s="40" t="s">
        <v>1377</v>
      </c>
      <c r="D5" s="40" t="s">
        <v>1378</v>
      </c>
      <c r="E5" s="40" t="s">
        <v>1379</v>
      </c>
      <c r="F5" s="40" t="s">
        <v>1380</v>
      </c>
      <c r="G5" s="576" t="s">
        <v>1317</v>
      </c>
    </row>
    <row r="6" spans="1:8" x14ac:dyDescent="0.2">
      <c r="A6" s="514" t="s">
        <v>1381</v>
      </c>
      <c r="B6" s="514" t="s">
        <v>1382</v>
      </c>
      <c r="C6" s="514">
        <v>0</v>
      </c>
      <c r="D6" s="72">
        <v>0</v>
      </c>
      <c r="E6" s="514">
        <v>0</v>
      </c>
      <c r="F6" s="514">
        <v>0</v>
      </c>
      <c r="G6" s="72">
        <v>0</v>
      </c>
      <c r="H6" s="514" t="s">
        <v>1383</v>
      </c>
    </row>
    <row r="7" spans="1:8" x14ac:dyDescent="0.2">
      <c r="A7" s="514" t="s">
        <v>1384</v>
      </c>
      <c r="B7" s="514" t="s">
        <v>1382</v>
      </c>
      <c r="C7" s="514">
        <v>0</v>
      </c>
      <c r="D7" s="72">
        <v>0</v>
      </c>
      <c r="E7" s="514">
        <v>0</v>
      </c>
      <c r="F7" s="514">
        <v>0</v>
      </c>
      <c r="G7" s="72">
        <v>0</v>
      </c>
      <c r="H7" s="514" t="s">
        <v>1383</v>
      </c>
    </row>
    <row r="8" spans="1:8" x14ac:dyDescent="0.2">
      <c r="A8" s="514" t="s">
        <v>1385</v>
      </c>
      <c r="B8" s="514" t="s">
        <v>1382</v>
      </c>
      <c r="C8" s="514">
        <v>0</v>
      </c>
      <c r="D8" s="72">
        <v>0</v>
      </c>
      <c r="E8" s="514">
        <v>0</v>
      </c>
      <c r="F8" s="514">
        <v>0</v>
      </c>
      <c r="G8" s="72">
        <v>0</v>
      </c>
      <c r="H8" s="514" t="s">
        <v>1383</v>
      </c>
    </row>
    <row r="9" spans="1:8" x14ac:dyDescent="0.2">
      <c r="A9" s="514" t="s">
        <v>1386</v>
      </c>
      <c r="B9" s="514" t="s">
        <v>1382</v>
      </c>
      <c r="C9" s="514">
        <v>0</v>
      </c>
      <c r="D9" s="72">
        <v>0</v>
      </c>
      <c r="E9" s="514">
        <v>0</v>
      </c>
      <c r="F9" s="514">
        <v>0</v>
      </c>
      <c r="G9" s="72">
        <v>0</v>
      </c>
      <c r="H9" s="514" t="s">
        <v>1383</v>
      </c>
    </row>
    <row r="10" spans="1:8" x14ac:dyDescent="0.2">
      <c r="A10" s="514" t="s">
        <v>1387</v>
      </c>
      <c r="B10" s="514" t="s">
        <v>1382</v>
      </c>
      <c r="C10" s="514">
        <v>0</v>
      </c>
      <c r="D10" s="72">
        <v>0</v>
      </c>
      <c r="E10" s="514">
        <v>0</v>
      </c>
      <c r="F10" s="514">
        <v>0</v>
      </c>
      <c r="G10" s="72">
        <v>0</v>
      </c>
      <c r="H10" s="514" t="s">
        <v>1383</v>
      </c>
    </row>
    <row r="11" spans="1:8" x14ac:dyDescent="0.2">
      <c r="A11" s="514" t="s">
        <v>1388</v>
      </c>
      <c r="B11" s="514" t="s">
        <v>1382</v>
      </c>
      <c r="C11" s="514">
        <v>0</v>
      </c>
      <c r="D11" s="72">
        <v>0</v>
      </c>
      <c r="E11" s="514">
        <v>0</v>
      </c>
      <c r="F11" s="514">
        <v>0</v>
      </c>
      <c r="G11" s="72">
        <v>0</v>
      </c>
      <c r="H11" s="514" t="s">
        <v>1383</v>
      </c>
    </row>
    <row r="12" spans="1:8" x14ac:dyDescent="0.2">
      <c r="A12" s="514" t="s">
        <v>1389</v>
      </c>
      <c r="B12" s="514" t="s">
        <v>1382</v>
      </c>
      <c r="C12" s="514">
        <v>0</v>
      </c>
      <c r="D12" s="72">
        <v>0</v>
      </c>
      <c r="E12" s="514">
        <v>0</v>
      </c>
      <c r="F12" s="514">
        <v>0</v>
      </c>
      <c r="G12" s="72">
        <v>0</v>
      </c>
      <c r="H12" s="514" t="s">
        <v>1383</v>
      </c>
    </row>
    <row r="13" spans="1:8" x14ac:dyDescent="0.2">
      <c r="A13" s="514" t="s">
        <v>1390</v>
      </c>
      <c r="B13" s="514" t="s">
        <v>1382</v>
      </c>
      <c r="C13" s="514">
        <v>0</v>
      </c>
      <c r="D13" s="72">
        <v>0</v>
      </c>
      <c r="E13" s="514">
        <v>0</v>
      </c>
      <c r="F13" s="514">
        <v>0</v>
      </c>
      <c r="G13" s="72">
        <v>0</v>
      </c>
      <c r="H13" s="514" t="s">
        <v>1383</v>
      </c>
    </row>
    <row r="14" spans="1:8" x14ac:dyDescent="0.2">
      <c r="A14" s="514" t="s">
        <v>1391</v>
      </c>
      <c r="B14" s="514" t="s">
        <v>1382</v>
      </c>
      <c r="C14" s="514">
        <v>-4023.3616666666662</v>
      </c>
      <c r="D14" s="72">
        <v>20003.490000000002</v>
      </c>
      <c r="E14" s="514">
        <v>15866.84</v>
      </c>
      <c r="F14" s="514">
        <v>2644.4733333333334</v>
      </c>
      <c r="G14" s="72">
        <v>34491.441666666673</v>
      </c>
    </row>
    <row r="15" spans="1:8" x14ac:dyDescent="0.2">
      <c r="A15" s="514" t="s">
        <v>1392</v>
      </c>
      <c r="B15" s="514" t="s">
        <v>1382</v>
      </c>
      <c r="C15" s="514">
        <v>-3861.5533333333333</v>
      </c>
      <c r="D15" s="72">
        <v>19701.940000000002</v>
      </c>
      <c r="E15" s="514">
        <v>16234.55</v>
      </c>
      <c r="F15" s="514">
        <v>2705.7583333333332</v>
      </c>
      <c r="G15" s="72">
        <v>34780.695</v>
      </c>
    </row>
    <row r="16" spans="1:8" x14ac:dyDescent="0.2">
      <c r="A16" s="514" t="s">
        <v>1393</v>
      </c>
      <c r="B16" s="514" t="s">
        <v>1382</v>
      </c>
      <c r="C16" s="514">
        <v>-5433.44</v>
      </c>
      <c r="D16" s="72">
        <v>27471.09</v>
      </c>
      <c r="E16" s="514">
        <v>22341.54</v>
      </c>
      <c r="F16" s="514">
        <v>3723.59</v>
      </c>
      <c r="G16" s="72">
        <v>48102.78</v>
      </c>
    </row>
    <row r="17" spans="1:7" x14ac:dyDescent="0.2">
      <c r="A17" s="514" t="s">
        <v>1394</v>
      </c>
      <c r="B17" s="514" t="s">
        <v>1382</v>
      </c>
      <c r="C17" s="514">
        <v>-6439.4833333333336</v>
      </c>
      <c r="D17" s="72">
        <v>32190.489999999998</v>
      </c>
      <c r="E17" s="514">
        <v>25744.07</v>
      </c>
      <c r="F17" s="514">
        <v>4290.6783333333333</v>
      </c>
      <c r="G17" s="72">
        <v>55785.75499999999</v>
      </c>
    </row>
    <row r="18" spans="1:7" x14ac:dyDescent="0.2">
      <c r="A18" s="514" t="s">
        <v>1395</v>
      </c>
      <c r="B18" s="514" t="s">
        <v>1382</v>
      </c>
      <c r="C18" s="514">
        <v>-4912.4183333333331</v>
      </c>
      <c r="D18" s="72">
        <v>23858.739999999998</v>
      </c>
      <c r="E18" s="514">
        <v>18242.96</v>
      </c>
      <c r="F18" s="514">
        <v>3040.4933333333333</v>
      </c>
      <c r="G18" s="72">
        <v>40229.774999999994</v>
      </c>
    </row>
    <row r="19" spans="1:7" x14ac:dyDescent="0.2">
      <c r="A19" s="514" t="s">
        <v>1396</v>
      </c>
      <c r="B19" s="514" t="s">
        <v>1382</v>
      </c>
      <c r="C19" s="514">
        <v>0</v>
      </c>
      <c r="D19" s="72">
        <v>0</v>
      </c>
      <c r="E19" s="514">
        <v>0</v>
      </c>
      <c r="F19" s="514">
        <v>0</v>
      </c>
      <c r="G19" s="72">
        <v>0</v>
      </c>
    </row>
    <row r="20" spans="1:7" x14ac:dyDescent="0.2">
      <c r="A20" s="514" t="s">
        <v>1397</v>
      </c>
      <c r="B20" s="514" t="s">
        <v>1382</v>
      </c>
      <c r="C20" s="514">
        <v>-5092.5050000000001</v>
      </c>
      <c r="D20" s="72">
        <v>26578.270000000004</v>
      </c>
      <c r="E20" s="514">
        <v>22601.53</v>
      </c>
      <c r="F20" s="514">
        <v>3766.9216666666666</v>
      </c>
      <c r="G20" s="72">
        <v>47854.216666666667</v>
      </c>
    </row>
    <row r="21" spans="1:7" x14ac:dyDescent="0.2">
      <c r="A21" s="514" t="s">
        <v>1398</v>
      </c>
      <c r="B21" s="514" t="s">
        <v>1382</v>
      </c>
      <c r="C21" s="514">
        <v>0</v>
      </c>
      <c r="D21" s="72">
        <v>197470.25</v>
      </c>
      <c r="E21" s="514">
        <v>0</v>
      </c>
      <c r="F21" s="514">
        <v>0</v>
      </c>
      <c r="G21" s="72">
        <v>197470.25</v>
      </c>
    </row>
    <row r="22" spans="1:7" x14ac:dyDescent="0.2">
      <c r="A22" s="514" t="s">
        <v>1399</v>
      </c>
      <c r="B22" s="514" t="s">
        <v>1382</v>
      </c>
      <c r="C22" s="514">
        <v>-16012.713333333333</v>
      </c>
      <c r="D22" s="72">
        <v>88981.53</v>
      </c>
      <c r="E22" s="514">
        <v>81886.78</v>
      </c>
      <c r="F22" s="514">
        <v>13647.796666666667</v>
      </c>
      <c r="G22" s="72">
        <v>168503.39333333334</v>
      </c>
    </row>
    <row r="23" spans="1:7" x14ac:dyDescent="0.2">
      <c r="A23" s="514" t="s">
        <v>1400</v>
      </c>
      <c r="B23" s="514" t="s">
        <v>1382</v>
      </c>
      <c r="C23" s="514">
        <v>-4961.7550000000001</v>
      </c>
      <c r="D23" s="72">
        <v>29161.85</v>
      </c>
      <c r="E23" s="514">
        <v>28553.16</v>
      </c>
      <c r="F23" s="514">
        <v>4758.8599999999997</v>
      </c>
      <c r="G23" s="72">
        <v>57512.114999999998</v>
      </c>
    </row>
    <row r="24" spans="1:7" x14ac:dyDescent="0.2">
      <c r="A24" s="514" t="s">
        <v>1401</v>
      </c>
      <c r="B24" s="514" t="s">
        <v>1382</v>
      </c>
      <c r="C24" s="514">
        <v>-3300</v>
      </c>
      <c r="D24" s="72">
        <v>19200</v>
      </c>
      <c r="E24" s="514">
        <v>18000</v>
      </c>
      <c r="F24" s="514">
        <v>2900</v>
      </c>
      <c r="G24" s="72">
        <v>36800</v>
      </c>
    </row>
    <row r="25" spans="1:7" x14ac:dyDescent="0.2">
      <c r="A25" s="514" t="s">
        <v>1402</v>
      </c>
      <c r="B25" s="514" t="s">
        <v>1382</v>
      </c>
      <c r="C25" s="514">
        <v>-12730</v>
      </c>
      <c r="D25" s="72">
        <v>71130</v>
      </c>
      <c r="E25" s="514">
        <v>58530</v>
      </c>
      <c r="F25" s="514">
        <v>8530</v>
      </c>
      <c r="G25" s="72">
        <v>125460</v>
      </c>
    </row>
    <row r="26" spans="1:7" x14ac:dyDescent="0.2">
      <c r="D26" s="72"/>
      <c r="G26" s="72"/>
    </row>
    <row r="27" spans="1:7" ht="13.5" thickBot="1" x14ac:dyDescent="0.25">
      <c r="A27" s="577" t="s">
        <v>1403</v>
      </c>
      <c r="B27" s="578"/>
      <c r="C27" s="578"/>
      <c r="D27" s="579">
        <f>SUM(D6:D26)</f>
        <v>555747.65</v>
      </c>
      <c r="E27" s="578"/>
      <c r="F27" s="578"/>
      <c r="G27" s="579">
        <f>SUM(G6:G25)</f>
        <v>846990.42166666663</v>
      </c>
    </row>
    <row r="28" spans="1:7" ht="13.5" thickTop="1" x14ac:dyDescent="0.2"/>
    <row r="54" ht="16.5" customHeight="1" x14ac:dyDescent="0.2"/>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55" sqref="H55"/>
    </sheetView>
  </sheetViews>
  <sheetFormatPr defaultRowHeight="12.75" x14ac:dyDescent="0.2"/>
  <cols>
    <col min="1" max="16384" width="9.140625" style="514"/>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5"/>
  <sheetViews>
    <sheetView workbookViewId="0">
      <pane xSplit="3" ySplit="3" topLeftCell="D28" activePane="bottomRight" state="frozen"/>
      <selection activeCell="F24" sqref="F24"/>
      <selection pane="topRight" activeCell="F24" sqref="F24"/>
      <selection pane="bottomLeft" activeCell="F24" sqref="F24"/>
      <selection pane="bottomRight" activeCell="F24" sqref="F24"/>
    </sheetView>
  </sheetViews>
  <sheetFormatPr defaultRowHeight="12.75" x14ac:dyDescent="0.2"/>
  <cols>
    <col min="1" max="1" width="31.140625" customWidth="1"/>
    <col min="2" max="2" width="15" customWidth="1"/>
    <col min="3" max="4" width="16.7109375" customWidth="1"/>
    <col min="5" max="5" width="17" customWidth="1"/>
    <col min="6" max="6" width="18.5703125" customWidth="1"/>
    <col min="7" max="7" width="19.42578125" customWidth="1"/>
    <col min="8" max="8" width="14.42578125" customWidth="1"/>
    <col min="9" max="9" width="15.5703125" customWidth="1"/>
    <col min="10" max="10" width="16.42578125" customWidth="1"/>
    <col min="11" max="11" width="15" customWidth="1"/>
    <col min="12" max="13" width="16.140625" customWidth="1"/>
    <col min="14" max="21" width="15" customWidth="1"/>
    <col min="22" max="22" width="14.140625" customWidth="1"/>
    <col min="23" max="23" width="13.28515625" customWidth="1"/>
    <col min="24" max="25" width="14.140625" customWidth="1"/>
    <col min="26" max="26" width="14.28515625" customWidth="1"/>
    <col min="27" max="27" width="13.140625" customWidth="1"/>
  </cols>
  <sheetData>
    <row r="1" spans="1:21" ht="15" x14ac:dyDescent="0.25">
      <c r="A1" s="155" t="s">
        <v>664</v>
      </c>
      <c r="B1" s="159" t="s">
        <v>632</v>
      </c>
      <c r="C1" s="158" t="s">
        <v>632</v>
      </c>
      <c r="D1" s="157" t="s">
        <v>511</v>
      </c>
      <c r="E1" s="158" t="s">
        <v>511</v>
      </c>
      <c r="F1" s="159" t="s">
        <v>519</v>
      </c>
      <c r="G1" s="158" t="s">
        <v>519</v>
      </c>
      <c r="H1" s="159" t="s">
        <v>518</v>
      </c>
      <c r="I1" s="158" t="s">
        <v>518</v>
      </c>
      <c r="J1" s="159" t="s">
        <v>633</v>
      </c>
      <c r="K1" s="158" t="s">
        <v>633</v>
      </c>
      <c r="L1" s="159" t="s">
        <v>516</v>
      </c>
      <c r="M1" s="158" t="s">
        <v>516</v>
      </c>
      <c r="N1" s="157" t="s">
        <v>31</v>
      </c>
      <c r="O1" s="157" t="s">
        <v>31</v>
      </c>
      <c r="P1" s="159" t="s">
        <v>725</v>
      </c>
      <c r="Q1" s="158" t="s">
        <v>726</v>
      </c>
      <c r="R1" s="159" t="s">
        <v>760</v>
      </c>
      <c r="S1" s="158" t="s">
        <v>760</v>
      </c>
      <c r="T1" s="159" t="s">
        <v>517</v>
      </c>
      <c r="U1" s="158" t="s">
        <v>517</v>
      </c>
    </row>
    <row r="2" spans="1:21" ht="15" x14ac:dyDescent="0.25">
      <c r="A2" s="155" t="s">
        <v>635</v>
      </c>
      <c r="B2" s="161" t="s">
        <v>665</v>
      </c>
      <c r="C2" s="160" t="s">
        <v>636</v>
      </c>
      <c r="D2" s="154" t="str">
        <f>$B$2</f>
        <v>2016-17</v>
      </c>
      <c r="E2" s="160" t="str">
        <f>$C$2</f>
        <v>2015-16</v>
      </c>
      <c r="F2" s="154" t="str">
        <f>$B$2</f>
        <v>2016-17</v>
      </c>
      <c r="G2" s="160" t="str">
        <f>$C$2</f>
        <v>2015-16</v>
      </c>
      <c r="H2" s="154" t="str">
        <f>$B$2</f>
        <v>2016-17</v>
      </c>
      <c r="I2" s="160" t="str">
        <f>$C$2</f>
        <v>2015-16</v>
      </c>
      <c r="J2" s="154" t="str">
        <f>$B$2</f>
        <v>2016-17</v>
      </c>
      <c r="K2" s="160" t="str">
        <f>$C$2</f>
        <v>2015-16</v>
      </c>
      <c r="L2" s="154" t="str">
        <f>$B$2</f>
        <v>2016-17</v>
      </c>
      <c r="M2" s="160" t="str">
        <f>$C$2</f>
        <v>2015-16</v>
      </c>
      <c r="N2" s="154" t="str">
        <f>$B$2</f>
        <v>2016-17</v>
      </c>
      <c r="O2" s="160" t="str">
        <f>$C$2</f>
        <v>2015-16</v>
      </c>
      <c r="P2" s="154" t="str">
        <f>$B$2</f>
        <v>2016-17</v>
      </c>
      <c r="Q2" s="160" t="str">
        <f>$C$2</f>
        <v>2015-16</v>
      </c>
      <c r="R2" s="154" t="str">
        <f>$B$2</f>
        <v>2016-17</v>
      </c>
      <c r="S2" s="160" t="str">
        <f>$C$2</f>
        <v>2015-16</v>
      </c>
      <c r="T2" s="154" t="str">
        <f>$B$2</f>
        <v>2016-17</v>
      </c>
      <c r="U2" s="160" t="str">
        <f>$C$2</f>
        <v>2015-16</v>
      </c>
    </row>
    <row r="3" spans="1:21" ht="15" x14ac:dyDescent="0.25">
      <c r="A3" s="155" t="s">
        <v>637</v>
      </c>
      <c r="B3" s="163" t="s">
        <v>0</v>
      </c>
      <c r="C3" s="162" t="s">
        <v>0</v>
      </c>
      <c r="D3" s="155" t="s">
        <v>0</v>
      </c>
      <c r="E3" s="162" t="s">
        <v>0</v>
      </c>
      <c r="F3" s="163" t="s">
        <v>0</v>
      </c>
      <c r="G3" s="162" t="s">
        <v>0</v>
      </c>
      <c r="H3" s="163" t="s">
        <v>0</v>
      </c>
      <c r="I3" s="162" t="s">
        <v>0</v>
      </c>
      <c r="J3" s="163" t="s">
        <v>0</v>
      </c>
      <c r="K3" s="162" t="s">
        <v>0</v>
      </c>
      <c r="L3" s="163" t="s">
        <v>0</v>
      </c>
      <c r="M3" s="162" t="s">
        <v>0</v>
      </c>
      <c r="N3" s="163" t="s">
        <v>0</v>
      </c>
      <c r="O3" s="162" t="s">
        <v>0</v>
      </c>
      <c r="P3" s="163" t="s">
        <v>0</v>
      </c>
      <c r="Q3" s="162" t="s">
        <v>0</v>
      </c>
      <c r="R3" s="163" t="s">
        <v>0</v>
      </c>
      <c r="S3" s="162" t="s">
        <v>0</v>
      </c>
      <c r="T3" s="163" t="s">
        <v>0</v>
      </c>
      <c r="U3" s="162" t="s">
        <v>0</v>
      </c>
    </row>
    <row r="4" spans="1:21" ht="15" x14ac:dyDescent="0.25">
      <c r="A4" s="143" t="s">
        <v>638</v>
      </c>
      <c r="B4" s="148">
        <f>D4+F4+H4+J4+L4+N4+P4+R4+T4</f>
        <v>10391630.693140002</v>
      </c>
      <c r="C4" s="149">
        <f t="shared" ref="C4:C12" si="0">E4+G4+I4+K4+M4+O4+Q4+S4+U4</f>
        <v>11439323</v>
      </c>
      <c r="D4" s="150">
        <f>HR!H4</f>
        <v>2507480.2300800001</v>
      </c>
      <c r="E4" s="149">
        <v>3664553</v>
      </c>
      <c r="F4" s="148">
        <f>HR!H19</f>
        <v>1455650.8703999999</v>
      </c>
      <c r="G4" s="149">
        <v>1600921</v>
      </c>
      <c r="H4" s="148">
        <f>HR!H16</f>
        <v>1197111.6000000006</v>
      </c>
      <c r="I4" s="149">
        <v>633190</v>
      </c>
      <c r="J4" s="148">
        <f>HR!H11</f>
        <v>856637.1611400001</v>
      </c>
      <c r="K4" s="149">
        <v>1081694</v>
      </c>
      <c r="L4" s="148">
        <f>HR!H23</f>
        <v>576062.23199999996</v>
      </c>
      <c r="M4" s="149">
        <v>641602</v>
      </c>
      <c r="N4" s="150">
        <f>HR!H22</f>
        <v>439805.37810000003</v>
      </c>
      <c r="O4" s="150">
        <v>328843</v>
      </c>
      <c r="P4" s="148">
        <f>HR!H14</f>
        <v>640535.84800000011</v>
      </c>
      <c r="Q4" s="149">
        <v>459095</v>
      </c>
      <c r="R4" s="148">
        <f>HR!H15+HR!H25</f>
        <v>1357726.4447000001</v>
      </c>
      <c r="S4" s="149">
        <v>1597885</v>
      </c>
      <c r="T4" s="148">
        <f>HR!H24</f>
        <v>1360620.9287199993</v>
      </c>
      <c r="U4" s="181">
        <v>1431540</v>
      </c>
    </row>
    <row r="5" spans="1:21" ht="15" x14ac:dyDescent="0.25">
      <c r="A5" s="143" t="s">
        <v>639</v>
      </c>
      <c r="B5" s="148">
        <f t="shared" ref="B5:B14" si="1">D5+F5+H5+J5+L5+N5+P5+R5+T5</f>
        <v>1425459.02</v>
      </c>
      <c r="C5" s="149">
        <f t="shared" si="0"/>
        <v>2240639</v>
      </c>
      <c r="D5" s="150">
        <f>SUM('Prof Serv'!F4:H4)</f>
        <v>237708</v>
      </c>
      <c r="E5" s="149">
        <f>348874</f>
        <v>348874</v>
      </c>
      <c r="F5" s="148">
        <f>SUM('Prof Serv'!F19:H19)</f>
        <v>475001.02</v>
      </c>
      <c r="G5" s="149">
        <v>421000</v>
      </c>
      <c r="H5" s="148">
        <f>SUM('Prof Serv'!F16:H16)</f>
        <v>155000</v>
      </c>
      <c r="I5" s="149">
        <v>1083878</v>
      </c>
      <c r="J5" s="148">
        <f>SUM('Prof Serv'!F11:H11)</f>
        <v>30000</v>
      </c>
      <c r="K5" s="149">
        <v>0</v>
      </c>
      <c r="L5" s="148">
        <f>SUM('Prof Serv'!F23:H23)</f>
        <v>0</v>
      </c>
      <c r="M5" s="149">
        <v>0</v>
      </c>
      <c r="N5" s="150">
        <f>SUM('Prof Serv'!F22:H22)</f>
        <v>0</v>
      </c>
      <c r="O5" s="150">
        <v>0</v>
      </c>
      <c r="P5" s="148">
        <f>SUM('Prof Serv'!F14:H14)</f>
        <v>286250</v>
      </c>
      <c r="Q5" s="149">
        <v>25000</v>
      </c>
      <c r="R5" s="148">
        <f>SUM('Prof Serv'!F15:H15)+SUM('Prof Serv'!F25:H25)</f>
        <v>130500</v>
      </c>
      <c r="S5" s="149">
        <v>241500</v>
      </c>
      <c r="T5" s="148">
        <f>SUM('Prof Serv'!F24:H24)</f>
        <v>111000</v>
      </c>
      <c r="U5" s="181">
        <v>120387</v>
      </c>
    </row>
    <row r="6" spans="1:21" ht="15" x14ac:dyDescent="0.25">
      <c r="A6" s="143" t="s">
        <v>640</v>
      </c>
      <c r="B6" s="148">
        <f t="shared" si="1"/>
        <v>100000</v>
      </c>
      <c r="C6" s="149">
        <f t="shared" si="0"/>
        <v>92334</v>
      </c>
      <c r="D6" s="150">
        <f>'Prof Serv'!J4</f>
        <v>0</v>
      </c>
      <c r="E6" s="149">
        <v>0</v>
      </c>
      <c r="F6" s="148">
        <f>'Prof Serv'!J19</f>
        <v>0</v>
      </c>
      <c r="G6" s="149">
        <v>0</v>
      </c>
      <c r="H6" s="148">
        <f>'Prof Serv'!J16</f>
        <v>0</v>
      </c>
      <c r="I6" s="149">
        <v>0</v>
      </c>
      <c r="J6" s="148">
        <f>'Prof Serv'!J11</f>
        <v>0</v>
      </c>
      <c r="K6" s="149">
        <v>0</v>
      </c>
      <c r="L6" s="148">
        <f>'Prof Serv'!J23</f>
        <v>100000</v>
      </c>
      <c r="M6" s="149">
        <v>92334</v>
      </c>
      <c r="N6" s="150">
        <f>'Prof Serv'!J22</f>
        <v>0</v>
      </c>
      <c r="O6" s="150">
        <v>0</v>
      </c>
      <c r="P6" s="148">
        <f>'Prof Serv'!J14</f>
        <v>0</v>
      </c>
      <c r="Q6" s="149">
        <v>0</v>
      </c>
      <c r="R6" s="148">
        <f>'Prof Serv'!J15+'Prof Serv'!J25</f>
        <v>0</v>
      </c>
      <c r="S6" s="149">
        <v>0</v>
      </c>
      <c r="T6" s="148">
        <f>'Prof Serv'!J24</f>
        <v>0</v>
      </c>
      <c r="U6" s="181">
        <v>0</v>
      </c>
    </row>
    <row r="7" spans="1:21" ht="15" x14ac:dyDescent="0.25">
      <c r="A7" s="143" t="s">
        <v>537</v>
      </c>
      <c r="B7" s="148">
        <f t="shared" si="1"/>
        <v>315244.5</v>
      </c>
      <c r="C7" s="149">
        <f t="shared" si="0"/>
        <v>332257</v>
      </c>
      <c r="D7" s="150">
        <f>Travel!E4</f>
        <v>54780</v>
      </c>
      <c r="E7" s="149">
        <v>58000</v>
      </c>
      <c r="F7" s="148">
        <f>Travel!E19</f>
        <v>11000</v>
      </c>
      <c r="G7" s="149">
        <v>20450</v>
      </c>
      <c r="H7" s="148">
        <f>Travel!E16</f>
        <v>108934.5</v>
      </c>
      <c r="I7" s="149">
        <v>70000</v>
      </c>
      <c r="J7" s="148">
        <f>Travel!E11</f>
        <v>48985</v>
      </c>
      <c r="K7" s="149">
        <v>81607</v>
      </c>
      <c r="L7" s="148">
        <f>Travel!E23</f>
        <v>11400</v>
      </c>
      <c r="M7" s="149">
        <v>9500</v>
      </c>
      <c r="N7" s="150">
        <f>Travel!E22</f>
        <v>1500</v>
      </c>
      <c r="O7" s="150">
        <v>4200</v>
      </c>
      <c r="P7" s="148">
        <f>Travel!E14</f>
        <v>8000</v>
      </c>
      <c r="Q7" s="149">
        <v>8500</v>
      </c>
      <c r="R7" s="148">
        <f>Travel!E15+Travel!E25</f>
        <v>40220</v>
      </c>
      <c r="S7" s="149">
        <v>41500</v>
      </c>
      <c r="T7" s="148">
        <f>Travel!E24</f>
        <v>30425</v>
      </c>
      <c r="U7" s="181">
        <v>38500</v>
      </c>
    </row>
    <row r="8" spans="1:21" ht="15" x14ac:dyDescent="0.25">
      <c r="A8" s="143" t="s">
        <v>538</v>
      </c>
      <c r="B8" s="148">
        <f t="shared" si="1"/>
        <v>1254026.21</v>
      </c>
      <c r="C8" s="149">
        <f>E8+G8+I8+K8+M8+O8+Q8+S8+U8</f>
        <v>954232</v>
      </c>
      <c r="D8" s="150">
        <f>'Other Operating Expenses'!E4</f>
        <v>952378.21000000008</v>
      </c>
      <c r="E8" s="149">
        <f>978500-373301</f>
        <v>605199</v>
      </c>
      <c r="F8" s="148">
        <f>'Other Operating Expenses'!E19</f>
        <v>10570</v>
      </c>
      <c r="G8" s="149">
        <v>21000</v>
      </c>
      <c r="H8" s="148">
        <f>'Other Operating Expenses'!E16</f>
        <v>58300</v>
      </c>
      <c r="I8" s="149">
        <v>71976</v>
      </c>
      <c r="J8" s="148">
        <f>'Other Operating Expenses'!E11</f>
        <v>13012</v>
      </c>
      <c r="K8" s="149">
        <v>28560</v>
      </c>
      <c r="L8" s="148">
        <f>'Other Operating Expenses'!E23</f>
        <v>108571</v>
      </c>
      <c r="M8" s="149">
        <v>130618</v>
      </c>
      <c r="N8" s="150">
        <f>'Other Operating Expenses'!E22</f>
        <v>10560</v>
      </c>
      <c r="O8" s="150">
        <v>2800</v>
      </c>
      <c r="P8" s="148">
        <f>'Other Operating Expenses'!E14</f>
        <v>17896</v>
      </c>
      <c r="Q8" s="149">
        <v>14756</v>
      </c>
      <c r="R8" s="148">
        <f>'Other Operating Expenses'!E15+'Other Operating Expenses'!E25</f>
        <v>7355</v>
      </c>
      <c r="S8" s="149">
        <v>13300</v>
      </c>
      <c r="T8" s="148">
        <f>'Other Operating Expenses'!E24</f>
        <v>75384</v>
      </c>
      <c r="U8" s="181">
        <v>66023</v>
      </c>
    </row>
    <row r="9" spans="1:21" ht="15" x14ac:dyDescent="0.25">
      <c r="A9" s="143" t="s">
        <v>540</v>
      </c>
      <c r="B9" s="148">
        <f t="shared" si="1"/>
        <v>100150</v>
      </c>
      <c r="C9" s="149">
        <f t="shared" si="0"/>
        <v>118400</v>
      </c>
      <c r="D9" s="150">
        <f>Supplies!E4</f>
        <v>46450</v>
      </c>
      <c r="E9" s="149">
        <v>80000</v>
      </c>
      <c r="F9" s="148">
        <f>Supplies!E19</f>
        <v>600</v>
      </c>
      <c r="G9" s="149">
        <v>8500</v>
      </c>
      <c r="H9" s="148">
        <f>Supplies!E16</f>
        <v>30900</v>
      </c>
      <c r="I9" s="149">
        <v>17500</v>
      </c>
      <c r="J9" s="148">
        <f>Supplies!E11</f>
        <v>3500</v>
      </c>
      <c r="K9" s="149">
        <v>4450</v>
      </c>
      <c r="L9" s="148">
        <f>Supplies!E23</f>
        <v>400</v>
      </c>
      <c r="M9" s="149">
        <v>1500</v>
      </c>
      <c r="N9" s="150">
        <f>Supplies!E22</f>
        <v>2000</v>
      </c>
      <c r="O9" s="150">
        <v>1500</v>
      </c>
      <c r="P9" s="148">
        <f>Supplies!E14</f>
        <v>5050</v>
      </c>
      <c r="Q9" s="149">
        <v>250</v>
      </c>
      <c r="R9" s="148">
        <f>Supplies!E15+Supplies!E25</f>
        <v>3250</v>
      </c>
      <c r="S9" s="149">
        <v>2000</v>
      </c>
      <c r="T9" s="148">
        <f>Supplies!E24</f>
        <v>8000</v>
      </c>
      <c r="U9" s="181">
        <v>2700</v>
      </c>
    </row>
    <row r="10" spans="1:21" ht="15" x14ac:dyDescent="0.25">
      <c r="A10" s="143" t="s">
        <v>641</v>
      </c>
      <c r="B10" s="148">
        <f t="shared" si="1"/>
        <v>222500</v>
      </c>
      <c r="C10" s="149">
        <f t="shared" si="0"/>
        <v>244515</v>
      </c>
      <c r="D10" s="150">
        <f>'Prof Serv'!I4</f>
        <v>155000</v>
      </c>
      <c r="E10" s="149">
        <v>162550</v>
      </c>
      <c r="F10" s="148">
        <f>'Prof Serv'!I19</f>
        <v>0</v>
      </c>
      <c r="G10" s="149">
        <v>0</v>
      </c>
      <c r="H10" s="148">
        <f>'Prof Serv'!I16</f>
        <v>0</v>
      </c>
      <c r="I10" s="149">
        <v>0</v>
      </c>
      <c r="J10" s="148">
        <f>'Prof Serv'!I11</f>
        <v>0</v>
      </c>
      <c r="K10" s="149">
        <v>0</v>
      </c>
      <c r="L10" s="148">
        <f>'Prof Serv'!I23</f>
        <v>0</v>
      </c>
      <c r="M10" s="149">
        <v>0</v>
      </c>
      <c r="N10" s="150">
        <f>'Prof Serv'!I22</f>
        <v>67500</v>
      </c>
      <c r="O10" s="150">
        <v>75000</v>
      </c>
      <c r="P10" s="148">
        <f>'Prof Serv'!I14</f>
        <v>0</v>
      </c>
      <c r="Q10" s="149">
        <v>0</v>
      </c>
      <c r="R10" s="148">
        <f>'Prof Serv'!I15+'Prof Serv'!I25</f>
        <v>0</v>
      </c>
      <c r="S10" s="149">
        <v>0</v>
      </c>
      <c r="T10" s="148">
        <f>'Prof Serv'!I24</f>
        <v>0</v>
      </c>
      <c r="U10" s="149">
        <v>6965</v>
      </c>
    </row>
    <row r="11" spans="1:21" ht="15" x14ac:dyDescent="0.25">
      <c r="A11" s="143" t="s">
        <v>507</v>
      </c>
      <c r="B11" s="148">
        <f t="shared" si="1"/>
        <v>13568.75</v>
      </c>
      <c r="C11" s="149">
        <f t="shared" si="0"/>
        <v>38275</v>
      </c>
      <c r="D11" s="150">
        <v>0</v>
      </c>
      <c r="E11" s="149">
        <v>0</v>
      </c>
      <c r="F11" s="148">
        <v>0</v>
      </c>
      <c r="G11" s="149">
        <v>0</v>
      </c>
      <c r="H11" s="148">
        <f>'Bldg Bond Int'!F15</f>
        <v>13568.75</v>
      </c>
      <c r="I11" s="149">
        <v>38275</v>
      </c>
      <c r="J11" s="148">
        <v>0</v>
      </c>
      <c r="K11" s="149">
        <v>0</v>
      </c>
      <c r="L11" s="148">
        <v>0</v>
      </c>
      <c r="M11" s="149">
        <v>0</v>
      </c>
      <c r="N11" s="150">
        <v>0</v>
      </c>
      <c r="O11" s="150">
        <v>0</v>
      </c>
      <c r="P11" s="148">
        <v>0</v>
      </c>
      <c r="Q11" s="149">
        <v>0</v>
      </c>
      <c r="R11" s="148">
        <v>0</v>
      </c>
      <c r="S11" s="149">
        <v>0</v>
      </c>
      <c r="T11" s="148">
        <v>0</v>
      </c>
      <c r="U11" s="149">
        <v>0</v>
      </c>
    </row>
    <row r="12" spans="1:21" ht="15" x14ac:dyDescent="0.25">
      <c r="A12" s="143" t="s">
        <v>642</v>
      </c>
      <c r="B12" s="148">
        <f t="shared" si="1"/>
        <v>357727</v>
      </c>
      <c r="C12" s="149">
        <f t="shared" si="0"/>
        <v>373297</v>
      </c>
      <c r="D12" s="150">
        <f>'Bldg Maint ONLY'!E4</f>
        <v>357727</v>
      </c>
      <c r="E12" s="149">
        <v>373297</v>
      </c>
      <c r="F12" s="148">
        <v>0</v>
      </c>
      <c r="G12" s="149">
        <v>0</v>
      </c>
      <c r="H12" s="148">
        <v>0</v>
      </c>
      <c r="I12" s="149">
        <v>0</v>
      </c>
      <c r="J12" s="148">
        <v>0</v>
      </c>
      <c r="K12" s="149">
        <v>0</v>
      </c>
      <c r="L12" s="148">
        <v>0</v>
      </c>
      <c r="M12" s="149">
        <v>0</v>
      </c>
      <c r="N12" s="150">
        <v>0</v>
      </c>
      <c r="O12" s="150">
        <v>0</v>
      </c>
      <c r="P12" s="148">
        <v>0</v>
      </c>
      <c r="Q12" s="149">
        <v>0</v>
      </c>
      <c r="R12" s="148">
        <v>0</v>
      </c>
      <c r="S12" s="149">
        <v>0</v>
      </c>
      <c r="T12" s="148">
        <v>0</v>
      </c>
      <c r="U12" s="149">
        <v>0</v>
      </c>
    </row>
    <row r="13" spans="1:21" s="432" customFormat="1" ht="15" x14ac:dyDescent="0.25">
      <c r="A13" s="491" t="s">
        <v>546</v>
      </c>
      <c r="B13" s="148">
        <f t="shared" ref="B13" si="2">D13+F13+H13+J13+L13+N13+P13+R13+T13</f>
        <v>85000</v>
      </c>
      <c r="C13" s="149">
        <f t="shared" ref="C13" si="3">E13+G13+I13+K13+M13+O13+Q13+S13+U13</f>
        <v>0</v>
      </c>
      <c r="D13" s="150">
        <f>'Capital Exp'!E4</f>
        <v>75000</v>
      </c>
      <c r="E13" s="149">
        <v>0</v>
      </c>
      <c r="F13" s="148">
        <f>'Capital Exp'!E19</f>
        <v>0</v>
      </c>
      <c r="G13" s="149">
        <v>0</v>
      </c>
      <c r="H13" s="148">
        <f>'Capital Exp'!E16</f>
        <v>0</v>
      </c>
      <c r="I13" s="149">
        <v>0</v>
      </c>
      <c r="J13" s="148">
        <f>'Capital Exp'!E11</f>
        <v>10000</v>
      </c>
      <c r="K13" s="149">
        <v>0</v>
      </c>
      <c r="L13" s="148">
        <f>'Capital Exp'!E23</f>
        <v>0</v>
      </c>
      <c r="M13" s="149">
        <v>0</v>
      </c>
      <c r="N13" s="150">
        <f>'Capital Exp'!E22</f>
        <v>0</v>
      </c>
      <c r="O13" s="150">
        <v>0</v>
      </c>
      <c r="P13" s="148">
        <f>'Capital Exp'!E14</f>
        <v>0</v>
      </c>
      <c r="Q13" s="149">
        <v>0</v>
      </c>
      <c r="R13" s="148">
        <f>'Capital Exp'!E15+'Capital Exp'!E25</f>
        <v>0</v>
      </c>
      <c r="S13" s="149">
        <v>0</v>
      </c>
      <c r="T13" s="148">
        <f>'Capital Exp'!E24</f>
        <v>0</v>
      </c>
      <c r="U13" s="149">
        <v>0</v>
      </c>
    </row>
    <row r="14" spans="1:21" s="432" customFormat="1" ht="15" hidden="1" x14ac:dyDescent="0.25">
      <c r="A14" s="489" t="s">
        <v>1158</v>
      </c>
      <c r="B14" s="148">
        <f t="shared" si="1"/>
        <v>0</v>
      </c>
      <c r="C14" s="149">
        <v>0</v>
      </c>
      <c r="D14" s="150">
        <v>0</v>
      </c>
      <c r="E14" s="149">
        <v>0</v>
      </c>
      <c r="F14" s="193">
        <f>1000000-1000000</f>
        <v>0</v>
      </c>
      <c r="G14" s="149">
        <v>0</v>
      </c>
      <c r="H14" s="148">
        <v>0</v>
      </c>
      <c r="I14" s="149">
        <v>0</v>
      </c>
      <c r="J14" s="148">
        <v>0</v>
      </c>
      <c r="K14" s="149">
        <v>0</v>
      </c>
      <c r="L14" s="148">
        <v>0</v>
      </c>
      <c r="M14" s="149">
        <v>0</v>
      </c>
      <c r="N14" s="150">
        <v>0</v>
      </c>
      <c r="O14" s="150">
        <v>0</v>
      </c>
      <c r="P14" s="148">
        <v>0</v>
      </c>
      <c r="Q14" s="149">
        <v>0</v>
      </c>
      <c r="R14" s="148">
        <v>0</v>
      </c>
      <c r="S14" s="149">
        <v>0</v>
      </c>
      <c r="T14" s="148">
        <v>0</v>
      </c>
      <c r="U14" s="149">
        <v>0</v>
      </c>
    </row>
    <row r="15" spans="1:21" ht="15" x14ac:dyDescent="0.25">
      <c r="A15" s="377" t="s">
        <v>22</v>
      </c>
      <c r="B15" s="151">
        <f t="shared" ref="B15:U15" si="4">SUM(B4:B14)</f>
        <v>14265306.173140001</v>
      </c>
      <c r="C15" s="152">
        <f t="shared" si="4"/>
        <v>15833272</v>
      </c>
      <c r="D15" s="153">
        <f t="shared" si="4"/>
        <v>4386523.4400800001</v>
      </c>
      <c r="E15" s="152">
        <f t="shared" si="4"/>
        <v>5292473</v>
      </c>
      <c r="F15" s="151">
        <f t="shared" si="4"/>
        <v>1952821.8903999999</v>
      </c>
      <c r="G15" s="152">
        <f t="shared" si="4"/>
        <v>2071871</v>
      </c>
      <c r="H15" s="151">
        <f t="shared" si="4"/>
        <v>1563814.8500000006</v>
      </c>
      <c r="I15" s="152">
        <f t="shared" si="4"/>
        <v>1914819</v>
      </c>
      <c r="J15" s="151">
        <f t="shared" si="4"/>
        <v>962134.1611400001</v>
      </c>
      <c r="K15" s="152">
        <f t="shared" si="4"/>
        <v>1196311</v>
      </c>
      <c r="L15" s="151">
        <f t="shared" si="4"/>
        <v>796433.23199999996</v>
      </c>
      <c r="M15" s="152">
        <f t="shared" si="4"/>
        <v>875554</v>
      </c>
      <c r="N15" s="151">
        <f t="shared" si="4"/>
        <v>521365.37810000003</v>
      </c>
      <c r="O15" s="152">
        <f t="shared" si="4"/>
        <v>412343</v>
      </c>
      <c r="P15" s="151">
        <f t="shared" si="4"/>
        <v>957731.84800000011</v>
      </c>
      <c r="Q15" s="152">
        <f t="shared" si="4"/>
        <v>507601</v>
      </c>
      <c r="R15" s="151">
        <f t="shared" si="4"/>
        <v>1539051.4447000001</v>
      </c>
      <c r="S15" s="152">
        <f t="shared" si="4"/>
        <v>1896185</v>
      </c>
      <c r="T15" s="151">
        <f t="shared" si="4"/>
        <v>1585429.9287199993</v>
      </c>
      <c r="U15" s="152">
        <f t="shared" si="4"/>
        <v>1666115</v>
      </c>
    </row>
    <row r="16" spans="1:21" ht="15" x14ac:dyDescent="0.25">
      <c r="A16" s="143"/>
      <c r="B16" s="143"/>
      <c r="C16" s="143"/>
      <c r="D16" s="146"/>
      <c r="E16" s="146"/>
      <c r="F16" s="143"/>
      <c r="G16" s="143"/>
      <c r="H16" s="143"/>
      <c r="I16" s="143"/>
      <c r="J16" s="143"/>
      <c r="K16" s="143"/>
      <c r="L16" s="143"/>
      <c r="M16" s="143"/>
      <c r="N16" s="143"/>
      <c r="O16" s="143"/>
      <c r="P16" s="143"/>
      <c r="Q16" s="143"/>
      <c r="R16" s="143"/>
      <c r="S16" s="143"/>
      <c r="T16" s="143"/>
      <c r="U16" s="143"/>
    </row>
    <row r="18" spans="1:25" ht="15" x14ac:dyDescent="0.25">
      <c r="A18" s="155" t="str">
        <f>A1</f>
        <v>2016-17 Budget:</v>
      </c>
      <c r="B18" s="159" t="s">
        <v>632</v>
      </c>
      <c r="C18" s="158" t="s">
        <v>632</v>
      </c>
      <c r="D18" s="157" t="str">
        <f>$B$19</f>
        <v>2016-17</v>
      </c>
      <c r="E18" s="158" t="str">
        <f>$C$19</f>
        <v>2015-16</v>
      </c>
      <c r="F18" s="159" t="s">
        <v>665</v>
      </c>
      <c r="G18" s="158" t="s">
        <v>636</v>
      </c>
      <c r="H18" s="159" t="s">
        <v>665</v>
      </c>
      <c r="I18" s="158" t="s">
        <v>636</v>
      </c>
      <c r="J18" s="159" t="s">
        <v>665</v>
      </c>
      <c r="K18" s="158" t="s">
        <v>636</v>
      </c>
      <c r="L18" s="159" t="s">
        <v>665</v>
      </c>
      <c r="M18" s="158" t="s">
        <v>636</v>
      </c>
      <c r="N18" s="157" t="s">
        <v>665</v>
      </c>
      <c r="O18" s="157" t="s">
        <v>636</v>
      </c>
      <c r="P18" s="159" t="s">
        <v>665</v>
      </c>
      <c r="Q18" s="158" t="s">
        <v>636</v>
      </c>
      <c r="R18" s="159" t="s">
        <v>665</v>
      </c>
      <c r="S18" s="158" t="s">
        <v>636</v>
      </c>
      <c r="T18" s="159" t="s">
        <v>665</v>
      </c>
      <c r="U18" s="158" t="s">
        <v>636</v>
      </c>
      <c r="V18" s="159" t="s">
        <v>665</v>
      </c>
      <c r="W18" s="158" t="s">
        <v>636</v>
      </c>
      <c r="X18" s="733"/>
      <c r="Y18" s="156"/>
    </row>
    <row r="19" spans="1:25" ht="15" x14ac:dyDescent="0.25">
      <c r="A19" s="155" t="s">
        <v>1591</v>
      </c>
      <c r="B19" s="161" t="s">
        <v>665</v>
      </c>
      <c r="C19" s="160" t="s">
        <v>636</v>
      </c>
      <c r="D19" s="154" t="s">
        <v>643</v>
      </c>
      <c r="E19" s="160" t="s">
        <v>643</v>
      </c>
      <c r="F19" s="161" t="s">
        <v>644</v>
      </c>
      <c r="G19" s="160" t="s">
        <v>644</v>
      </c>
      <c r="H19" s="161" t="s">
        <v>644</v>
      </c>
      <c r="I19" s="160" t="s">
        <v>644</v>
      </c>
      <c r="J19" s="161" t="s">
        <v>645</v>
      </c>
      <c r="K19" s="160" t="s">
        <v>645</v>
      </c>
      <c r="L19" s="161" t="s">
        <v>646</v>
      </c>
      <c r="M19" s="160" t="s">
        <v>646</v>
      </c>
      <c r="N19" s="161"/>
      <c r="O19" s="160"/>
      <c r="P19" s="161" t="s">
        <v>541</v>
      </c>
      <c r="Q19" s="160" t="s">
        <v>541</v>
      </c>
      <c r="R19" s="161" t="s">
        <v>647</v>
      </c>
      <c r="S19" s="160" t="s">
        <v>647</v>
      </c>
      <c r="T19" s="161" t="s">
        <v>647</v>
      </c>
      <c r="U19" s="160" t="s">
        <v>647</v>
      </c>
      <c r="V19" s="161" t="s">
        <v>1160</v>
      </c>
      <c r="W19" s="160" t="s">
        <v>1160</v>
      </c>
      <c r="X19" s="490"/>
      <c r="Y19" s="734"/>
    </row>
    <row r="20" spans="1:25" ht="15" x14ac:dyDescent="0.25">
      <c r="A20" s="155" t="s">
        <v>1590</v>
      </c>
      <c r="B20" s="163" t="s">
        <v>0</v>
      </c>
      <c r="C20" s="162" t="s">
        <v>0</v>
      </c>
      <c r="D20" s="155" t="s">
        <v>648</v>
      </c>
      <c r="E20" s="162" t="s">
        <v>648</v>
      </c>
      <c r="F20" s="163" t="s">
        <v>649</v>
      </c>
      <c r="G20" s="162" t="s">
        <v>649</v>
      </c>
      <c r="H20" s="163" t="s">
        <v>516</v>
      </c>
      <c r="I20" s="162" t="s">
        <v>516</v>
      </c>
      <c r="J20" s="163" t="s">
        <v>650</v>
      </c>
      <c r="K20" s="162" t="s">
        <v>650</v>
      </c>
      <c r="L20" s="163" t="s">
        <v>651</v>
      </c>
      <c r="M20" s="162" t="s">
        <v>651</v>
      </c>
      <c r="N20" s="163" t="s">
        <v>540</v>
      </c>
      <c r="O20" s="162" t="s">
        <v>540</v>
      </c>
      <c r="P20" s="163" t="s">
        <v>652</v>
      </c>
      <c r="Q20" s="162" t="s">
        <v>652</v>
      </c>
      <c r="R20" s="163" t="s">
        <v>653</v>
      </c>
      <c r="S20" s="162" t="s">
        <v>653</v>
      </c>
      <c r="T20" s="163" t="s">
        <v>652</v>
      </c>
      <c r="U20" s="162" t="s">
        <v>652</v>
      </c>
      <c r="V20" s="163" t="s">
        <v>1161</v>
      </c>
      <c r="W20" s="162" t="s">
        <v>1161</v>
      </c>
      <c r="X20" s="163"/>
      <c r="Y20" s="155"/>
    </row>
    <row r="21" spans="1:25" ht="15" x14ac:dyDescent="0.25">
      <c r="A21" s="143" t="s">
        <v>511</v>
      </c>
      <c r="B21" s="148">
        <f>D21+F21+H21+J21+L21+N21+P21+R21+T21+V21+X21</f>
        <v>4386523.4400800001</v>
      </c>
      <c r="C21" s="149">
        <f t="shared" ref="C21:C29" si="5">E21+G21+I21+K21+M21+O21+Q21+S21+U21+W21+Y21</f>
        <v>5292473</v>
      </c>
      <c r="D21" s="150">
        <f>D4</f>
        <v>2507480.2300800001</v>
      </c>
      <c r="E21" s="181">
        <f>E4</f>
        <v>3664553</v>
      </c>
      <c r="F21" s="193">
        <f>D5</f>
        <v>237708</v>
      </c>
      <c r="G21" s="181">
        <f>E5</f>
        <v>348874</v>
      </c>
      <c r="H21" s="193">
        <f>D6</f>
        <v>0</v>
      </c>
      <c r="I21" s="181">
        <f>E6</f>
        <v>0</v>
      </c>
      <c r="J21" s="193">
        <f>D7</f>
        <v>54780</v>
      </c>
      <c r="K21" s="181">
        <f>E7</f>
        <v>58000</v>
      </c>
      <c r="L21" s="148">
        <f>D8</f>
        <v>952378.21000000008</v>
      </c>
      <c r="M21" s="181">
        <f>E8</f>
        <v>605199</v>
      </c>
      <c r="N21" s="150">
        <f>D9</f>
        <v>46450</v>
      </c>
      <c r="O21" s="194">
        <f>E9</f>
        <v>80000</v>
      </c>
      <c r="P21" s="148">
        <f>D10</f>
        <v>155000</v>
      </c>
      <c r="Q21" s="149">
        <f>E10</f>
        <v>162550</v>
      </c>
      <c r="R21" s="148">
        <f>D11</f>
        <v>0</v>
      </c>
      <c r="S21" s="149">
        <f>E11</f>
        <v>0</v>
      </c>
      <c r="T21" s="148">
        <f>D12</f>
        <v>357727</v>
      </c>
      <c r="U21" s="181">
        <f>E12</f>
        <v>373297</v>
      </c>
      <c r="V21" s="148">
        <f>D13</f>
        <v>75000</v>
      </c>
      <c r="W21" s="181">
        <v>0</v>
      </c>
      <c r="X21" s="148"/>
      <c r="Y21" s="194"/>
    </row>
    <row r="22" spans="1:25" ht="15" x14ac:dyDescent="0.25">
      <c r="A22" s="143" t="s">
        <v>519</v>
      </c>
      <c r="B22" s="148">
        <f t="shared" ref="B22:B29" si="6">D22+F22+H22+J22+L22+N22+P22+R22+T22+V22+X22</f>
        <v>1952821.8903999999</v>
      </c>
      <c r="C22" s="149">
        <f t="shared" si="5"/>
        <v>2071871</v>
      </c>
      <c r="D22" s="150">
        <f>F4</f>
        <v>1455650.8703999999</v>
      </c>
      <c r="E22" s="149">
        <f>G4</f>
        <v>1600921</v>
      </c>
      <c r="F22" s="148">
        <f>F5</f>
        <v>475001.02</v>
      </c>
      <c r="G22" s="149">
        <f>G5</f>
        <v>421000</v>
      </c>
      <c r="H22" s="148">
        <f>F6</f>
        <v>0</v>
      </c>
      <c r="I22" s="149">
        <f>G6</f>
        <v>0</v>
      </c>
      <c r="J22" s="148">
        <f>F7</f>
        <v>11000</v>
      </c>
      <c r="K22" s="149">
        <f>G7</f>
        <v>20450</v>
      </c>
      <c r="L22" s="148">
        <f>F8</f>
        <v>10570</v>
      </c>
      <c r="M22" s="181">
        <f>G8</f>
        <v>21000</v>
      </c>
      <c r="N22" s="150">
        <f>F9</f>
        <v>600</v>
      </c>
      <c r="O22" s="150">
        <f>G9</f>
        <v>8500</v>
      </c>
      <c r="P22" s="148">
        <f>F10</f>
        <v>0</v>
      </c>
      <c r="Q22" s="149">
        <f>G10</f>
        <v>0</v>
      </c>
      <c r="R22" s="148">
        <f>F11</f>
        <v>0</v>
      </c>
      <c r="S22" s="149">
        <f>G11</f>
        <v>0</v>
      </c>
      <c r="T22" s="148">
        <f>F12</f>
        <v>0</v>
      </c>
      <c r="U22" s="181">
        <f>G12</f>
        <v>0</v>
      </c>
      <c r="V22" s="148">
        <f>F13</f>
        <v>0</v>
      </c>
      <c r="W22" s="181">
        <v>0</v>
      </c>
      <c r="X22" s="148"/>
      <c r="Y22" s="194"/>
    </row>
    <row r="23" spans="1:25" ht="15" x14ac:dyDescent="0.25">
      <c r="A23" s="143" t="s">
        <v>518</v>
      </c>
      <c r="B23" s="148">
        <f t="shared" si="6"/>
        <v>1563814.8500000006</v>
      </c>
      <c r="C23" s="149">
        <f t="shared" si="5"/>
        <v>1914819</v>
      </c>
      <c r="D23" s="150">
        <f>H4</f>
        <v>1197111.6000000006</v>
      </c>
      <c r="E23" s="149">
        <f>I4</f>
        <v>633190</v>
      </c>
      <c r="F23" s="148">
        <f>H5</f>
        <v>155000</v>
      </c>
      <c r="G23" s="149">
        <f>I5</f>
        <v>1083878</v>
      </c>
      <c r="H23" s="148">
        <f>H6</f>
        <v>0</v>
      </c>
      <c r="I23" s="149">
        <f>I6</f>
        <v>0</v>
      </c>
      <c r="J23" s="148">
        <f>H7</f>
        <v>108934.5</v>
      </c>
      <c r="K23" s="149">
        <f>I7</f>
        <v>70000</v>
      </c>
      <c r="L23" s="148">
        <f>H8</f>
        <v>58300</v>
      </c>
      <c r="M23" s="181">
        <f>I8</f>
        <v>71976</v>
      </c>
      <c r="N23" s="150">
        <f>H9</f>
        <v>30900</v>
      </c>
      <c r="O23" s="150">
        <f>I9</f>
        <v>17500</v>
      </c>
      <c r="P23" s="148">
        <f>H10</f>
        <v>0</v>
      </c>
      <c r="Q23" s="149">
        <f>I10</f>
        <v>0</v>
      </c>
      <c r="R23" s="148">
        <f>H11</f>
        <v>13568.75</v>
      </c>
      <c r="S23" s="149">
        <f>I11</f>
        <v>38275</v>
      </c>
      <c r="T23" s="148">
        <f>H12</f>
        <v>0</v>
      </c>
      <c r="U23" s="181">
        <f>I12</f>
        <v>0</v>
      </c>
      <c r="V23" s="148">
        <f>H13</f>
        <v>0</v>
      </c>
      <c r="W23" s="181">
        <v>0</v>
      </c>
      <c r="X23" s="148"/>
      <c r="Y23" s="194"/>
    </row>
    <row r="24" spans="1:25" ht="15" x14ac:dyDescent="0.25">
      <c r="A24" s="143" t="s">
        <v>633</v>
      </c>
      <c r="B24" s="148">
        <f t="shared" si="6"/>
        <v>962134.1611400001</v>
      </c>
      <c r="C24" s="149">
        <f t="shared" si="5"/>
        <v>1196311</v>
      </c>
      <c r="D24" s="150">
        <f>J4</f>
        <v>856637.1611400001</v>
      </c>
      <c r="E24" s="149">
        <f>K4</f>
        <v>1081694</v>
      </c>
      <c r="F24" s="148">
        <f>J5</f>
        <v>30000</v>
      </c>
      <c r="G24" s="149">
        <f>K5</f>
        <v>0</v>
      </c>
      <c r="H24" s="148">
        <f>J6</f>
        <v>0</v>
      </c>
      <c r="I24" s="149">
        <f>K6</f>
        <v>0</v>
      </c>
      <c r="J24" s="148">
        <f>J7</f>
        <v>48985</v>
      </c>
      <c r="K24" s="149">
        <f>K7</f>
        <v>81607</v>
      </c>
      <c r="L24" s="148">
        <f>J8</f>
        <v>13012</v>
      </c>
      <c r="M24" s="181">
        <f>K8</f>
        <v>28560</v>
      </c>
      <c r="N24" s="150">
        <f>J9</f>
        <v>3500</v>
      </c>
      <c r="O24" s="150">
        <f>K9</f>
        <v>4450</v>
      </c>
      <c r="P24" s="148">
        <f>J10</f>
        <v>0</v>
      </c>
      <c r="Q24" s="149">
        <f>K10</f>
        <v>0</v>
      </c>
      <c r="R24" s="148">
        <f>J11</f>
        <v>0</v>
      </c>
      <c r="S24" s="149">
        <f>K11</f>
        <v>0</v>
      </c>
      <c r="T24" s="148">
        <f>J12</f>
        <v>0</v>
      </c>
      <c r="U24" s="181">
        <f>K12</f>
        <v>0</v>
      </c>
      <c r="V24" s="148">
        <f>J13</f>
        <v>10000</v>
      </c>
      <c r="W24" s="181">
        <v>0</v>
      </c>
      <c r="X24" s="148"/>
      <c r="Y24" s="194"/>
    </row>
    <row r="25" spans="1:25" ht="15" x14ac:dyDescent="0.25">
      <c r="A25" s="143" t="s">
        <v>516</v>
      </c>
      <c r="B25" s="148">
        <f t="shared" si="6"/>
        <v>796433.23199999996</v>
      </c>
      <c r="C25" s="149">
        <f t="shared" si="5"/>
        <v>875554</v>
      </c>
      <c r="D25" s="150">
        <f>L4</f>
        <v>576062.23199999996</v>
      </c>
      <c r="E25" s="149">
        <f>M4</f>
        <v>641602</v>
      </c>
      <c r="F25" s="148">
        <f>L5</f>
        <v>0</v>
      </c>
      <c r="G25" s="149">
        <f>M5</f>
        <v>0</v>
      </c>
      <c r="H25" s="148">
        <f>L6</f>
        <v>100000</v>
      </c>
      <c r="I25" s="149">
        <f>M6</f>
        <v>92334</v>
      </c>
      <c r="J25" s="148">
        <f>L7</f>
        <v>11400</v>
      </c>
      <c r="K25" s="149">
        <f>M7</f>
        <v>9500</v>
      </c>
      <c r="L25" s="148">
        <f>L8</f>
        <v>108571</v>
      </c>
      <c r="M25" s="181">
        <f>M8</f>
        <v>130618</v>
      </c>
      <c r="N25" s="150">
        <f>L9</f>
        <v>400</v>
      </c>
      <c r="O25" s="150">
        <f>M9</f>
        <v>1500</v>
      </c>
      <c r="P25" s="148">
        <f>L10</f>
        <v>0</v>
      </c>
      <c r="Q25" s="149">
        <f>M10</f>
        <v>0</v>
      </c>
      <c r="R25" s="148">
        <f>L11</f>
        <v>0</v>
      </c>
      <c r="S25" s="149">
        <f>M11</f>
        <v>0</v>
      </c>
      <c r="T25" s="148">
        <f>L12</f>
        <v>0</v>
      </c>
      <c r="U25" s="181">
        <f>M12</f>
        <v>0</v>
      </c>
      <c r="V25" s="148">
        <f>L13</f>
        <v>0</v>
      </c>
      <c r="W25" s="181">
        <v>0</v>
      </c>
      <c r="X25" s="148"/>
      <c r="Y25" s="194"/>
    </row>
    <row r="26" spans="1:25" ht="15" x14ac:dyDescent="0.25">
      <c r="A26" s="143" t="s">
        <v>31</v>
      </c>
      <c r="B26" s="148">
        <f t="shared" si="6"/>
        <v>521365.37810000003</v>
      </c>
      <c r="C26" s="149">
        <f t="shared" si="5"/>
        <v>412343</v>
      </c>
      <c r="D26" s="150">
        <f>N4</f>
        <v>439805.37810000003</v>
      </c>
      <c r="E26" s="149">
        <f>O4</f>
        <v>328843</v>
      </c>
      <c r="F26" s="148">
        <f>N5</f>
        <v>0</v>
      </c>
      <c r="G26" s="149">
        <f>O5</f>
        <v>0</v>
      </c>
      <c r="H26" s="148">
        <f>N6</f>
        <v>0</v>
      </c>
      <c r="I26" s="149">
        <f>O6</f>
        <v>0</v>
      </c>
      <c r="J26" s="148">
        <f>N7</f>
        <v>1500</v>
      </c>
      <c r="K26" s="149">
        <f>O7</f>
        <v>4200</v>
      </c>
      <c r="L26" s="148">
        <f>N8</f>
        <v>10560</v>
      </c>
      <c r="M26" s="181">
        <f>O8</f>
        <v>2800</v>
      </c>
      <c r="N26" s="150">
        <f>N9</f>
        <v>2000</v>
      </c>
      <c r="O26" s="150">
        <f>O9</f>
        <v>1500</v>
      </c>
      <c r="P26" s="148">
        <f>N10</f>
        <v>67500</v>
      </c>
      <c r="Q26" s="149">
        <f>O10</f>
        <v>75000</v>
      </c>
      <c r="R26" s="148">
        <f>N11</f>
        <v>0</v>
      </c>
      <c r="S26" s="149">
        <f>O11</f>
        <v>0</v>
      </c>
      <c r="T26" s="148">
        <f>N12</f>
        <v>0</v>
      </c>
      <c r="U26" s="181">
        <f>O12</f>
        <v>0</v>
      </c>
      <c r="V26" s="148">
        <f>N13</f>
        <v>0</v>
      </c>
      <c r="W26" s="181">
        <v>0</v>
      </c>
      <c r="X26" s="148"/>
      <c r="Y26" s="194"/>
    </row>
    <row r="27" spans="1:25" ht="15" x14ac:dyDescent="0.25">
      <c r="A27" s="248" t="s">
        <v>754</v>
      </c>
      <c r="B27" s="148">
        <f t="shared" si="6"/>
        <v>957731.84800000011</v>
      </c>
      <c r="C27" s="149">
        <f t="shared" si="5"/>
        <v>507601</v>
      </c>
      <c r="D27" s="150">
        <f>P4</f>
        <v>640535.84800000011</v>
      </c>
      <c r="E27" s="149">
        <f>Q4</f>
        <v>459095</v>
      </c>
      <c r="F27" s="148">
        <f>P5</f>
        <v>286250</v>
      </c>
      <c r="G27" s="149">
        <f>Q5</f>
        <v>25000</v>
      </c>
      <c r="H27" s="148">
        <f>P6</f>
        <v>0</v>
      </c>
      <c r="I27" s="149">
        <f>Q6</f>
        <v>0</v>
      </c>
      <c r="J27" s="148">
        <f>P7</f>
        <v>8000</v>
      </c>
      <c r="K27" s="149">
        <f>Q7</f>
        <v>8500</v>
      </c>
      <c r="L27" s="148">
        <f>P8</f>
        <v>17896</v>
      </c>
      <c r="M27" s="181">
        <f>Q8</f>
        <v>14756</v>
      </c>
      <c r="N27" s="150">
        <f>P9</f>
        <v>5050</v>
      </c>
      <c r="O27" s="150">
        <f>Q9</f>
        <v>250</v>
      </c>
      <c r="P27" s="148">
        <f>P10</f>
        <v>0</v>
      </c>
      <c r="Q27" s="149">
        <f>Q10</f>
        <v>0</v>
      </c>
      <c r="R27" s="148">
        <f>P11</f>
        <v>0</v>
      </c>
      <c r="S27" s="149">
        <f>Q11</f>
        <v>0</v>
      </c>
      <c r="T27" s="148">
        <f>P12</f>
        <v>0</v>
      </c>
      <c r="U27" s="149">
        <f>Q12</f>
        <v>0</v>
      </c>
      <c r="V27" s="148">
        <f>P13</f>
        <v>0</v>
      </c>
      <c r="W27" s="149">
        <v>0</v>
      </c>
      <c r="X27" s="148"/>
      <c r="Y27" s="150"/>
    </row>
    <row r="28" spans="1:25" ht="15" x14ac:dyDescent="0.25">
      <c r="A28" s="491" t="s">
        <v>760</v>
      </c>
      <c r="B28" s="148">
        <f t="shared" si="6"/>
        <v>1539051.4447000001</v>
      </c>
      <c r="C28" s="149">
        <f t="shared" si="5"/>
        <v>1896185</v>
      </c>
      <c r="D28" s="150">
        <f>R4</f>
        <v>1357726.4447000001</v>
      </c>
      <c r="E28" s="149">
        <f>S4</f>
        <v>1597885</v>
      </c>
      <c r="F28" s="148">
        <f>R5</f>
        <v>130500</v>
      </c>
      <c r="G28" s="149">
        <f>S5</f>
        <v>241500</v>
      </c>
      <c r="H28" s="148">
        <f>R6</f>
        <v>0</v>
      </c>
      <c r="I28" s="149">
        <f>S6</f>
        <v>0</v>
      </c>
      <c r="J28" s="148">
        <f>R7</f>
        <v>40220</v>
      </c>
      <c r="K28" s="149">
        <f>S7</f>
        <v>41500</v>
      </c>
      <c r="L28" s="148">
        <f>R8</f>
        <v>7355</v>
      </c>
      <c r="M28" s="181">
        <f>S8</f>
        <v>13300</v>
      </c>
      <c r="N28" s="150">
        <f>R9</f>
        <v>3250</v>
      </c>
      <c r="O28" s="150">
        <f>S9</f>
        <v>2000</v>
      </c>
      <c r="P28" s="148">
        <f>R10</f>
        <v>0</v>
      </c>
      <c r="Q28" s="149">
        <f>S10</f>
        <v>0</v>
      </c>
      <c r="R28" s="148">
        <f>R11</f>
        <v>0</v>
      </c>
      <c r="S28" s="149">
        <f>S11</f>
        <v>0</v>
      </c>
      <c r="T28" s="148">
        <f>R12</f>
        <v>0</v>
      </c>
      <c r="U28" s="149">
        <f>S12</f>
        <v>0</v>
      </c>
      <c r="V28" s="148">
        <f>R13</f>
        <v>0</v>
      </c>
      <c r="W28" s="149">
        <v>0</v>
      </c>
      <c r="X28" s="148"/>
      <c r="Y28" s="150"/>
    </row>
    <row r="29" spans="1:25" ht="15" x14ac:dyDescent="0.25">
      <c r="A29" s="143" t="s">
        <v>517</v>
      </c>
      <c r="B29" s="148">
        <f t="shared" si="6"/>
        <v>1585429.9287199993</v>
      </c>
      <c r="C29" s="149">
        <f t="shared" si="5"/>
        <v>1666115</v>
      </c>
      <c r="D29" s="150">
        <f>T4</f>
        <v>1360620.9287199993</v>
      </c>
      <c r="E29" s="149">
        <f>U4</f>
        <v>1431540</v>
      </c>
      <c r="F29" s="148">
        <f>T5</f>
        <v>111000</v>
      </c>
      <c r="G29" s="149">
        <f>U5</f>
        <v>120387</v>
      </c>
      <c r="H29" s="148">
        <f>T6</f>
        <v>0</v>
      </c>
      <c r="I29" s="149">
        <f>U6</f>
        <v>0</v>
      </c>
      <c r="J29" s="148">
        <f>T7</f>
        <v>30425</v>
      </c>
      <c r="K29" s="149">
        <f>U7</f>
        <v>38500</v>
      </c>
      <c r="L29" s="148">
        <f>T8</f>
        <v>75384</v>
      </c>
      <c r="M29" s="181">
        <f>U8</f>
        <v>66023</v>
      </c>
      <c r="N29" s="150">
        <f>T9</f>
        <v>8000</v>
      </c>
      <c r="O29" s="150">
        <f>U9</f>
        <v>2700</v>
      </c>
      <c r="P29" s="148">
        <f>T10</f>
        <v>0</v>
      </c>
      <c r="Q29" s="149">
        <f>U10</f>
        <v>6965</v>
      </c>
      <c r="R29" s="148">
        <f>T11</f>
        <v>0</v>
      </c>
      <c r="S29" s="149">
        <f>U11</f>
        <v>0</v>
      </c>
      <c r="T29" s="148">
        <f>T12</f>
        <v>0</v>
      </c>
      <c r="U29" s="149">
        <f>U12</f>
        <v>0</v>
      </c>
      <c r="V29" s="148">
        <f>T13</f>
        <v>0</v>
      </c>
      <c r="W29" s="149">
        <v>0</v>
      </c>
      <c r="X29" s="148"/>
      <c r="Y29" s="150"/>
    </row>
    <row r="30" spans="1:25" ht="15" x14ac:dyDescent="0.25">
      <c r="A30" s="736" t="s">
        <v>22</v>
      </c>
      <c r="B30" s="151">
        <f t="shared" ref="B30:U30" si="7">SUM(B21:B29)</f>
        <v>14265306.173140001</v>
      </c>
      <c r="C30" s="152">
        <f t="shared" si="7"/>
        <v>15833272</v>
      </c>
      <c r="D30" s="153">
        <f t="shared" si="7"/>
        <v>10391630.693140002</v>
      </c>
      <c r="E30" s="152">
        <f t="shared" si="7"/>
        <v>11439323</v>
      </c>
      <c r="F30" s="151">
        <f t="shared" si="7"/>
        <v>1425459.02</v>
      </c>
      <c r="G30" s="152">
        <f t="shared" si="7"/>
        <v>2240639</v>
      </c>
      <c r="H30" s="151">
        <f t="shared" si="7"/>
        <v>100000</v>
      </c>
      <c r="I30" s="152">
        <f t="shared" si="7"/>
        <v>92334</v>
      </c>
      <c r="J30" s="151">
        <f t="shared" si="7"/>
        <v>315244.5</v>
      </c>
      <c r="K30" s="152">
        <f t="shared" si="7"/>
        <v>332257</v>
      </c>
      <c r="L30" s="151">
        <f t="shared" si="7"/>
        <v>1254026.21</v>
      </c>
      <c r="M30" s="152">
        <f t="shared" si="7"/>
        <v>954232</v>
      </c>
      <c r="N30" s="151">
        <f t="shared" si="7"/>
        <v>100150</v>
      </c>
      <c r="O30" s="152">
        <f t="shared" si="7"/>
        <v>118400</v>
      </c>
      <c r="P30" s="151">
        <f t="shared" si="7"/>
        <v>222500</v>
      </c>
      <c r="Q30" s="152">
        <f t="shared" si="7"/>
        <v>244515</v>
      </c>
      <c r="R30" s="151">
        <f t="shared" si="7"/>
        <v>13568.75</v>
      </c>
      <c r="S30" s="152">
        <f t="shared" si="7"/>
        <v>38275</v>
      </c>
      <c r="T30" s="151">
        <f t="shared" si="7"/>
        <v>357727</v>
      </c>
      <c r="U30" s="152">
        <f t="shared" si="7"/>
        <v>373297</v>
      </c>
      <c r="V30" s="151">
        <f>SUM(V21:V29)</f>
        <v>85000</v>
      </c>
      <c r="W30" s="152">
        <f>SUM(W21:W29)</f>
        <v>0</v>
      </c>
      <c r="X30" s="735"/>
      <c r="Y30" s="182"/>
    </row>
    <row r="31" spans="1:25" ht="15.75" thickBot="1" x14ac:dyDescent="0.3">
      <c r="A31" s="143"/>
      <c r="B31" s="182"/>
      <c r="C31" s="182"/>
      <c r="D31" s="182"/>
      <c r="E31" s="182"/>
      <c r="F31" s="182"/>
      <c r="G31" s="182"/>
      <c r="H31" s="182"/>
      <c r="I31" s="182"/>
      <c r="J31" s="182"/>
      <c r="K31" s="182"/>
      <c r="L31" s="182"/>
      <c r="M31" s="182"/>
      <c r="N31" s="182"/>
      <c r="O31" s="182"/>
      <c r="P31" s="182"/>
      <c r="Q31" s="182"/>
      <c r="R31" s="182"/>
      <c r="S31" s="182"/>
      <c r="T31" s="182"/>
      <c r="U31" s="182"/>
    </row>
    <row r="32" spans="1:25" ht="15" hidden="1" x14ac:dyDescent="0.25">
      <c r="A32" s="374" t="str">
        <f>A1</f>
        <v>2016-17 Budget:</v>
      </c>
      <c r="B32" s="156" t="s">
        <v>632</v>
      </c>
      <c r="C32" s="375"/>
      <c r="D32" s="376"/>
      <c r="E32" s="375"/>
      <c r="F32" s="375"/>
      <c r="G32" s="375"/>
      <c r="H32" s="375"/>
      <c r="I32" s="375"/>
      <c r="J32" s="375"/>
      <c r="K32" s="375"/>
      <c r="L32" s="143"/>
      <c r="M32" s="143"/>
      <c r="N32" s="143"/>
      <c r="O32" s="143"/>
      <c r="P32" s="143"/>
      <c r="Q32" s="143"/>
      <c r="R32" s="143"/>
      <c r="S32" s="143"/>
      <c r="T32" s="143"/>
      <c r="U32" s="143"/>
      <c r="V32" s="143"/>
    </row>
    <row r="33" spans="1:23" ht="15" hidden="1" x14ac:dyDescent="0.25">
      <c r="A33" s="377" t="s">
        <v>744</v>
      </c>
      <c r="B33" s="156" t="str">
        <f>B2</f>
        <v>2016-17</v>
      </c>
      <c r="C33" s="375"/>
      <c r="D33" s="377" t="s">
        <v>654</v>
      </c>
      <c r="E33" s="377" t="s">
        <v>654</v>
      </c>
      <c r="F33" s="375"/>
      <c r="G33" s="375"/>
      <c r="H33" s="375"/>
      <c r="I33" s="375"/>
      <c r="J33" s="375"/>
      <c r="K33" s="375"/>
      <c r="L33" s="143"/>
      <c r="M33" s="143"/>
      <c r="N33" s="143"/>
      <c r="O33" s="143"/>
      <c r="P33" s="143"/>
      <c r="Q33" s="143"/>
      <c r="R33" s="143"/>
      <c r="S33" s="143"/>
      <c r="T33" s="143"/>
      <c r="U33" s="143"/>
      <c r="V33" s="143"/>
    </row>
    <row r="34" spans="1:23" ht="15" hidden="1" x14ac:dyDescent="0.25">
      <c r="A34" s="374" t="s">
        <v>655</v>
      </c>
      <c r="B34" s="374" t="s">
        <v>0</v>
      </c>
      <c r="C34" s="378" t="s">
        <v>536</v>
      </c>
      <c r="D34" s="378" t="s">
        <v>649</v>
      </c>
      <c r="E34" s="378" t="s">
        <v>516</v>
      </c>
      <c r="F34" s="378" t="s">
        <v>537</v>
      </c>
      <c r="G34" s="378" t="s">
        <v>656</v>
      </c>
      <c r="H34" s="378" t="s">
        <v>540</v>
      </c>
      <c r="I34" s="378" t="s">
        <v>541</v>
      </c>
      <c r="J34" s="378" t="s">
        <v>657</v>
      </c>
      <c r="K34" s="378" t="s">
        <v>743</v>
      </c>
      <c r="L34" s="378" t="s">
        <v>1162</v>
      </c>
      <c r="M34" s="378" t="s">
        <v>1159</v>
      </c>
      <c r="N34" s="143"/>
      <c r="O34" s="143"/>
      <c r="P34" s="143"/>
      <c r="Q34" s="143"/>
      <c r="R34" s="143"/>
      <c r="S34" s="143"/>
      <c r="T34" s="143"/>
    </row>
    <row r="35" spans="1:23" ht="15" hidden="1" x14ac:dyDescent="0.25">
      <c r="A35" s="145" t="s">
        <v>511</v>
      </c>
      <c r="B35" s="379">
        <f t="shared" ref="B35:B43" si="8">SUM(C35:M35)</f>
        <v>4386523.4400800001</v>
      </c>
      <c r="C35" s="379">
        <f>D21</f>
        <v>2507480.2300800001</v>
      </c>
      <c r="D35" s="379">
        <f>F21</f>
        <v>237708</v>
      </c>
      <c r="E35" s="379">
        <f>H21</f>
        <v>0</v>
      </c>
      <c r="F35" s="379">
        <f>J21</f>
        <v>54780</v>
      </c>
      <c r="G35" s="379">
        <f>L21</f>
        <v>952378.21000000008</v>
      </c>
      <c r="H35" s="379">
        <f>N21</f>
        <v>46450</v>
      </c>
      <c r="I35" s="379">
        <f>P21</f>
        <v>155000</v>
      </c>
      <c r="J35" s="379">
        <f>R21</f>
        <v>0</v>
      </c>
      <c r="K35" s="379">
        <f>T21</f>
        <v>357727</v>
      </c>
      <c r="L35" s="379">
        <f t="shared" ref="L35:L43" si="9">V21</f>
        <v>75000</v>
      </c>
      <c r="M35" s="379">
        <f t="shared" ref="M35:M43" si="10">X21</f>
        <v>0</v>
      </c>
      <c r="N35" s="143"/>
      <c r="O35" s="143"/>
      <c r="P35" s="143"/>
      <c r="Q35" s="143"/>
      <c r="R35" s="146">
        <v>0</v>
      </c>
      <c r="S35" s="143"/>
      <c r="T35" s="146">
        <v>0</v>
      </c>
    </row>
    <row r="36" spans="1:23" ht="15" hidden="1" x14ac:dyDescent="0.25">
      <c r="A36" s="145" t="s">
        <v>519</v>
      </c>
      <c r="B36" s="379">
        <f t="shared" si="8"/>
        <v>1952821.8903999999</v>
      </c>
      <c r="C36" s="379">
        <f t="shared" ref="C36:C43" si="11">D22</f>
        <v>1455650.8703999999</v>
      </c>
      <c r="D36" s="379">
        <f t="shared" ref="D36:D43" si="12">F22</f>
        <v>475001.02</v>
      </c>
      <c r="E36" s="379">
        <f t="shared" ref="E36:E43" si="13">H22</f>
        <v>0</v>
      </c>
      <c r="F36" s="379">
        <f t="shared" ref="F36:F43" si="14">J22</f>
        <v>11000</v>
      </c>
      <c r="G36" s="379">
        <f t="shared" ref="G36:G43" si="15">L22</f>
        <v>10570</v>
      </c>
      <c r="H36" s="379">
        <f t="shared" ref="H36:H43" si="16">N22</f>
        <v>600</v>
      </c>
      <c r="I36" s="379">
        <f t="shared" ref="I36:I43" si="17">P22</f>
        <v>0</v>
      </c>
      <c r="J36" s="379">
        <f t="shared" ref="J36" si="18">R22</f>
        <v>0</v>
      </c>
      <c r="K36" s="379">
        <f t="shared" ref="K36:K43" si="19">T22</f>
        <v>0</v>
      </c>
      <c r="L36" s="379">
        <f t="shared" si="9"/>
        <v>0</v>
      </c>
      <c r="M36" s="379">
        <f t="shared" si="10"/>
        <v>0</v>
      </c>
      <c r="N36" s="143"/>
      <c r="O36" s="143"/>
      <c r="P36" s="143"/>
      <c r="Q36" s="143"/>
      <c r="R36" s="143"/>
      <c r="S36" s="143"/>
      <c r="T36" s="143"/>
    </row>
    <row r="37" spans="1:23" ht="15" hidden="1" x14ac:dyDescent="0.25">
      <c r="A37" s="145" t="s">
        <v>518</v>
      </c>
      <c r="B37" s="379">
        <f t="shared" si="8"/>
        <v>1563814.8500000006</v>
      </c>
      <c r="C37" s="379">
        <f t="shared" si="11"/>
        <v>1197111.6000000006</v>
      </c>
      <c r="D37" s="379">
        <f t="shared" si="12"/>
        <v>155000</v>
      </c>
      <c r="E37" s="379">
        <f t="shared" si="13"/>
        <v>0</v>
      </c>
      <c r="F37" s="379">
        <f t="shared" si="14"/>
        <v>108934.5</v>
      </c>
      <c r="G37" s="379">
        <f t="shared" si="15"/>
        <v>58300</v>
      </c>
      <c r="H37" s="379">
        <f t="shared" si="16"/>
        <v>30900</v>
      </c>
      <c r="I37" s="379">
        <f t="shared" si="17"/>
        <v>0</v>
      </c>
      <c r="J37" s="379">
        <f t="shared" ref="J37" si="20">R23</f>
        <v>13568.75</v>
      </c>
      <c r="K37" s="379">
        <f t="shared" si="19"/>
        <v>0</v>
      </c>
      <c r="L37" s="379">
        <f t="shared" si="9"/>
        <v>0</v>
      </c>
      <c r="M37" s="379">
        <f t="shared" si="10"/>
        <v>0</v>
      </c>
      <c r="N37" s="143"/>
      <c r="O37" s="143"/>
      <c r="P37" s="143"/>
      <c r="Q37" s="143"/>
      <c r="R37" s="143"/>
      <c r="S37" s="143"/>
      <c r="T37" s="143"/>
    </row>
    <row r="38" spans="1:23" ht="15" hidden="1" x14ac:dyDescent="0.25">
      <c r="A38" s="145" t="s">
        <v>633</v>
      </c>
      <c r="B38" s="379">
        <f t="shared" si="8"/>
        <v>962134.1611400001</v>
      </c>
      <c r="C38" s="379">
        <f t="shared" si="11"/>
        <v>856637.1611400001</v>
      </c>
      <c r="D38" s="379">
        <f t="shared" si="12"/>
        <v>30000</v>
      </c>
      <c r="E38" s="379">
        <f t="shared" si="13"/>
        <v>0</v>
      </c>
      <c r="F38" s="379">
        <f t="shared" si="14"/>
        <v>48985</v>
      </c>
      <c r="G38" s="379">
        <f t="shared" si="15"/>
        <v>13012</v>
      </c>
      <c r="H38" s="379">
        <f t="shared" si="16"/>
        <v>3500</v>
      </c>
      <c r="I38" s="379">
        <f t="shared" si="17"/>
        <v>0</v>
      </c>
      <c r="J38" s="379">
        <f t="shared" ref="J38" si="21">R24</f>
        <v>0</v>
      </c>
      <c r="K38" s="379">
        <f t="shared" si="19"/>
        <v>0</v>
      </c>
      <c r="L38" s="379">
        <f t="shared" si="9"/>
        <v>10000</v>
      </c>
      <c r="M38" s="379">
        <f t="shared" si="10"/>
        <v>0</v>
      </c>
      <c r="N38" s="143"/>
      <c r="O38" s="143"/>
      <c r="P38" s="143"/>
      <c r="Q38" s="143"/>
      <c r="R38" s="143"/>
      <c r="S38" s="143"/>
      <c r="T38" s="143"/>
    </row>
    <row r="39" spans="1:23" ht="15" hidden="1" x14ac:dyDescent="0.25">
      <c r="A39" s="145" t="s">
        <v>516</v>
      </c>
      <c r="B39" s="379">
        <f t="shared" si="8"/>
        <v>796433.23199999996</v>
      </c>
      <c r="C39" s="379">
        <f t="shared" si="11"/>
        <v>576062.23199999996</v>
      </c>
      <c r="D39" s="379">
        <f t="shared" si="12"/>
        <v>0</v>
      </c>
      <c r="E39" s="379">
        <f t="shared" si="13"/>
        <v>100000</v>
      </c>
      <c r="F39" s="379">
        <f t="shared" si="14"/>
        <v>11400</v>
      </c>
      <c r="G39" s="379">
        <f t="shared" si="15"/>
        <v>108571</v>
      </c>
      <c r="H39" s="379">
        <f t="shared" si="16"/>
        <v>400</v>
      </c>
      <c r="I39" s="379">
        <f t="shared" si="17"/>
        <v>0</v>
      </c>
      <c r="J39" s="379">
        <f t="shared" ref="J39" si="22">R25</f>
        <v>0</v>
      </c>
      <c r="K39" s="379">
        <f t="shared" si="19"/>
        <v>0</v>
      </c>
      <c r="L39" s="379">
        <f t="shared" si="9"/>
        <v>0</v>
      </c>
      <c r="M39" s="379">
        <f t="shared" si="10"/>
        <v>0</v>
      </c>
      <c r="N39" s="143"/>
      <c r="O39" s="143"/>
      <c r="P39" s="143"/>
      <c r="Q39" s="143"/>
      <c r="R39" s="143"/>
      <c r="S39" s="143"/>
      <c r="T39" s="143"/>
    </row>
    <row r="40" spans="1:23" ht="15" hidden="1" x14ac:dyDescent="0.25">
      <c r="A40" s="145" t="s">
        <v>31</v>
      </c>
      <c r="B40" s="379">
        <f t="shared" si="8"/>
        <v>521365.37810000003</v>
      </c>
      <c r="C40" s="379">
        <f t="shared" si="11"/>
        <v>439805.37810000003</v>
      </c>
      <c r="D40" s="379">
        <f t="shared" si="12"/>
        <v>0</v>
      </c>
      <c r="E40" s="379">
        <f t="shared" si="13"/>
        <v>0</v>
      </c>
      <c r="F40" s="379">
        <f t="shared" si="14"/>
        <v>1500</v>
      </c>
      <c r="G40" s="379">
        <f t="shared" si="15"/>
        <v>10560</v>
      </c>
      <c r="H40" s="379">
        <f t="shared" si="16"/>
        <v>2000</v>
      </c>
      <c r="I40" s="379">
        <f t="shared" si="17"/>
        <v>67500</v>
      </c>
      <c r="J40" s="379">
        <f t="shared" ref="J40" si="23">R26</f>
        <v>0</v>
      </c>
      <c r="K40" s="379">
        <f t="shared" si="19"/>
        <v>0</v>
      </c>
      <c r="L40" s="379">
        <f t="shared" si="9"/>
        <v>0</v>
      </c>
      <c r="M40" s="379">
        <f t="shared" si="10"/>
        <v>0</v>
      </c>
      <c r="N40" s="143"/>
      <c r="O40" s="143"/>
      <c r="P40" s="143"/>
      <c r="Q40" s="143"/>
      <c r="R40" s="143"/>
      <c r="S40" s="143"/>
      <c r="T40" s="143"/>
    </row>
    <row r="41" spans="1:23" ht="15" hidden="1" x14ac:dyDescent="0.25">
      <c r="A41" s="380" t="s">
        <v>754</v>
      </c>
      <c r="B41" s="379">
        <f t="shared" si="8"/>
        <v>957731.84800000011</v>
      </c>
      <c r="C41" s="379">
        <f t="shared" si="11"/>
        <v>640535.84800000011</v>
      </c>
      <c r="D41" s="379">
        <f t="shared" si="12"/>
        <v>286250</v>
      </c>
      <c r="E41" s="379">
        <f t="shared" si="13"/>
        <v>0</v>
      </c>
      <c r="F41" s="379">
        <f t="shared" si="14"/>
        <v>8000</v>
      </c>
      <c r="G41" s="379">
        <f t="shared" si="15"/>
        <v>17896</v>
      </c>
      <c r="H41" s="379">
        <f t="shared" si="16"/>
        <v>5050</v>
      </c>
      <c r="I41" s="379">
        <f t="shared" si="17"/>
        <v>0</v>
      </c>
      <c r="J41" s="379">
        <f t="shared" ref="J41" si="24">R27</f>
        <v>0</v>
      </c>
      <c r="K41" s="379">
        <f t="shared" si="19"/>
        <v>0</v>
      </c>
      <c r="L41" s="379">
        <f t="shared" si="9"/>
        <v>0</v>
      </c>
      <c r="M41" s="379">
        <f t="shared" si="10"/>
        <v>0</v>
      </c>
      <c r="N41" s="143"/>
      <c r="O41" s="143"/>
      <c r="P41" s="143"/>
      <c r="Q41" s="143"/>
      <c r="R41" s="143"/>
      <c r="S41" s="143"/>
      <c r="T41" s="143"/>
    </row>
    <row r="42" spans="1:23" ht="15" hidden="1" x14ac:dyDescent="0.25">
      <c r="A42" s="145" t="s">
        <v>634</v>
      </c>
      <c r="B42" s="379">
        <f t="shared" si="8"/>
        <v>1539051.4447000001</v>
      </c>
      <c r="C42" s="379">
        <f t="shared" si="11"/>
        <v>1357726.4447000001</v>
      </c>
      <c r="D42" s="379">
        <f t="shared" si="12"/>
        <v>130500</v>
      </c>
      <c r="E42" s="379">
        <f t="shared" si="13"/>
        <v>0</v>
      </c>
      <c r="F42" s="379">
        <f t="shared" si="14"/>
        <v>40220</v>
      </c>
      <c r="G42" s="379">
        <f t="shared" si="15"/>
        <v>7355</v>
      </c>
      <c r="H42" s="379">
        <f t="shared" si="16"/>
        <v>3250</v>
      </c>
      <c r="I42" s="379">
        <f t="shared" si="17"/>
        <v>0</v>
      </c>
      <c r="J42" s="379">
        <f t="shared" ref="J42" si="25">R28</f>
        <v>0</v>
      </c>
      <c r="K42" s="379">
        <f t="shared" si="19"/>
        <v>0</v>
      </c>
      <c r="L42" s="379">
        <f t="shared" si="9"/>
        <v>0</v>
      </c>
      <c r="M42" s="379">
        <f t="shared" si="10"/>
        <v>0</v>
      </c>
      <c r="N42" s="143"/>
      <c r="O42" s="143"/>
      <c r="P42" s="143"/>
      <c r="Q42" s="143"/>
      <c r="R42" s="143"/>
      <c r="S42" s="143"/>
      <c r="T42" s="143"/>
    </row>
    <row r="43" spans="1:23" ht="15" hidden="1" x14ac:dyDescent="0.25">
      <c r="A43" s="145" t="s">
        <v>517</v>
      </c>
      <c r="B43" s="379">
        <f t="shared" si="8"/>
        <v>1585429.9287199993</v>
      </c>
      <c r="C43" s="379">
        <f t="shared" si="11"/>
        <v>1360620.9287199993</v>
      </c>
      <c r="D43" s="379">
        <f t="shared" si="12"/>
        <v>111000</v>
      </c>
      <c r="E43" s="379">
        <f t="shared" si="13"/>
        <v>0</v>
      </c>
      <c r="F43" s="379">
        <f t="shared" si="14"/>
        <v>30425</v>
      </c>
      <c r="G43" s="379">
        <f t="shared" si="15"/>
        <v>75384</v>
      </c>
      <c r="H43" s="379">
        <f t="shared" si="16"/>
        <v>8000</v>
      </c>
      <c r="I43" s="379">
        <f t="shared" si="17"/>
        <v>0</v>
      </c>
      <c r="J43" s="379">
        <f t="shared" ref="J43" si="26">R29</f>
        <v>0</v>
      </c>
      <c r="K43" s="379">
        <f t="shared" si="19"/>
        <v>0</v>
      </c>
      <c r="L43" s="379">
        <f t="shared" si="9"/>
        <v>0</v>
      </c>
      <c r="M43" s="379">
        <f t="shared" si="10"/>
        <v>0</v>
      </c>
      <c r="N43" s="143"/>
      <c r="O43" s="143"/>
      <c r="P43" s="143"/>
      <c r="Q43" s="143"/>
      <c r="R43" s="143"/>
      <c r="S43" s="143"/>
      <c r="T43" s="143"/>
    </row>
    <row r="44" spans="1:23" ht="15.75" hidden="1" thickBot="1" x14ac:dyDescent="0.3">
      <c r="A44" s="145"/>
      <c r="B44" s="381">
        <f>SUM(B35:B43)</f>
        <v>14265306.173140001</v>
      </c>
      <c r="C44" s="381">
        <f t="shared" ref="C44:J44" si="27">SUM(C35:C43)</f>
        <v>10391630.693140002</v>
      </c>
      <c r="D44" s="381">
        <f t="shared" si="27"/>
        <v>1425459.02</v>
      </c>
      <c r="E44" s="381">
        <f t="shared" si="27"/>
        <v>100000</v>
      </c>
      <c r="F44" s="381">
        <f t="shared" si="27"/>
        <v>315244.5</v>
      </c>
      <c r="G44" s="381">
        <f t="shared" si="27"/>
        <v>1254026.21</v>
      </c>
      <c r="H44" s="381">
        <f t="shared" si="27"/>
        <v>100150</v>
      </c>
      <c r="I44" s="381">
        <f t="shared" si="27"/>
        <v>222500</v>
      </c>
      <c r="J44" s="381">
        <f t="shared" si="27"/>
        <v>13568.75</v>
      </c>
      <c r="K44" s="381">
        <f t="shared" ref="K44" si="28">SUM(K35:K43)</f>
        <v>357727</v>
      </c>
      <c r="L44" s="381">
        <f>SUM(L35:L43)</f>
        <v>85000</v>
      </c>
      <c r="M44" s="381">
        <f>SUM(M35:M43)</f>
        <v>0</v>
      </c>
      <c r="N44" s="143"/>
      <c r="O44" s="143"/>
      <c r="P44" s="143"/>
      <c r="Q44" s="143"/>
      <c r="R44" s="143"/>
      <c r="S44" s="143"/>
      <c r="T44" s="143"/>
    </row>
    <row r="45" spans="1:23" s="432" customFormat="1" ht="16.5" hidden="1" thickTop="1" thickBot="1" x14ac:dyDescent="0.3">
      <c r="A45" s="145"/>
      <c r="B45" s="496"/>
      <c r="C45" s="496"/>
      <c r="D45" s="496"/>
      <c r="E45" s="496"/>
      <c r="F45" s="496"/>
      <c r="G45" s="496"/>
      <c r="H45" s="496"/>
      <c r="I45" s="496"/>
      <c r="J45" s="496"/>
      <c r="K45" s="496"/>
      <c r="L45" s="496"/>
      <c r="M45" s="496"/>
      <c r="N45" s="143"/>
      <c r="O45" s="143"/>
      <c r="P45" s="143"/>
      <c r="Q45" s="143"/>
      <c r="R45" s="143"/>
      <c r="S45" s="143"/>
      <c r="T45" s="143"/>
    </row>
    <row r="46" spans="1:23" ht="15.75" hidden="1" thickBot="1" x14ac:dyDescent="0.3">
      <c r="A46" s="143"/>
      <c r="B46" s="497">
        <f>SUM(C46:M46)</f>
        <v>0</v>
      </c>
      <c r="C46" s="498">
        <f>C44-HR!H3</f>
        <v>0</v>
      </c>
      <c r="D46" s="373">
        <f>D44-'Prof Serv'!F3-'Prof Serv'!G3-'Prof Serv'!H3</f>
        <v>0</v>
      </c>
      <c r="E46" s="498">
        <f>E44-'Prof Serv'!J3</f>
        <v>0</v>
      </c>
      <c r="F46" s="498">
        <f>F44-Travel!E3</f>
        <v>0</v>
      </c>
      <c r="G46" s="498">
        <f>G44-'Other Operating Expenses'!E3</f>
        <v>0</v>
      </c>
      <c r="H46" s="498">
        <f>H44-Supplies!E3</f>
        <v>0</v>
      </c>
      <c r="I46" s="498">
        <f>I44-'Prof Serv'!I3</f>
        <v>0</v>
      </c>
      <c r="J46" s="373">
        <f>J44-'Bldg Bond Int'!F15</f>
        <v>0</v>
      </c>
      <c r="K46" s="498">
        <f>K44-'Bldg Maint ONLY'!E3</f>
        <v>0</v>
      </c>
      <c r="L46" s="498">
        <f>L44-'Capital Exp'!E3</f>
        <v>0</v>
      </c>
      <c r="M46" s="373">
        <f>M44-F14</f>
        <v>0</v>
      </c>
      <c r="N46" s="143"/>
      <c r="O46" s="143"/>
      <c r="P46" s="143"/>
      <c r="Q46" s="143"/>
      <c r="R46" s="143"/>
      <c r="S46" s="143"/>
      <c r="T46" s="143"/>
    </row>
    <row r="47" spans="1:23" s="432" customFormat="1" ht="15.75" hidden="1" thickBot="1" x14ac:dyDescent="0.3">
      <c r="A47" s="143"/>
      <c r="B47" s="143"/>
      <c r="C47" s="371"/>
      <c r="D47" s="146"/>
      <c r="E47" s="143"/>
      <c r="F47" s="143"/>
      <c r="G47" s="143"/>
      <c r="H47" s="143"/>
      <c r="I47" s="143"/>
      <c r="J47" s="143"/>
      <c r="K47" s="143"/>
      <c r="L47" s="143"/>
      <c r="M47" s="143"/>
      <c r="N47" s="143"/>
      <c r="O47" s="143"/>
      <c r="P47" s="143"/>
      <c r="Q47" s="143"/>
      <c r="R47" s="143"/>
      <c r="S47" s="143"/>
      <c r="T47" s="143"/>
    </row>
    <row r="48" spans="1:23" ht="15" x14ac:dyDescent="0.25">
      <c r="A48" s="165" t="str">
        <f>A1</f>
        <v>2016-17 Budget:</v>
      </c>
      <c r="B48" s="544" t="s">
        <v>632</v>
      </c>
      <c r="C48" s="183" t="s">
        <v>632</v>
      </c>
      <c r="D48" s="166" t="s">
        <v>632</v>
      </c>
      <c r="E48" s="543" t="s">
        <v>632</v>
      </c>
      <c r="F48" s="166" t="s">
        <v>632</v>
      </c>
      <c r="G48" s="166" t="s">
        <v>632</v>
      </c>
      <c r="H48" s="166" t="s">
        <v>632</v>
      </c>
      <c r="I48" s="166" t="s">
        <v>632</v>
      </c>
      <c r="J48" s="166" t="s">
        <v>632</v>
      </c>
      <c r="K48" s="166" t="s">
        <v>632</v>
      </c>
      <c r="L48" s="166" t="s">
        <v>632</v>
      </c>
      <c r="M48" s="166" t="s">
        <v>632</v>
      </c>
      <c r="N48" s="166" t="s">
        <v>632</v>
      </c>
      <c r="O48" s="545" t="s">
        <v>632</v>
      </c>
      <c r="P48" s="143"/>
      <c r="Q48" s="143"/>
      <c r="R48" s="143"/>
      <c r="S48" s="143"/>
      <c r="T48" s="143"/>
      <c r="U48" s="143"/>
      <c r="V48" s="143"/>
      <c r="W48" s="143"/>
    </row>
    <row r="49" spans="1:23" ht="15" x14ac:dyDescent="0.25">
      <c r="A49" s="167" t="s">
        <v>658</v>
      </c>
      <c r="B49" s="544" t="s">
        <v>665</v>
      </c>
      <c r="C49" s="183" t="str">
        <f>B2</f>
        <v>2016-17</v>
      </c>
      <c r="D49" s="166" t="s">
        <v>665</v>
      </c>
      <c r="E49" s="166" t="s">
        <v>665</v>
      </c>
      <c r="F49" s="166" t="s">
        <v>665</v>
      </c>
      <c r="G49" s="166" t="s">
        <v>665</v>
      </c>
      <c r="H49" s="166" t="s">
        <v>665</v>
      </c>
      <c r="I49" s="166" t="s">
        <v>665</v>
      </c>
      <c r="J49" s="166" t="s">
        <v>665</v>
      </c>
      <c r="K49" s="166" t="s">
        <v>665</v>
      </c>
      <c r="L49" s="166" t="s">
        <v>665</v>
      </c>
      <c r="M49" s="166" t="s">
        <v>665</v>
      </c>
      <c r="N49" s="166" t="s">
        <v>665</v>
      </c>
      <c r="O49" s="546" t="s">
        <v>665</v>
      </c>
      <c r="P49" s="143"/>
      <c r="Q49" s="143"/>
      <c r="R49" s="143"/>
      <c r="S49" s="143"/>
      <c r="T49" s="143"/>
      <c r="U49" s="143"/>
      <c r="V49" s="143"/>
      <c r="W49" s="143"/>
    </row>
    <row r="50" spans="1:23" ht="15" x14ac:dyDescent="0.25">
      <c r="A50" s="165" t="s">
        <v>1306</v>
      </c>
      <c r="B50" s="540" t="s">
        <v>168</v>
      </c>
      <c r="C50" s="184" t="s">
        <v>1305</v>
      </c>
      <c r="D50" s="167" t="s">
        <v>536</v>
      </c>
      <c r="E50" s="167" t="s">
        <v>649</v>
      </c>
      <c r="F50" s="167" t="s">
        <v>516</v>
      </c>
      <c r="G50" s="167" t="s">
        <v>537</v>
      </c>
      <c r="H50" s="167" t="s">
        <v>656</v>
      </c>
      <c r="I50" s="167" t="s">
        <v>540</v>
      </c>
      <c r="J50" s="167" t="s">
        <v>541</v>
      </c>
      <c r="K50" s="167" t="s">
        <v>1304</v>
      </c>
      <c r="L50" s="167" t="s">
        <v>743</v>
      </c>
      <c r="M50" s="167" t="s">
        <v>1162</v>
      </c>
      <c r="N50" s="167" t="s">
        <v>1159</v>
      </c>
      <c r="O50" s="547" t="s">
        <v>1307</v>
      </c>
      <c r="P50" s="486"/>
      <c r="Q50" s="143"/>
      <c r="R50" s="143"/>
      <c r="S50" s="143"/>
      <c r="T50" s="143"/>
      <c r="U50" s="143"/>
      <c r="V50" s="143"/>
      <c r="W50" s="143"/>
    </row>
    <row r="51" spans="1:23" ht="15" x14ac:dyDescent="0.25">
      <c r="A51" s="168" t="s">
        <v>28</v>
      </c>
      <c r="B51" s="541">
        <v>0</v>
      </c>
      <c r="C51" s="185">
        <f t="shared" ref="C51:C67" si="29">SUM(D51:N51)</f>
        <v>1557475.45</v>
      </c>
      <c r="D51" s="147">
        <f>HR!H5</f>
        <v>1234440.81</v>
      </c>
      <c r="E51" s="147">
        <f>SUM('Prof Serv'!F5:H5)</f>
        <v>4608</v>
      </c>
      <c r="F51" s="180">
        <f>'Prof Serv'!J5</f>
        <v>0</v>
      </c>
      <c r="G51" s="147">
        <f>Travel!E5</f>
        <v>13900</v>
      </c>
      <c r="H51" s="147">
        <f>'Other Operating Expenses'!E5</f>
        <v>74376.639999999999</v>
      </c>
      <c r="I51" s="147">
        <f>Supplies!E5</f>
        <v>5150</v>
      </c>
      <c r="J51" s="147">
        <f>'Prof Serv'!I4</f>
        <v>155000</v>
      </c>
      <c r="K51" s="147">
        <v>0</v>
      </c>
      <c r="L51" s="147">
        <f>'Bldg Maint ONLY'!E5</f>
        <v>0</v>
      </c>
      <c r="M51" s="147">
        <f>'Capital Exp'!E5</f>
        <v>70000</v>
      </c>
      <c r="N51" s="147">
        <v>0</v>
      </c>
      <c r="O51" s="548">
        <f>B51-C51</f>
        <v>-1557475.45</v>
      </c>
      <c r="P51" s="143"/>
      <c r="Q51" s="143"/>
      <c r="R51" s="143"/>
      <c r="S51" s="143"/>
      <c r="T51" s="143"/>
      <c r="U51" s="143"/>
      <c r="V51" s="143"/>
      <c r="W51" s="143"/>
    </row>
    <row r="52" spans="1:23" ht="15" x14ac:dyDescent="0.25">
      <c r="A52" s="168" t="s">
        <v>27</v>
      </c>
      <c r="B52" s="541">
        <v>0</v>
      </c>
      <c r="C52" s="185">
        <f t="shared" si="29"/>
        <v>121053.5</v>
      </c>
      <c r="D52" s="147">
        <f>HR!H17</f>
        <v>9688.5000000000018</v>
      </c>
      <c r="E52" s="147">
        <f>SUM('Prof Serv'!F17:H17)</f>
        <v>15000</v>
      </c>
      <c r="F52" s="180">
        <f>'Prof Serv'!J17</f>
        <v>0</v>
      </c>
      <c r="G52" s="147">
        <f>Travel!E17</f>
        <v>70365</v>
      </c>
      <c r="H52" s="147">
        <f>'Other Operating Expenses'!E17</f>
        <v>0</v>
      </c>
      <c r="I52" s="147">
        <f>Supplies!E17</f>
        <v>26000</v>
      </c>
      <c r="J52" s="147">
        <f>'Prof Serv'!I17</f>
        <v>0</v>
      </c>
      <c r="K52" s="147">
        <v>0</v>
      </c>
      <c r="L52" s="147">
        <f>'Bldg Maint ONLY'!E17</f>
        <v>0</v>
      </c>
      <c r="M52" s="147">
        <f>'Capital Exp'!E17</f>
        <v>0</v>
      </c>
      <c r="N52" s="147">
        <v>0</v>
      </c>
      <c r="O52" s="548">
        <f t="shared" ref="O52:O67" si="30">B52-C52</f>
        <v>-121053.5</v>
      </c>
    </row>
    <row r="53" spans="1:23" ht="15" x14ac:dyDescent="0.25">
      <c r="A53" s="224" t="s">
        <v>32</v>
      </c>
      <c r="B53" s="541">
        <v>0</v>
      </c>
      <c r="C53" s="185">
        <f t="shared" si="29"/>
        <v>304321.56799999997</v>
      </c>
      <c r="D53" s="147">
        <f>HR!H6</f>
        <v>193316.56799999994</v>
      </c>
      <c r="E53" s="147">
        <f>SUM('Prof Serv'!F6:H6)</f>
        <v>103850</v>
      </c>
      <c r="F53" s="180">
        <f>'Prof Serv'!J6</f>
        <v>0</v>
      </c>
      <c r="G53" s="147">
        <f>Travel!E6</f>
        <v>4880</v>
      </c>
      <c r="H53" s="147">
        <f>'Other Operating Expenses'!E6</f>
        <v>1275</v>
      </c>
      <c r="I53" s="147">
        <f>Supplies!E6</f>
        <v>1000</v>
      </c>
      <c r="J53" s="147">
        <f>'Prof Serv'!I6</f>
        <v>0</v>
      </c>
      <c r="K53" s="147">
        <v>0</v>
      </c>
      <c r="L53" s="147">
        <f>'Bldg Maint ONLY'!E6</f>
        <v>0</v>
      </c>
      <c r="M53" s="147">
        <f>'Capital Exp'!E6</f>
        <v>0</v>
      </c>
      <c r="N53" s="147">
        <v>0</v>
      </c>
      <c r="O53" s="548">
        <f t="shared" si="30"/>
        <v>-304321.56799999997</v>
      </c>
    </row>
    <row r="54" spans="1:23" ht="15" x14ac:dyDescent="0.25">
      <c r="A54" s="168" t="s">
        <v>659</v>
      </c>
      <c r="B54" s="541">
        <f>Revenues!Y52</f>
        <v>213723</v>
      </c>
      <c r="C54" s="185">
        <f t="shared" si="29"/>
        <v>657550.03714000003</v>
      </c>
      <c r="D54" s="147">
        <f>HR!H12</f>
        <v>561873.03714000003</v>
      </c>
      <c r="E54" s="147">
        <f>SUM('Prof Serv'!F12:H12)</f>
        <v>30000</v>
      </c>
      <c r="F54" s="180">
        <f>'Prof Serv'!J12</f>
        <v>0</v>
      </c>
      <c r="G54" s="147">
        <f>Travel!E12</f>
        <v>43565</v>
      </c>
      <c r="H54" s="147">
        <f>'Other Operating Expenses'!E12</f>
        <v>9112</v>
      </c>
      <c r="I54" s="147">
        <f>Supplies!E12</f>
        <v>3000</v>
      </c>
      <c r="J54" s="147">
        <f>'Prof Serv'!I12</f>
        <v>0</v>
      </c>
      <c r="K54" s="147">
        <v>0</v>
      </c>
      <c r="L54" s="147">
        <f>'Bldg Maint ONLY'!E12</f>
        <v>0</v>
      </c>
      <c r="M54" s="147">
        <f>'Capital Exp'!E12</f>
        <v>10000</v>
      </c>
      <c r="N54" s="147">
        <v>0</v>
      </c>
      <c r="O54" s="548">
        <f t="shared" si="30"/>
        <v>-443827.03714000003</v>
      </c>
      <c r="P54" s="492"/>
    </row>
    <row r="55" spans="1:23" ht="15" x14ac:dyDescent="0.25">
      <c r="A55" s="168" t="s">
        <v>41</v>
      </c>
      <c r="B55" s="541">
        <v>0</v>
      </c>
      <c r="C55" s="185">
        <f t="shared" si="29"/>
        <v>304584.12400000007</v>
      </c>
      <c r="D55" s="147">
        <f>HR!H13</f>
        <v>294764.12400000007</v>
      </c>
      <c r="E55" s="147">
        <f>SUM('Prof Serv'!F13:H13)</f>
        <v>0</v>
      </c>
      <c r="F55" s="180">
        <f>'Prof Serv'!J13</f>
        <v>0</v>
      </c>
      <c r="G55" s="147">
        <f>Travel!E13</f>
        <v>5420</v>
      </c>
      <c r="H55" s="147">
        <f>'Other Operating Expenses'!E13</f>
        <v>3900</v>
      </c>
      <c r="I55" s="147">
        <f>Supplies!E13</f>
        <v>500</v>
      </c>
      <c r="J55" s="147">
        <f>'Prof Serv'!I13</f>
        <v>0</v>
      </c>
      <c r="K55" s="147">
        <v>0</v>
      </c>
      <c r="L55" s="147">
        <f>'Bldg Maint ONLY'!E13</f>
        <v>0</v>
      </c>
      <c r="M55" s="147">
        <f>'Capital Exp'!E13</f>
        <v>0</v>
      </c>
      <c r="N55" s="147">
        <v>0</v>
      </c>
      <c r="O55" s="548">
        <f t="shared" si="30"/>
        <v>-304584.12400000007</v>
      </c>
    </row>
    <row r="56" spans="1:23" ht="15" x14ac:dyDescent="0.25">
      <c r="A56" s="311" t="s">
        <v>788</v>
      </c>
      <c r="B56" s="541">
        <f>Revenues!Y123-Revenues!Y126-Revenues!Y128-Revenues!Y129-Revenues!Y131</f>
        <v>1903058.5425</v>
      </c>
      <c r="C56" s="185">
        <f t="shared" si="29"/>
        <v>957731.84800000011</v>
      </c>
      <c r="D56" s="147">
        <f>HR!H14</f>
        <v>640535.84800000011</v>
      </c>
      <c r="E56" s="147">
        <f>SUM('Prof Serv'!F14:H14)</f>
        <v>286250</v>
      </c>
      <c r="F56" s="180">
        <f>'Prof Serv'!J14</f>
        <v>0</v>
      </c>
      <c r="G56" s="147">
        <f>Travel!E14</f>
        <v>8000</v>
      </c>
      <c r="H56" s="147">
        <f>'Other Operating Expenses'!E14</f>
        <v>17896</v>
      </c>
      <c r="I56" s="147">
        <f>Supplies!E14</f>
        <v>5050</v>
      </c>
      <c r="J56" s="147">
        <f>'Prof Serv'!I14</f>
        <v>0</v>
      </c>
      <c r="K56" s="147">
        <v>0</v>
      </c>
      <c r="L56" s="147">
        <f>'Bldg Maint ONLY'!E14</f>
        <v>0</v>
      </c>
      <c r="M56" s="147">
        <f>'Capital Exp'!E14</f>
        <v>0</v>
      </c>
      <c r="N56" s="147">
        <v>0</v>
      </c>
      <c r="O56" s="548">
        <f t="shared" si="30"/>
        <v>945326.69449999987</v>
      </c>
    </row>
    <row r="57" spans="1:23" ht="15" x14ac:dyDescent="0.25">
      <c r="A57" s="168" t="s">
        <v>660</v>
      </c>
      <c r="B57" s="541">
        <f>Revenues!Y84</f>
        <v>1325383.46</v>
      </c>
      <c r="C57" s="185">
        <f t="shared" si="29"/>
        <v>924989.30160000012</v>
      </c>
      <c r="D57" s="147">
        <f>HR!H15</f>
        <v>766729.30160000012</v>
      </c>
      <c r="E57" s="147">
        <f>SUM('Prof Serv'!F15:H15)</f>
        <v>122000</v>
      </c>
      <c r="F57" s="180">
        <f>'Prof Serv'!J15</f>
        <v>0</v>
      </c>
      <c r="G57" s="147">
        <f>Travel!E15</f>
        <v>26820</v>
      </c>
      <c r="H57" s="147">
        <f>'Other Operating Expenses'!E15</f>
        <v>6440</v>
      </c>
      <c r="I57" s="147">
        <f>Supplies!E15</f>
        <v>3000</v>
      </c>
      <c r="J57" s="147">
        <f>'Prof Serv'!I15</f>
        <v>0</v>
      </c>
      <c r="K57" s="147">
        <v>0</v>
      </c>
      <c r="L57" s="147">
        <f>'Bldg Maint ONLY'!E15</f>
        <v>0</v>
      </c>
      <c r="M57" s="147">
        <f>'Capital Exp'!E15</f>
        <v>0</v>
      </c>
      <c r="N57" s="147">
        <v>0</v>
      </c>
      <c r="O57" s="548">
        <f t="shared" si="30"/>
        <v>400394.15839999984</v>
      </c>
      <c r="P57" s="2"/>
    </row>
    <row r="58" spans="1:23" ht="15" x14ac:dyDescent="0.25">
      <c r="A58" s="168" t="s">
        <v>29</v>
      </c>
      <c r="B58" s="541">
        <f>Revenues!Y6+Revenues!Y36+Revenues!Y140</f>
        <v>1961116</v>
      </c>
      <c r="C58" s="185">
        <f t="shared" si="29"/>
        <v>1442761.3500000006</v>
      </c>
      <c r="D58" s="147">
        <f>HR!H18</f>
        <v>1187423.1000000006</v>
      </c>
      <c r="E58" s="147">
        <f>SUM('Prof Serv'!F18:H18)</f>
        <v>140000</v>
      </c>
      <c r="F58" s="180">
        <f>'Prof Serv'!J18</f>
        <v>0</v>
      </c>
      <c r="G58" s="147">
        <f>Travel!E18</f>
        <v>38569.5</v>
      </c>
      <c r="H58" s="147">
        <f>'Other Operating Expenses'!E18</f>
        <v>58300</v>
      </c>
      <c r="I58" s="147">
        <f>Supplies!E18</f>
        <v>4900</v>
      </c>
      <c r="J58" s="147">
        <f>'Prof Serv'!I18</f>
        <v>0</v>
      </c>
      <c r="K58" s="147">
        <f>'Bldg Bond Int'!F15</f>
        <v>13568.75</v>
      </c>
      <c r="L58" s="147">
        <f>'Bldg Maint ONLY'!E18</f>
        <v>0</v>
      </c>
      <c r="M58" s="147">
        <f>'Capital Exp'!E15</f>
        <v>0</v>
      </c>
      <c r="N58" s="147">
        <v>0</v>
      </c>
      <c r="O58" s="548">
        <f t="shared" si="30"/>
        <v>518354.64999999944</v>
      </c>
      <c r="P58" s="493"/>
    </row>
    <row r="59" spans="1:23" ht="15" x14ac:dyDescent="0.25">
      <c r="A59" s="224" t="s">
        <v>519</v>
      </c>
      <c r="B59" s="541">
        <f>Revenues!Y19+Revenues!Y56+Revenues!Y77+Revenues!Y103+Revenues!Y118</f>
        <v>3805161.46</v>
      </c>
      <c r="C59" s="185">
        <f t="shared" si="29"/>
        <v>1952821.8903999999</v>
      </c>
      <c r="D59" s="147">
        <f>HR!H19</f>
        <v>1455650.8703999999</v>
      </c>
      <c r="E59" s="147">
        <f>SUM('Prof Serv'!F20:H20)+SUM('Prof Serv'!F21:H21)</f>
        <v>475001.02</v>
      </c>
      <c r="F59" s="180">
        <f>'Prof Serv'!N329+'Prof Serv'!N330</f>
        <v>0</v>
      </c>
      <c r="G59" s="147">
        <f>Travel!E19</f>
        <v>11000</v>
      </c>
      <c r="H59" s="147">
        <f>'Other Operating Expenses'!E19</f>
        <v>10570</v>
      </c>
      <c r="I59" s="147">
        <f>Supplies!E19</f>
        <v>600</v>
      </c>
      <c r="J59" s="147">
        <f>'Prof Serv'!I19</f>
        <v>0</v>
      </c>
      <c r="K59" s="147">
        <v>0</v>
      </c>
      <c r="L59" s="147">
        <f>'Bldg Maint ONLY'!E19</f>
        <v>0</v>
      </c>
      <c r="M59" s="147">
        <f>'Capital Exp'!E19</f>
        <v>0</v>
      </c>
      <c r="N59" s="147">
        <f>F14</f>
        <v>0</v>
      </c>
      <c r="O59" s="548">
        <f t="shared" si="30"/>
        <v>1852339.5696</v>
      </c>
    </row>
    <row r="60" spans="1:23" ht="15" x14ac:dyDescent="0.25">
      <c r="A60" s="213" t="s">
        <v>536</v>
      </c>
      <c r="B60" s="541">
        <v>0</v>
      </c>
      <c r="C60" s="185">
        <f t="shared" si="29"/>
        <v>122394.504</v>
      </c>
      <c r="D60" s="147">
        <f>HR!H7</f>
        <v>119844.504</v>
      </c>
      <c r="E60" s="147">
        <f>SUM('Prof Serv'!F7:H7)</f>
        <v>250</v>
      </c>
      <c r="F60" s="180">
        <f>'Prof Serv'!N321</f>
        <v>0</v>
      </c>
      <c r="G60" s="147">
        <f>Travel!E7</f>
        <v>1000</v>
      </c>
      <c r="H60" s="147">
        <f>'Other Operating Expenses'!E7</f>
        <v>1000</v>
      </c>
      <c r="I60" s="147">
        <f>Supplies!E7</f>
        <v>300</v>
      </c>
      <c r="J60" s="147">
        <f>'Prof Serv'!I7</f>
        <v>0</v>
      </c>
      <c r="K60" s="147">
        <v>0</v>
      </c>
      <c r="L60" s="147">
        <f>'Bldg Maint ONLY'!E7</f>
        <v>0</v>
      </c>
      <c r="M60" s="147">
        <f>'Capital Exp'!E7</f>
        <v>0</v>
      </c>
      <c r="N60" s="147">
        <v>0</v>
      </c>
      <c r="O60" s="548">
        <f t="shared" si="30"/>
        <v>-122394.504</v>
      </c>
    </row>
    <row r="61" spans="1:23" ht="15" x14ac:dyDescent="0.25">
      <c r="A61" s="168" t="s">
        <v>36</v>
      </c>
      <c r="B61" s="541">
        <v>0</v>
      </c>
      <c r="C61" s="185">
        <f t="shared" si="29"/>
        <v>1423577.63408</v>
      </c>
      <c r="D61" s="147">
        <f>HR!H8</f>
        <v>518616.06407999998</v>
      </c>
      <c r="E61" s="147">
        <f>SUM('Prof Serv'!F8:H8)</f>
        <v>99000</v>
      </c>
      <c r="F61" s="180">
        <f>'Prof Serv'!N322</f>
        <v>0</v>
      </c>
      <c r="G61" s="147">
        <f>Travel!E8</f>
        <v>30000</v>
      </c>
      <c r="H61" s="147">
        <f>'Other Operating Expenses'!E8</f>
        <v>765961.57000000007</v>
      </c>
      <c r="I61" s="147">
        <f>Supplies!E8</f>
        <v>5000</v>
      </c>
      <c r="J61" s="147">
        <f>'Prof Serv'!I8</f>
        <v>0</v>
      </c>
      <c r="K61" s="147">
        <v>0</v>
      </c>
      <c r="L61" s="147">
        <f>'Bldg Maint ONLY'!E8</f>
        <v>0</v>
      </c>
      <c r="M61" s="147">
        <f>'Capital Exp'!E8</f>
        <v>5000</v>
      </c>
      <c r="N61" s="147">
        <v>0</v>
      </c>
      <c r="O61" s="548">
        <f t="shared" si="30"/>
        <v>-1423577.63408</v>
      </c>
    </row>
    <row r="62" spans="1:23" ht="15" x14ac:dyDescent="0.25">
      <c r="A62" s="168" t="s">
        <v>31</v>
      </c>
      <c r="B62" s="541">
        <v>0</v>
      </c>
      <c r="C62" s="185">
        <f t="shared" si="29"/>
        <v>521365.37810000003</v>
      </c>
      <c r="D62" s="147">
        <f>HR!H22</f>
        <v>439805.37810000003</v>
      </c>
      <c r="E62" s="147">
        <f>SUM('Prof Serv'!F22:H22)</f>
        <v>0</v>
      </c>
      <c r="F62" s="180">
        <f>'Prof Serv'!J22</f>
        <v>0</v>
      </c>
      <c r="G62" s="147">
        <f>Travel!E22</f>
        <v>1500</v>
      </c>
      <c r="H62" s="147">
        <f>'Other Operating Expenses'!E22</f>
        <v>10560</v>
      </c>
      <c r="I62" s="147">
        <f>Supplies!E22</f>
        <v>2000</v>
      </c>
      <c r="J62" s="147">
        <f>'Prof Serv'!I22</f>
        <v>67500</v>
      </c>
      <c r="K62" s="147">
        <v>0</v>
      </c>
      <c r="L62" s="147">
        <f>'Bldg Maint ONLY'!E22</f>
        <v>0</v>
      </c>
      <c r="M62" s="147">
        <f>'Capital Exp'!E22</f>
        <v>0</v>
      </c>
      <c r="N62" s="147">
        <v>0</v>
      </c>
      <c r="O62" s="548">
        <f t="shared" si="30"/>
        <v>-521365.37810000003</v>
      </c>
    </row>
    <row r="63" spans="1:23" ht="15" x14ac:dyDescent="0.25">
      <c r="A63" s="168" t="s">
        <v>661</v>
      </c>
      <c r="B63" s="541">
        <v>0</v>
      </c>
      <c r="C63" s="185">
        <f t="shared" si="29"/>
        <v>796433.23199999996</v>
      </c>
      <c r="D63" s="147">
        <f>HR!H23</f>
        <v>576062.23199999996</v>
      </c>
      <c r="E63" s="147">
        <f>SUM('Prof Serv'!F23:H23)</f>
        <v>0</v>
      </c>
      <c r="F63" s="180">
        <f>'Prof Serv'!J23</f>
        <v>100000</v>
      </c>
      <c r="G63" s="147">
        <f>Travel!E23</f>
        <v>11400</v>
      </c>
      <c r="H63" s="147">
        <f>'Other Operating Expenses'!E23</f>
        <v>108571</v>
      </c>
      <c r="I63" s="147">
        <f>Supplies!E23</f>
        <v>400</v>
      </c>
      <c r="J63" s="147">
        <f>'Prof Serv'!I23</f>
        <v>0</v>
      </c>
      <c r="K63" s="147">
        <v>0</v>
      </c>
      <c r="L63" s="147">
        <f>'Bldg Maint ONLY'!E23</f>
        <v>0</v>
      </c>
      <c r="M63" s="147">
        <f>'Capital Exp'!E23</f>
        <v>0</v>
      </c>
      <c r="N63" s="147">
        <v>0</v>
      </c>
      <c r="O63" s="548">
        <f t="shared" si="30"/>
        <v>-796433.23199999996</v>
      </c>
    </row>
    <row r="64" spans="1:23" ht="15" x14ac:dyDescent="0.25">
      <c r="A64" s="224" t="s">
        <v>38</v>
      </c>
      <c r="B64" s="541">
        <f>Revenues!Y40+Revenues!Y126+Revenues!Y128+Revenues!Y129+Revenues!Y131</f>
        <v>2038274.09665</v>
      </c>
      <c r="C64" s="185">
        <f t="shared" si="29"/>
        <v>1585429.9287199993</v>
      </c>
      <c r="D64" s="147">
        <f>HR!H24</f>
        <v>1360620.9287199993</v>
      </c>
      <c r="E64" s="147">
        <f>SUM('Prof Serv'!F24:H24)</f>
        <v>111000</v>
      </c>
      <c r="F64" s="180">
        <f>'Prof Serv'!J24</f>
        <v>0</v>
      </c>
      <c r="G64" s="147">
        <f>Travel!E24</f>
        <v>30425</v>
      </c>
      <c r="H64" s="147">
        <f>'Other Operating Expenses'!E24</f>
        <v>75384</v>
      </c>
      <c r="I64" s="147">
        <f>Supplies!E24</f>
        <v>8000</v>
      </c>
      <c r="J64" s="147">
        <f>'Prof Serv'!I24</f>
        <v>0</v>
      </c>
      <c r="K64" s="147">
        <v>0</v>
      </c>
      <c r="L64" s="147">
        <f>'Bldg Maint ONLY'!E24</f>
        <v>0</v>
      </c>
      <c r="M64" s="147">
        <f>'Capital Exp'!E24</f>
        <v>0</v>
      </c>
      <c r="N64" s="147">
        <v>0</v>
      </c>
      <c r="O64" s="548">
        <f t="shared" si="30"/>
        <v>452844.16793000069</v>
      </c>
    </row>
    <row r="65" spans="1:27" ht="15" x14ac:dyDescent="0.25">
      <c r="A65" s="224" t="s">
        <v>753</v>
      </c>
      <c r="B65" s="541">
        <v>0</v>
      </c>
      <c r="C65" s="185">
        <f t="shared" si="29"/>
        <v>978754.28399999999</v>
      </c>
      <c r="D65" s="147">
        <f>HR!H9</f>
        <v>441262.28399999999</v>
      </c>
      <c r="E65" s="147">
        <f>SUM('Prof Serv'!F9:H9)</f>
        <v>30000</v>
      </c>
      <c r="F65" s="180">
        <f>'Prof Serv'!J9</f>
        <v>0</v>
      </c>
      <c r="G65" s="147">
        <f>Travel!E9</f>
        <v>5000</v>
      </c>
      <c r="H65" s="147">
        <f>'Other Operating Expenses'!E9</f>
        <v>109765</v>
      </c>
      <c r="I65" s="147">
        <f>Supplies!E9</f>
        <v>35000</v>
      </c>
      <c r="J65" s="147">
        <f>'Prof Serv'!I9</f>
        <v>0</v>
      </c>
      <c r="K65" s="147">
        <v>0</v>
      </c>
      <c r="L65" s="147">
        <f>'Bldg Maint ONLY'!E9</f>
        <v>357727</v>
      </c>
      <c r="M65" s="147">
        <f>'Capital Exp'!E9</f>
        <v>0</v>
      </c>
      <c r="N65" s="147">
        <v>0</v>
      </c>
      <c r="O65" s="548">
        <f t="shared" si="30"/>
        <v>-978754.28399999999</v>
      </c>
    </row>
    <row r="66" spans="1:27" ht="15" x14ac:dyDescent="0.25">
      <c r="A66" s="224" t="s">
        <v>759</v>
      </c>
      <c r="B66" s="541">
        <f>Revenues!Y94</f>
        <v>3156300.12</v>
      </c>
      <c r="C66" s="185">
        <f t="shared" si="29"/>
        <v>614062.14309999999</v>
      </c>
      <c r="D66" s="147">
        <f>HR!H25</f>
        <v>590997.14309999999</v>
      </c>
      <c r="E66" s="147">
        <f>SUM('Prof Serv'!F25:H25)</f>
        <v>8500</v>
      </c>
      <c r="F66" s="180">
        <f>'Prof Serv'!J25</f>
        <v>0</v>
      </c>
      <c r="G66" s="147">
        <f>Travel!E25</f>
        <v>13400</v>
      </c>
      <c r="H66" s="147">
        <f>'Other Operating Expenses'!E25</f>
        <v>915</v>
      </c>
      <c r="I66" s="147">
        <f>Supplies!E25</f>
        <v>250</v>
      </c>
      <c r="J66" s="147">
        <f>'Prof Serv'!I25</f>
        <v>0</v>
      </c>
      <c r="K66" s="147">
        <v>0</v>
      </c>
      <c r="L66" s="147">
        <f>'Bldg Maint ONLY'!E25</f>
        <v>0</v>
      </c>
      <c r="M66" s="147">
        <f>'Capital Exp'!E25</f>
        <v>0</v>
      </c>
      <c r="N66" s="147">
        <v>0</v>
      </c>
      <c r="O66" s="548">
        <f t="shared" si="30"/>
        <v>2542237.9769000001</v>
      </c>
      <c r="P66" s="2"/>
    </row>
    <row r="67" spans="1:27" ht="15" x14ac:dyDescent="0.25">
      <c r="A67" s="168" t="s">
        <v>35</v>
      </c>
      <c r="B67" s="541">
        <v>0</v>
      </c>
      <c r="C67" s="185">
        <f t="shared" si="29"/>
        <v>0</v>
      </c>
      <c r="D67" s="147">
        <f>HR!H10</f>
        <v>0</v>
      </c>
      <c r="E67" s="147">
        <f>SUM('Prof Serv'!F10:H10)</f>
        <v>0</v>
      </c>
      <c r="F67" s="180">
        <f>'Prof Serv'!J10</f>
        <v>0</v>
      </c>
      <c r="G67" s="147">
        <f>Travel!E10</f>
        <v>0</v>
      </c>
      <c r="H67" s="147">
        <f>'Other Operating Expenses'!E10</f>
        <v>0</v>
      </c>
      <c r="I67" s="147">
        <f>Supplies!E10</f>
        <v>0</v>
      </c>
      <c r="J67" s="147">
        <f>'Prof Serv'!I10</f>
        <v>0</v>
      </c>
      <c r="K67" s="147">
        <v>0</v>
      </c>
      <c r="L67" s="147">
        <f>'Bldg Maint ONLY'!E10</f>
        <v>0</v>
      </c>
      <c r="M67" s="147">
        <f>'Capital Exp'!E10</f>
        <v>0</v>
      </c>
      <c r="N67" s="147">
        <v>0</v>
      </c>
      <c r="O67" s="548">
        <f t="shared" si="30"/>
        <v>0</v>
      </c>
    </row>
    <row r="68" spans="1:27" ht="15.75" thickBot="1" x14ac:dyDescent="0.3">
      <c r="A68" s="166" t="s">
        <v>22</v>
      </c>
      <c r="B68" s="542">
        <f>SUM(B51:B67)</f>
        <v>14403016.67915</v>
      </c>
      <c r="C68" s="186">
        <f t="shared" ref="C68:L68" si="31">SUM(C51:C67)</f>
        <v>14265306.173140001</v>
      </c>
      <c r="D68" s="169">
        <f t="shared" si="31"/>
        <v>10391630.69314</v>
      </c>
      <c r="E68" s="169">
        <f t="shared" si="31"/>
        <v>1425459.02</v>
      </c>
      <c r="F68" s="169">
        <f t="shared" si="31"/>
        <v>100000</v>
      </c>
      <c r="G68" s="169">
        <f t="shared" si="31"/>
        <v>315244.5</v>
      </c>
      <c r="H68" s="169">
        <f t="shared" si="31"/>
        <v>1254026.21</v>
      </c>
      <c r="I68" s="169">
        <f t="shared" si="31"/>
        <v>100150</v>
      </c>
      <c r="J68" s="169">
        <f t="shared" si="31"/>
        <v>222500</v>
      </c>
      <c r="K68" s="169">
        <f t="shared" si="31"/>
        <v>13568.75</v>
      </c>
      <c r="L68" s="169">
        <f t="shared" si="31"/>
        <v>357727</v>
      </c>
      <c r="M68" s="169">
        <f>SUM(M51:M67)</f>
        <v>85000</v>
      </c>
      <c r="N68" s="169">
        <f>SUM(N51:N67)</f>
        <v>0</v>
      </c>
      <c r="O68" s="549">
        <f>SUM(O51:O67)</f>
        <v>137710.50601000059</v>
      </c>
    </row>
    <row r="69" spans="1:27" ht="15.75" thickTop="1" x14ac:dyDescent="0.25">
      <c r="A69" s="143"/>
      <c r="B69" s="143"/>
      <c r="C69" s="143"/>
      <c r="D69" s="143"/>
      <c r="E69" s="143"/>
      <c r="F69" s="143"/>
      <c r="G69" s="143"/>
      <c r="H69" s="143"/>
      <c r="I69" s="143"/>
      <c r="J69" s="143"/>
      <c r="K69" s="143"/>
      <c r="L69" s="143"/>
      <c r="M69" s="143"/>
      <c r="N69" s="2"/>
    </row>
    <row r="70" spans="1:27" ht="15.75" thickBot="1" x14ac:dyDescent="0.3">
      <c r="A70" s="143"/>
      <c r="B70" s="146"/>
      <c r="C70" s="146"/>
      <c r="D70" s="146"/>
      <c r="E70" s="146"/>
      <c r="F70" s="146"/>
      <c r="G70" s="146"/>
      <c r="H70" s="146"/>
      <c r="I70" s="146"/>
      <c r="J70" s="146"/>
      <c r="K70" s="146"/>
      <c r="L70" s="146"/>
    </row>
    <row r="71" spans="1:27" ht="15.75" thickBot="1" x14ac:dyDescent="0.3">
      <c r="A71" s="372" t="s">
        <v>662</v>
      </c>
      <c r="B71" s="373">
        <f>B68-Revenues!Y142</f>
        <v>0</v>
      </c>
      <c r="C71" s="373">
        <f>SUM(D71:L71)</f>
        <v>0</v>
      </c>
      <c r="D71" s="373">
        <f t="shared" ref="D71:N71" si="32">C44-D68</f>
        <v>0</v>
      </c>
      <c r="E71" s="373">
        <f t="shared" si="32"/>
        <v>0</v>
      </c>
      <c r="F71" s="373">
        <f t="shared" si="32"/>
        <v>0</v>
      </c>
      <c r="G71" s="373">
        <f t="shared" si="32"/>
        <v>0</v>
      </c>
      <c r="H71" s="373">
        <f t="shared" si="32"/>
        <v>0</v>
      </c>
      <c r="I71" s="373">
        <f t="shared" si="32"/>
        <v>0</v>
      </c>
      <c r="J71" s="373">
        <f t="shared" si="32"/>
        <v>0</v>
      </c>
      <c r="K71" s="373">
        <f t="shared" si="32"/>
        <v>0</v>
      </c>
      <c r="L71" s="373">
        <f t="shared" si="32"/>
        <v>0</v>
      </c>
      <c r="M71" s="373">
        <f t="shared" si="32"/>
        <v>0</v>
      </c>
      <c r="N71" s="373">
        <f t="shared" si="32"/>
        <v>0</v>
      </c>
      <c r="O71" s="495">
        <f>O68-Summary!M37</f>
        <v>9.3132257461547852E-10</v>
      </c>
    </row>
    <row r="72" spans="1:27" ht="15" x14ac:dyDescent="0.25">
      <c r="A72" s="143"/>
      <c r="B72" s="143"/>
      <c r="C72" s="143"/>
      <c r="D72" s="143"/>
      <c r="E72" s="143"/>
      <c r="F72" s="143"/>
      <c r="G72" s="143"/>
      <c r="H72" s="143"/>
      <c r="I72" s="143"/>
      <c r="J72" s="143"/>
      <c r="K72" s="143"/>
    </row>
    <row r="73" spans="1:27" ht="15" x14ac:dyDescent="0.25">
      <c r="A73" s="170" t="s">
        <v>664</v>
      </c>
      <c r="B73" s="171" t="s">
        <v>632</v>
      </c>
      <c r="C73" s="172"/>
      <c r="D73" s="173"/>
      <c r="E73" s="172"/>
      <c r="F73" s="172"/>
      <c r="G73" s="172"/>
      <c r="H73" s="172"/>
      <c r="I73" s="172"/>
      <c r="J73" s="172"/>
      <c r="K73" s="172"/>
      <c r="L73" s="172"/>
      <c r="M73" s="505">
        <v>0.23680000000000001</v>
      </c>
      <c r="N73" s="174" t="s">
        <v>1294</v>
      </c>
      <c r="O73" s="505" t="s">
        <v>1485</v>
      </c>
      <c r="P73" s="674" t="s">
        <v>1484</v>
      </c>
      <c r="R73" s="506"/>
    </row>
    <row r="74" spans="1:27" ht="15" x14ac:dyDescent="0.25">
      <c r="A74" s="174" t="s">
        <v>745</v>
      </c>
      <c r="B74" s="171" t="s">
        <v>665</v>
      </c>
      <c r="C74" s="172"/>
      <c r="D74" s="174" t="s">
        <v>654</v>
      </c>
      <c r="E74" s="174" t="s">
        <v>654</v>
      </c>
      <c r="F74" s="172"/>
      <c r="G74" s="172"/>
      <c r="H74" s="172"/>
      <c r="I74" s="172"/>
      <c r="J74" s="172"/>
      <c r="K74" s="172"/>
      <c r="L74" s="172"/>
      <c r="M74" s="174" t="s">
        <v>1271</v>
      </c>
      <c r="N74" s="174" t="s">
        <v>1276</v>
      </c>
      <c r="O74" s="174" t="s">
        <v>1586</v>
      </c>
      <c r="P74" s="674" t="s">
        <v>1586</v>
      </c>
      <c r="X74" s="506"/>
      <c r="Y74" s="39" t="s">
        <v>784</v>
      </c>
      <c r="Z74" s="39" t="s">
        <v>1487</v>
      </c>
      <c r="AA74" s="39" t="s">
        <v>1488</v>
      </c>
    </row>
    <row r="75" spans="1:27" ht="16.5" x14ac:dyDescent="0.35">
      <c r="A75" s="170" t="s">
        <v>655</v>
      </c>
      <c r="B75" s="170" t="s">
        <v>0</v>
      </c>
      <c r="C75" s="175" t="s">
        <v>536</v>
      </c>
      <c r="D75" s="175" t="s">
        <v>649</v>
      </c>
      <c r="E75" s="175" t="s">
        <v>516</v>
      </c>
      <c r="F75" s="175" t="s">
        <v>537</v>
      </c>
      <c r="G75" s="175" t="s">
        <v>656</v>
      </c>
      <c r="H75" s="175" t="s">
        <v>540</v>
      </c>
      <c r="I75" s="175" t="s">
        <v>541</v>
      </c>
      <c r="J75" s="175" t="s">
        <v>657</v>
      </c>
      <c r="K75" s="175" t="s">
        <v>743</v>
      </c>
      <c r="L75" s="175" t="s">
        <v>1162</v>
      </c>
      <c r="M75" s="175" t="s">
        <v>1270</v>
      </c>
      <c r="N75" s="175" t="s">
        <v>1275</v>
      </c>
      <c r="O75" s="175" t="s">
        <v>1273</v>
      </c>
      <c r="P75" s="494" t="s">
        <v>1157</v>
      </c>
      <c r="X75" s="508" t="s">
        <v>1272</v>
      </c>
      <c r="Y75" s="509" t="s">
        <v>1277</v>
      </c>
      <c r="Z75" s="509" t="s">
        <v>1486</v>
      </c>
      <c r="AA75" s="509" t="s">
        <v>1489</v>
      </c>
    </row>
    <row r="76" spans="1:27" ht="15" x14ac:dyDescent="0.25">
      <c r="A76" s="176" t="s">
        <v>62</v>
      </c>
      <c r="B76" s="177">
        <f t="shared" ref="B76:B107" si="33">SUM(C76:O76)</f>
        <v>1249994.0522063491</v>
      </c>
      <c r="C76" s="178">
        <f>HR!Y511</f>
        <v>402188.41320000001</v>
      </c>
      <c r="D76" s="178">
        <f>'Prof Serv'!N548</f>
        <v>77400</v>
      </c>
      <c r="E76" s="178">
        <f>'Prof Serv'!N484</f>
        <v>0</v>
      </c>
      <c r="F76" s="178">
        <f>Travel!P420</f>
        <v>116814.5</v>
      </c>
      <c r="G76" s="178">
        <f>'Other Operating Expenses'!N683</f>
        <v>1775</v>
      </c>
      <c r="H76" s="178">
        <f>Supplies!N340</f>
        <v>27500</v>
      </c>
      <c r="I76" s="178">
        <f>'Prof Serv'!N420</f>
        <v>0</v>
      </c>
      <c r="J76" s="178">
        <v>0</v>
      </c>
      <c r="K76" s="178">
        <v>0</v>
      </c>
      <c r="L76" s="178">
        <v>0</v>
      </c>
      <c r="M76" s="178">
        <f>HR!N511*'Total Expenses'!$M$73</f>
        <v>68505.936895999999</v>
      </c>
      <c r="N76" s="178">
        <f t="shared" ref="N76:N107" si="34">21.11*X76</f>
        <v>70824.05</v>
      </c>
      <c r="O76" s="178">
        <f>(SUM(C76:I76)-SUM(M76:N76)-K76)*99.72%</f>
        <v>484986.15211034886</v>
      </c>
      <c r="P76" s="487">
        <f>0-B76</f>
        <v>-1249994.0522063491</v>
      </c>
      <c r="X76" s="506">
        <v>3355</v>
      </c>
      <c r="Y76" s="478">
        <v>0.26029999999999998</v>
      </c>
      <c r="Z76" s="2"/>
      <c r="AA76" s="2">
        <f>B76+P76</f>
        <v>0</v>
      </c>
    </row>
    <row r="77" spans="1:27" ht="15" x14ac:dyDescent="0.25">
      <c r="A77" s="176" t="s">
        <v>118</v>
      </c>
      <c r="B77" s="177">
        <f t="shared" si="33"/>
        <v>7688.1949995219193</v>
      </c>
      <c r="C77" s="178">
        <f>HR!Y512</f>
        <v>3848.5558799999999</v>
      </c>
      <c r="D77" s="178">
        <f>'Prof Serv'!N549</f>
        <v>0</v>
      </c>
      <c r="E77" s="178">
        <f>'Prof Serv'!N485</f>
        <v>0</v>
      </c>
      <c r="F77" s="178">
        <f>Travel!P421</f>
        <v>0</v>
      </c>
      <c r="G77" s="178">
        <f>'Other Operating Expenses'!N684</f>
        <v>0</v>
      </c>
      <c r="H77" s="178">
        <f>Supplies!N341</f>
        <v>0</v>
      </c>
      <c r="I77" s="178">
        <f>'Prof Serv'!N421</f>
        <v>0</v>
      </c>
      <c r="J77" s="178">
        <v>0</v>
      </c>
      <c r="K77" s="178">
        <v>0</v>
      </c>
      <c r="L77" s="178">
        <v>0</v>
      </c>
      <c r="M77" s="178">
        <f>HR!N512*'Total Expenses'!$M$73</f>
        <v>663.99856640000007</v>
      </c>
      <c r="N77" s="178">
        <f t="shared" si="34"/>
        <v>0</v>
      </c>
      <c r="O77" s="178">
        <f t="shared" ref="O77:O108" si="35">(SUM(C77:I77)-SUM(M77:N77))*99.72%</f>
        <v>3175.6405531219198</v>
      </c>
      <c r="P77" s="487">
        <f t="shared" ref="P77:P139" si="36">0-B77</f>
        <v>-7688.1949995219193</v>
      </c>
      <c r="X77" s="506"/>
      <c r="Y77" s="478">
        <v>2.0000000000000001E-4</v>
      </c>
      <c r="Z77" s="2"/>
      <c r="AA77" s="2">
        <f>B77+P77</f>
        <v>0</v>
      </c>
    </row>
    <row r="78" spans="1:27" ht="15" x14ac:dyDescent="0.25">
      <c r="A78" s="176" t="s">
        <v>119</v>
      </c>
      <c r="B78" s="177">
        <f t="shared" si="33"/>
        <v>6143.32108616</v>
      </c>
      <c r="C78" s="178">
        <f>HR!Y513</f>
        <v>2819.1149999999998</v>
      </c>
      <c r="D78" s="178">
        <f>'Prof Serv'!N550</f>
        <v>0</v>
      </c>
      <c r="E78" s="178">
        <f>'Prof Serv'!N486</f>
        <v>0</v>
      </c>
      <c r="F78" s="178">
        <f>Travel!P422</f>
        <v>0</v>
      </c>
      <c r="G78" s="178">
        <f>'Other Operating Expenses'!N685</f>
        <v>256.17</v>
      </c>
      <c r="H78" s="178">
        <f>Supplies!N342</f>
        <v>0</v>
      </c>
      <c r="I78" s="178">
        <f>'Prof Serv'!N422</f>
        <v>0</v>
      </c>
      <c r="J78" s="178">
        <v>0</v>
      </c>
      <c r="K78" s="178">
        <v>0</v>
      </c>
      <c r="L78" s="178">
        <v>0</v>
      </c>
      <c r="M78" s="178">
        <f>HR!N513*'Total Expenses'!$M$73</f>
        <v>486.38720000000001</v>
      </c>
      <c r="N78" s="178">
        <f t="shared" si="34"/>
        <v>0</v>
      </c>
      <c r="O78" s="178">
        <f t="shared" si="35"/>
        <v>2581.6488861599996</v>
      </c>
      <c r="P78" s="487">
        <f t="shared" si="36"/>
        <v>-6143.32108616</v>
      </c>
      <c r="X78" s="506"/>
      <c r="Y78" s="478">
        <v>0</v>
      </c>
      <c r="Z78" s="2"/>
      <c r="AA78" s="2">
        <f>B78+P78</f>
        <v>0</v>
      </c>
    </row>
    <row r="79" spans="1:27" ht="15" x14ac:dyDescent="0.25">
      <c r="A79" s="176" t="s">
        <v>142</v>
      </c>
      <c r="B79" s="177">
        <f t="shared" si="33"/>
        <v>471.85847200000001</v>
      </c>
      <c r="C79" s="178">
        <f>HR!Y514</f>
        <v>0</v>
      </c>
      <c r="D79" s="178">
        <f>'Prof Serv'!N551</f>
        <v>0</v>
      </c>
      <c r="E79" s="178">
        <f>'Prof Serv'!N487</f>
        <v>0</v>
      </c>
      <c r="F79" s="178">
        <f>Travel!P423</f>
        <v>0</v>
      </c>
      <c r="G79" s="178">
        <f>'Other Operating Expenses'!N686</f>
        <v>236.26</v>
      </c>
      <c r="H79" s="178">
        <f>Supplies!N343</f>
        <v>0</v>
      </c>
      <c r="I79" s="178">
        <f>'Prof Serv'!N423</f>
        <v>0</v>
      </c>
      <c r="J79" s="178">
        <v>0</v>
      </c>
      <c r="K79" s="178">
        <v>0</v>
      </c>
      <c r="L79" s="178">
        <v>0</v>
      </c>
      <c r="M79" s="178">
        <f>HR!N514*'Total Expenses'!$M$73</f>
        <v>0</v>
      </c>
      <c r="N79" s="178">
        <f t="shared" si="34"/>
        <v>0</v>
      </c>
      <c r="O79" s="178">
        <f t="shared" si="35"/>
        <v>235.59847199999999</v>
      </c>
      <c r="P79" s="487">
        <f>Revenues!Y88+Revenues!Y92-B79</f>
        <v>-471.85847200000001</v>
      </c>
      <c r="X79" s="506"/>
      <c r="Y79" s="478">
        <v>2.0000000000000001E-4</v>
      </c>
      <c r="Z79" s="2"/>
      <c r="AA79" s="2">
        <f>B79+P79</f>
        <v>0</v>
      </c>
    </row>
    <row r="80" spans="1:27" ht="15" x14ac:dyDescent="0.25">
      <c r="A80" s="176" t="s">
        <v>161</v>
      </c>
      <c r="B80" s="177">
        <f t="shared" si="33"/>
        <v>175374.24952949921</v>
      </c>
      <c r="C80" s="178">
        <f>HR!Y515</f>
        <v>87593.590237199984</v>
      </c>
      <c r="D80" s="178">
        <f>'Prof Serv'!N552</f>
        <v>200</v>
      </c>
      <c r="E80" s="178">
        <f>'Prof Serv'!N488</f>
        <v>0</v>
      </c>
      <c r="F80" s="178">
        <f>Travel!P424</f>
        <v>0</v>
      </c>
      <c r="G80" s="178">
        <f>'Other Operating Expenses'!N687</f>
        <v>0</v>
      </c>
      <c r="H80" s="178">
        <f>Supplies!N344</f>
        <v>0</v>
      </c>
      <c r="I80" s="178">
        <f>'Prof Serv'!N424</f>
        <v>0</v>
      </c>
      <c r="J80" s="178">
        <v>0</v>
      </c>
      <c r="K80" s="178">
        <v>0</v>
      </c>
      <c r="L80" s="178">
        <v>0</v>
      </c>
      <c r="M80" s="178">
        <f>HR!N515*'Total Expenses'!$M$73</f>
        <v>11746.824201216001</v>
      </c>
      <c r="N80" s="178">
        <f t="shared" si="34"/>
        <v>0</v>
      </c>
      <c r="O80" s="178">
        <f t="shared" si="35"/>
        <v>75833.835091083223</v>
      </c>
      <c r="P80" s="487">
        <f>Revenues!Y57-B80</f>
        <v>-46999.249529499211</v>
      </c>
      <c r="X80" s="506">
        <f>80-80</f>
        <v>0</v>
      </c>
      <c r="Y80" s="478">
        <v>0</v>
      </c>
      <c r="Z80" s="672">
        <f>(C80*1.47)+D80+E80+F80+G80+H80+I80+J80+K80</f>
        <v>128962.57764868397</v>
      </c>
      <c r="AA80" s="2"/>
    </row>
    <row r="81" spans="1:27" s="432" customFormat="1" ht="15" x14ac:dyDescent="0.25">
      <c r="A81" s="452" t="s">
        <v>1136</v>
      </c>
      <c r="B81" s="177">
        <f t="shared" si="33"/>
        <v>201610.72842975747</v>
      </c>
      <c r="C81" s="178">
        <f>HR!Y516</f>
        <v>98222.931097199995</v>
      </c>
      <c r="D81" s="178">
        <f>'Prof Serv'!N553</f>
        <v>700</v>
      </c>
      <c r="E81" s="178">
        <f>'Prof Serv'!N489</f>
        <v>0</v>
      </c>
      <c r="F81" s="178">
        <f>Travel!P425</f>
        <v>2000</v>
      </c>
      <c r="G81" s="178">
        <f>'Other Operating Expenses'!N688</f>
        <v>0</v>
      </c>
      <c r="H81" s="178">
        <f>Supplies!N345</f>
        <v>0</v>
      </c>
      <c r="I81" s="178">
        <f>'Prof Serv'!N425</f>
        <v>0</v>
      </c>
      <c r="J81" s="178">
        <v>0</v>
      </c>
      <c r="K81" s="178">
        <v>0</v>
      </c>
      <c r="L81" s="178">
        <v>0</v>
      </c>
      <c r="M81" s="178">
        <f>HR!N516*'Total Expenses'!$M$73</f>
        <v>16946.586582016</v>
      </c>
      <c r="N81" s="178">
        <f t="shared" si="34"/>
        <v>0</v>
      </c>
      <c r="O81" s="178">
        <f t="shared" si="35"/>
        <v>83741.210750541475</v>
      </c>
      <c r="P81" s="487">
        <f>Revenues!Y48-B81</f>
        <v>179197.27157024253</v>
      </c>
      <c r="X81" s="506"/>
      <c r="Y81" s="478">
        <v>0</v>
      </c>
      <c r="Z81" s="2"/>
      <c r="AA81" s="2">
        <f>B81</f>
        <v>201610.72842975747</v>
      </c>
    </row>
    <row r="82" spans="1:27" s="432" customFormat="1" ht="15" x14ac:dyDescent="0.25">
      <c r="A82" s="671" t="s">
        <v>1475</v>
      </c>
      <c r="B82" s="177">
        <f t="shared" si="33"/>
        <v>13230.926785023996</v>
      </c>
      <c r="C82" s="178">
        <f>HR!Y517</f>
        <v>6623.1359999999986</v>
      </c>
      <c r="D82" s="178">
        <f>'Prof Serv'!N554</f>
        <v>0</v>
      </c>
      <c r="E82" s="178">
        <f>'Prof Serv'!N490</f>
        <v>0</v>
      </c>
      <c r="F82" s="178">
        <f>Travel!P426</f>
        <v>0</v>
      </c>
      <c r="G82" s="178">
        <f>'Other Operating Expenses'!N689</f>
        <v>0</v>
      </c>
      <c r="H82" s="178">
        <f>Supplies!N346</f>
        <v>0</v>
      </c>
      <c r="I82" s="178">
        <f>'Prof Serv'!N426</f>
        <v>0</v>
      </c>
      <c r="J82" s="178">
        <v>0</v>
      </c>
      <c r="K82" s="178">
        <v>0</v>
      </c>
      <c r="L82" s="178">
        <v>0</v>
      </c>
      <c r="M82" s="178">
        <f>HR!N517*'Total Expenses'!$M$73</f>
        <v>1142.70208</v>
      </c>
      <c r="N82" s="178">
        <f t="shared" si="34"/>
        <v>0</v>
      </c>
      <c r="O82" s="178">
        <f t="shared" si="35"/>
        <v>5465.088705023998</v>
      </c>
      <c r="P82" s="487">
        <f>Revenues!Y127+Revenues!Y128-B82</f>
        <v>-3495.9267850239958</v>
      </c>
      <c r="X82" s="506"/>
      <c r="Y82" s="478">
        <v>0</v>
      </c>
      <c r="Z82" s="672">
        <f>(C82*1.47)+D82+E82+F82+G82+H82+I82+J82+K82</f>
        <v>9736.0099199999986</v>
      </c>
      <c r="AA82" s="2"/>
    </row>
    <row r="83" spans="1:27" ht="15" x14ac:dyDescent="0.25">
      <c r="A83" s="176" t="s">
        <v>133</v>
      </c>
      <c r="B83" s="177">
        <f t="shared" si="33"/>
        <v>401979.60426602699</v>
      </c>
      <c r="C83" s="178">
        <f>HR!Y518</f>
        <v>198037.34361400001</v>
      </c>
      <c r="D83" s="178">
        <f>'Prof Serv'!N555</f>
        <v>0</v>
      </c>
      <c r="E83" s="178">
        <f>'Prof Serv'!N491</f>
        <v>0</v>
      </c>
      <c r="F83" s="178">
        <f>Travel!P427</f>
        <v>2000</v>
      </c>
      <c r="G83" s="178">
        <f>'Other Operating Expenses'!N690</f>
        <v>694.91</v>
      </c>
      <c r="H83" s="178">
        <f>Supplies!N347</f>
        <v>500</v>
      </c>
      <c r="I83" s="178">
        <f>'Prof Serv'!N427</f>
        <v>0</v>
      </c>
      <c r="J83" s="178">
        <v>0</v>
      </c>
      <c r="K83" s="178">
        <v>0</v>
      </c>
      <c r="L83" s="178">
        <v>0</v>
      </c>
      <c r="M83" s="178">
        <f>HR!N518*'Total Expenses'!$M$73</f>
        <v>28052.624337919999</v>
      </c>
      <c r="N83" s="178">
        <f t="shared" si="34"/>
        <v>0</v>
      </c>
      <c r="O83" s="178">
        <f t="shared" si="35"/>
        <v>172694.72631410699</v>
      </c>
      <c r="P83" s="487">
        <f>Revenues!Y41+Revenues!Y42+Revenues!Y43-B83</f>
        <v>-265675.57761602697</v>
      </c>
      <c r="X83" s="506">
        <f>61-61</f>
        <v>0</v>
      </c>
      <c r="Y83" s="478">
        <v>2.0799999999999999E-2</v>
      </c>
      <c r="Z83" s="506"/>
      <c r="AA83" s="2">
        <f>B83</f>
        <v>401979.60426602699</v>
      </c>
    </row>
    <row r="84" spans="1:27" ht="15" x14ac:dyDescent="0.25">
      <c r="A84" s="176" t="s">
        <v>136</v>
      </c>
      <c r="B84" s="177">
        <f t="shared" si="33"/>
        <v>70603.133823321637</v>
      </c>
      <c r="C84" s="178">
        <f>HR!Y519</f>
        <v>35344.252917599995</v>
      </c>
      <c r="D84" s="178">
        <f>'Prof Serv'!N556</f>
        <v>0</v>
      </c>
      <c r="E84" s="178">
        <f>'Prof Serv'!N492</f>
        <v>0</v>
      </c>
      <c r="F84" s="178">
        <f>Travel!P428</f>
        <v>0</v>
      </c>
      <c r="G84" s="178">
        <f>'Other Operating Expenses'!N691</f>
        <v>0</v>
      </c>
      <c r="H84" s="178">
        <f>Supplies!N348</f>
        <v>0</v>
      </c>
      <c r="I84" s="178">
        <f>'Prof Serv'!N428</f>
        <v>0</v>
      </c>
      <c r="J84" s="178">
        <v>0</v>
      </c>
      <c r="K84" s="178">
        <v>0</v>
      </c>
      <c r="L84" s="178">
        <v>0</v>
      </c>
      <c r="M84" s="178">
        <f>HR!N519*'Total Expenses'!$M$73</f>
        <v>4854.248675328</v>
      </c>
      <c r="N84" s="178">
        <f t="shared" si="34"/>
        <v>0</v>
      </c>
      <c r="O84" s="178">
        <f t="shared" si="35"/>
        <v>30404.632230393632</v>
      </c>
      <c r="P84" s="487">
        <f t="shared" si="36"/>
        <v>-70603.133823321637</v>
      </c>
      <c r="X84" s="506"/>
      <c r="Y84" s="478">
        <v>3.5999999999999999E-3</v>
      </c>
      <c r="Z84" s="672">
        <f>(C84*1.47)+D84+E84+F84+G84+H84+I84+J84+K84</f>
        <v>51956.051788871991</v>
      </c>
      <c r="AA84" s="2"/>
    </row>
    <row r="85" spans="1:27" ht="15" x14ac:dyDescent="0.25">
      <c r="A85" s="176" t="s">
        <v>134</v>
      </c>
      <c r="B85" s="177">
        <f t="shared" si="33"/>
        <v>112866.15731421893</v>
      </c>
      <c r="C85" s="178">
        <f>HR!Y520</f>
        <v>56000.205837600006</v>
      </c>
      <c r="D85" s="178">
        <f>'Prof Serv'!N557</f>
        <v>0</v>
      </c>
      <c r="E85" s="178">
        <f>'Prof Serv'!N493</f>
        <v>0</v>
      </c>
      <c r="F85" s="178">
        <f>Travel!P429</f>
        <v>500</v>
      </c>
      <c r="G85" s="178">
        <f>'Other Operating Expenses'!N692</f>
        <v>0</v>
      </c>
      <c r="H85" s="178">
        <f>Supplies!N349</f>
        <v>0</v>
      </c>
      <c r="I85" s="178">
        <f>'Prof Serv'!N429</f>
        <v>0</v>
      </c>
      <c r="J85" s="178">
        <v>0</v>
      </c>
      <c r="K85" s="178">
        <v>0</v>
      </c>
      <c r="L85" s="178">
        <v>0</v>
      </c>
      <c r="M85" s="178">
        <f>HR!N520*'Total Expenses'!$M$73</f>
        <v>8552.2197729279997</v>
      </c>
      <c r="N85" s="178">
        <f t="shared" si="34"/>
        <v>0</v>
      </c>
      <c r="O85" s="178">
        <f t="shared" si="35"/>
        <v>47813.731703690923</v>
      </c>
      <c r="P85" s="487">
        <f t="shared" si="36"/>
        <v>-112866.15731421893</v>
      </c>
      <c r="X85" s="506"/>
      <c r="Y85" s="478">
        <v>7.6E-3</v>
      </c>
      <c r="Z85" s="672">
        <f>(C85*1.47)+D85+E85+F85+G85+H85+I85+J85+K85</f>
        <v>82820.302581272001</v>
      </c>
      <c r="AA85" s="2"/>
    </row>
    <row r="86" spans="1:27" ht="15" x14ac:dyDescent="0.25">
      <c r="A86" s="176" t="s">
        <v>131</v>
      </c>
      <c r="B86" s="177">
        <f t="shared" si="33"/>
        <v>135380.7552151808</v>
      </c>
      <c r="C86" s="178">
        <f>HR!Y521</f>
        <v>67770.331200000001</v>
      </c>
      <c r="D86" s="178">
        <f>'Prof Serv'!N558</f>
        <v>0</v>
      </c>
      <c r="E86" s="178">
        <f>'Prof Serv'!N494</f>
        <v>0</v>
      </c>
      <c r="F86" s="178">
        <f>Travel!P430</f>
        <v>0</v>
      </c>
      <c r="G86" s="178">
        <f>'Other Operating Expenses'!N693</f>
        <v>0</v>
      </c>
      <c r="H86" s="178">
        <f>Supplies!N350</f>
        <v>0</v>
      </c>
      <c r="I86" s="178">
        <f>'Prof Serv'!N430</f>
        <v>0</v>
      </c>
      <c r="J86" s="178">
        <v>0</v>
      </c>
      <c r="K86" s="178">
        <v>0</v>
      </c>
      <c r="L86" s="178">
        <v>0</v>
      </c>
      <c r="M86" s="178">
        <f>HR!N521*'Total Expenses'!$M$73</f>
        <v>10660.622336000002</v>
      </c>
      <c r="N86" s="178">
        <f t="shared" si="34"/>
        <v>0</v>
      </c>
      <c r="O86" s="178">
        <f t="shared" si="35"/>
        <v>56949.801679180797</v>
      </c>
      <c r="P86" s="487">
        <f>Revenues!Y129-B86</f>
        <v>-68640.755215180805</v>
      </c>
      <c r="X86" s="506"/>
      <c r="Y86" s="478">
        <v>1.5E-3</v>
      </c>
      <c r="Z86" s="672">
        <f>(C86*1.47)+D86+E86+F86+G86+H86+I86+J86+K86</f>
        <v>99622.386864</v>
      </c>
      <c r="AA86" s="2"/>
    </row>
    <row r="87" spans="1:27" ht="15" x14ac:dyDescent="0.25">
      <c r="A87" s="176" t="s">
        <v>137</v>
      </c>
      <c r="B87" s="177">
        <f t="shared" si="33"/>
        <v>88038.424761295173</v>
      </c>
      <c r="C87" s="178">
        <f>HR!Y522</f>
        <v>41070.9912912</v>
      </c>
      <c r="D87" s="178">
        <f>'Prof Serv'!N559</f>
        <v>0</v>
      </c>
      <c r="E87" s="178">
        <f>'Prof Serv'!N495</f>
        <v>0</v>
      </c>
      <c r="F87" s="178">
        <f>Travel!P431</f>
        <v>3000</v>
      </c>
      <c r="G87" s="178">
        <f>'Other Operating Expenses'!N694</f>
        <v>0</v>
      </c>
      <c r="H87" s="178">
        <f>Supplies!N351</f>
        <v>0</v>
      </c>
      <c r="I87" s="178">
        <f>'Prof Serv'!N431</f>
        <v>0</v>
      </c>
      <c r="J87" s="178">
        <v>0</v>
      </c>
      <c r="K87" s="178">
        <v>0</v>
      </c>
      <c r="L87" s="178">
        <v>0</v>
      </c>
      <c r="M87" s="178">
        <f>HR!N522*'Total Expenses'!$M$73</f>
        <v>7086.0551823360001</v>
      </c>
      <c r="N87" s="178">
        <f t="shared" si="34"/>
        <v>0</v>
      </c>
      <c r="O87" s="178">
        <f t="shared" si="35"/>
        <v>36881.37828775918</v>
      </c>
      <c r="P87" s="487">
        <f t="shared" si="36"/>
        <v>-88038.424761295173</v>
      </c>
      <c r="X87" s="506"/>
      <c r="Y87" s="478">
        <v>6.9999999999999999E-4</v>
      </c>
      <c r="Z87" s="672">
        <f>(C87*1.47)+D87+E87+F87+G87+H87+I87+J87+K87</f>
        <v>63374.357198063997</v>
      </c>
      <c r="AA87" s="2"/>
    </row>
    <row r="88" spans="1:27" ht="15" x14ac:dyDescent="0.25">
      <c r="A88" s="176" t="s">
        <v>132</v>
      </c>
      <c r="B88" s="177">
        <f t="shared" si="33"/>
        <v>0</v>
      </c>
      <c r="C88" s="178">
        <f>HR!Y523</f>
        <v>0</v>
      </c>
      <c r="D88" s="178">
        <f>'Prof Serv'!N560</f>
        <v>0</v>
      </c>
      <c r="E88" s="178">
        <f>'Prof Serv'!N496</f>
        <v>0</v>
      </c>
      <c r="F88" s="178">
        <f>Travel!P432</f>
        <v>0</v>
      </c>
      <c r="G88" s="178">
        <f>'Other Operating Expenses'!N695</f>
        <v>0</v>
      </c>
      <c r="H88" s="178">
        <f>Supplies!N352</f>
        <v>0</v>
      </c>
      <c r="I88" s="178">
        <f>'Prof Serv'!N432</f>
        <v>0</v>
      </c>
      <c r="J88" s="178">
        <v>0</v>
      </c>
      <c r="K88" s="178">
        <v>0</v>
      </c>
      <c r="L88" s="178">
        <v>0</v>
      </c>
      <c r="M88" s="178">
        <f>HR!N523*'Total Expenses'!$M$73</f>
        <v>0</v>
      </c>
      <c r="N88" s="178">
        <f t="shared" si="34"/>
        <v>0</v>
      </c>
      <c r="O88" s="178">
        <f t="shared" si="35"/>
        <v>0</v>
      </c>
      <c r="P88" s="487">
        <f>Revenues!Y130-B88</f>
        <v>338157.04249999998</v>
      </c>
      <c r="X88" s="506"/>
      <c r="Y88" s="478">
        <v>5.0000000000000001E-4</v>
      </c>
      <c r="Z88" s="506"/>
      <c r="AA88" s="2">
        <f>B88</f>
        <v>0</v>
      </c>
    </row>
    <row r="89" spans="1:27" ht="15" x14ac:dyDescent="0.25">
      <c r="A89" s="176" t="s">
        <v>160</v>
      </c>
      <c r="B89" s="177">
        <f t="shared" si="33"/>
        <v>56301.015261687047</v>
      </c>
      <c r="C89" s="178">
        <f>HR!Y524</f>
        <v>28183.156560000003</v>
      </c>
      <c r="D89" s="178">
        <f>'Prof Serv'!N561</f>
        <v>0</v>
      </c>
      <c r="E89" s="178">
        <f>'Prof Serv'!N497</f>
        <v>0</v>
      </c>
      <c r="F89" s="178">
        <f>Travel!P433</f>
        <v>0</v>
      </c>
      <c r="G89" s="178">
        <f>'Other Operating Expenses'!N696</f>
        <v>0</v>
      </c>
      <c r="H89" s="178">
        <f>Supplies!N353</f>
        <v>0</v>
      </c>
      <c r="I89" s="178">
        <f>'Prof Serv'!N433</f>
        <v>0</v>
      </c>
      <c r="J89" s="178">
        <v>0</v>
      </c>
      <c r="K89" s="178">
        <v>0</v>
      </c>
      <c r="L89" s="178">
        <v>0</v>
      </c>
      <c r="M89" s="178">
        <f>HR!N524*'Total Expenses'!$M$73</f>
        <v>4862.4928768</v>
      </c>
      <c r="N89" s="178">
        <f t="shared" si="34"/>
        <v>0</v>
      </c>
      <c r="O89" s="178">
        <f t="shared" si="35"/>
        <v>23255.365824887045</v>
      </c>
      <c r="P89" s="487">
        <f t="shared" si="36"/>
        <v>-56301.015261687047</v>
      </c>
      <c r="X89" s="506"/>
      <c r="Y89" s="478">
        <v>0</v>
      </c>
      <c r="Z89" s="672">
        <f>(C89*1.47)+D89+E89+F89+G89+H89+I89+J89+K89</f>
        <v>41429.240143200004</v>
      </c>
      <c r="AA89" s="2"/>
    </row>
    <row r="90" spans="1:27" ht="15" x14ac:dyDescent="0.25">
      <c r="A90" s="176" t="s">
        <v>135</v>
      </c>
      <c r="B90" s="177">
        <f t="shared" si="33"/>
        <v>90017.425908863472</v>
      </c>
      <c r="C90" s="178">
        <f>HR!Y525</f>
        <v>45060.914012399997</v>
      </c>
      <c r="D90" s="178">
        <f>'Prof Serv'!N562</f>
        <v>0</v>
      </c>
      <c r="E90" s="178">
        <f>'Prof Serv'!N498</f>
        <v>0</v>
      </c>
      <c r="F90" s="178">
        <f>Travel!P434</f>
        <v>0</v>
      </c>
      <c r="G90" s="178">
        <f>'Other Operating Expenses'!N697</f>
        <v>0</v>
      </c>
      <c r="H90" s="178">
        <f>Supplies!N354</f>
        <v>0</v>
      </c>
      <c r="I90" s="178">
        <f>'Prof Serv'!N434</f>
        <v>0</v>
      </c>
      <c r="J90" s="178">
        <v>0</v>
      </c>
      <c r="K90" s="178">
        <v>0</v>
      </c>
      <c r="L90" s="178">
        <v>0</v>
      </c>
      <c r="M90" s="178">
        <f>HR!N525*'Total Expenses'!$M$73</f>
        <v>7774.4440350719997</v>
      </c>
      <c r="N90" s="178">
        <f t="shared" si="34"/>
        <v>0</v>
      </c>
      <c r="O90" s="178">
        <f t="shared" si="35"/>
        <v>37182.067861391479</v>
      </c>
      <c r="P90" s="487">
        <f t="shared" si="36"/>
        <v>-90017.425908863472</v>
      </c>
      <c r="X90" s="506"/>
      <c r="Y90" s="478">
        <v>2.5999999999999999E-3</v>
      </c>
      <c r="Z90" s="672">
        <f>(C90*1.47)+D90+E90+F90+G90+H90+I90+J90+K90</f>
        <v>66239.543598227989</v>
      </c>
      <c r="AA90" s="2"/>
    </row>
    <row r="91" spans="1:27" ht="15" x14ac:dyDescent="0.25">
      <c r="A91" s="176" t="s">
        <v>114</v>
      </c>
      <c r="B91" s="177">
        <f t="shared" si="33"/>
        <v>1901565.3695704984</v>
      </c>
      <c r="C91" s="178">
        <f>HR!Y526</f>
        <v>865921.31821680011</v>
      </c>
      <c r="D91" s="178">
        <f>'Prof Serv'!N563</f>
        <v>3500</v>
      </c>
      <c r="E91" s="178">
        <f>'Prof Serv'!N499</f>
        <v>0</v>
      </c>
      <c r="F91" s="178">
        <f>Travel!P435</f>
        <v>6805</v>
      </c>
      <c r="G91" s="178">
        <f>'Other Operating Expenses'!N698</f>
        <v>6241.5</v>
      </c>
      <c r="H91" s="178">
        <f>Supplies!N355</f>
        <v>1950</v>
      </c>
      <c r="I91" s="178">
        <f>'Prof Serv'!N435</f>
        <v>67500</v>
      </c>
      <c r="J91" s="178">
        <v>0</v>
      </c>
      <c r="K91" s="178">
        <v>0</v>
      </c>
      <c r="L91" s="178">
        <v>0</v>
      </c>
      <c r="M91" s="178">
        <f>HR!N526*'Total Expenses'!$M$73</f>
        <v>141108.22425190403</v>
      </c>
      <c r="N91" s="178">
        <f t="shared" si="34"/>
        <v>0</v>
      </c>
      <c r="O91" s="178">
        <f t="shared" si="35"/>
        <v>808539.3271017943</v>
      </c>
      <c r="P91" s="487">
        <f>Revenues!Y20+Revenues!Y21+Revenues!Y22+Revenues!Y23+Revenues!Y32+Revenues!Y33-B91</f>
        <v>-1087744.3695704984</v>
      </c>
      <c r="X91" s="506">
        <f>479-479</f>
        <v>0</v>
      </c>
      <c r="Y91" s="478">
        <v>9.8100000000000007E-2</v>
      </c>
      <c r="Z91" s="506"/>
      <c r="AA91" s="2">
        <f t="shared" ref="AA91:AA96" si="37">B91</f>
        <v>1901565.3695704984</v>
      </c>
    </row>
    <row r="92" spans="1:27" ht="15" x14ac:dyDescent="0.25">
      <c r="A92" s="176" t="s">
        <v>140</v>
      </c>
      <c r="B92" s="177">
        <f t="shared" si="33"/>
        <v>77480.580972148469</v>
      </c>
      <c r="C92" s="178">
        <f>HR!Y527</f>
        <v>38786.964719999996</v>
      </c>
      <c r="D92" s="178">
        <f>'Prof Serv'!N564</f>
        <v>0</v>
      </c>
      <c r="E92" s="178">
        <f>'Prof Serv'!N500</f>
        <v>0</v>
      </c>
      <c r="F92" s="178">
        <f>Travel!P436</f>
        <v>0</v>
      </c>
      <c r="G92" s="178">
        <f>'Other Operating Expenses'!N699</f>
        <v>0</v>
      </c>
      <c r="H92" s="178">
        <f>Supplies!N356</f>
        <v>0</v>
      </c>
      <c r="I92" s="178">
        <f>'Prof Serv'!N436</f>
        <v>0</v>
      </c>
      <c r="J92" s="178">
        <v>0</v>
      </c>
      <c r="K92" s="178">
        <v>0</v>
      </c>
      <c r="L92" s="178">
        <v>0</v>
      </c>
      <c r="M92" s="178">
        <f>HR!N527*'Total Expenses'!$M$73</f>
        <v>5448.2262016000004</v>
      </c>
      <c r="N92" s="178">
        <f t="shared" si="34"/>
        <v>0</v>
      </c>
      <c r="O92" s="178">
        <f t="shared" si="35"/>
        <v>33245.390050548471</v>
      </c>
      <c r="P92" s="487">
        <f t="shared" si="36"/>
        <v>-77480.580972148469</v>
      </c>
      <c r="X92" s="506"/>
      <c r="Y92" s="478">
        <v>5.4000000000000003E-3</v>
      </c>
      <c r="Z92" s="506"/>
      <c r="AA92" s="2">
        <f t="shared" si="37"/>
        <v>77480.580972148469</v>
      </c>
    </row>
    <row r="93" spans="1:27" ht="15" x14ac:dyDescent="0.25">
      <c r="A93" s="176" t="s">
        <v>166</v>
      </c>
      <c r="B93" s="177">
        <f t="shared" si="33"/>
        <v>0</v>
      </c>
      <c r="C93" s="178">
        <f>HR!Y528</f>
        <v>0</v>
      </c>
      <c r="D93" s="178">
        <f>'Prof Serv'!N565</f>
        <v>0</v>
      </c>
      <c r="E93" s="178">
        <f>'Prof Serv'!N501</f>
        <v>0</v>
      </c>
      <c r="F93" s="178">
        <f>Travel!P437</f>
        <v>0</v>
      </c>
      <c r="G93" s="178">
        <f>'Other Operating Expenses'!N700</f>
        <v>0</v>
      </c>
      <c r="H93" s="178">
        <f>Supplies!N357</f>
        <v>0</v>
      </c>
      <c r="I93" s="178">
        <f>'Prof Serv'!N437</f>
        <v>0</v>
      </c>
      <c r="J93" s="178">
        <v>0</v>
      </c>
      <c r="K93" s="178">
        <v>0</v>
      </c>
      <c r="L93" s="178">
        <v>0</v>
      </c>
      <c r="M93" s="178">
        <f>HR!N528*'Total Expenses'!$M$73</f>
        <v>0</v>
      </c>
      <c r="N93" s="178">
        <f t="shared" si="34"/>
        <v>0</v>
      </c>
      <c r="O93" s="178">
        <f t="shared" si="35"/>
        <v>0</v>
      </c>
      <c r="P93" s="487">
        <f t="shared" si="36"/>
        <v>0</v>
      </c>
      <c r="X93" s="506"/>
      <c r="Y93" s="478">
        <v>2.5000000000000001E-3</v>
      </c>
      <c r="Z93" s="506"/>
      <c r="AA93" s="580">
        <f t="shared" si="37"/>
        <v>0</v>
      </c>
    </row>
    <row r="94" spans="1:27" ht="15" x14ac:dyDescent="0.25">
      <c r="A94" s="176" t="s">
        <v>63</v>
      </c>
      <c r="B94" s="177">
        <f t="shared" si="33"/>
        <v>54091.525063800327</v>
      </c>
      <c r="C94" s="178">
        <f>HR!Y529</f>
        <v>26257.308480000003</v>
      </c>
      <c r="D94" s="178">
        <f>'Prof Serv'!N566</f>
        <v>0</v>
      </c>
      <c r="E94" s="178">
        <f>'Prof Serv'!N502</f>
        <v>0</v>
      </c>
      <c r="F94" s="178">
        <f>Travel!P438</f>
        <v>0</v>
      </c>
      <c r="G94" s="178">
        <f>'Other Operating Expenses'!N701</f>
        <v>820.02</v>
      </c>
      <c r="H94" s="178">
        <f>Supplies!N358</f>
        <v>0</v>
      </c>
      <c r="I94" s="178">
        <f>'Prof Serv'!N438</f>
        <v>0</v>
      </c>
      <c r="J94" s="178">
        <v>0</v>
      </c>
      <c r="K94" s="178">
        <v>0</v>
      </c>
      <c r="L94" s="178">
        <v>0</v>
      </c>
      <c r="M94" s="178">
        <f>HR!N529*'Total Expenses'!$M$73</f>
        <v>4530.2226944000004</v>
      </c>
      <c r="N94" s="178">
        <f t="shared" si="34"/>
        <v>0</v>
      </c>
      <c r="O94" s="178">
        <f t="shared" si="35"/>
        <v>22483.973889400324</v>
      </c>
      <c r="P94" s="487">
        <f>Revenues!Y37-B94</f>
        <v>476020.47493619967</v>
      </c>
      <c r="X94" s="506"/>
      <c r="Y94" s="478">
        <v>1.1999999999999999E-3</v>
      </c>
      <c r="Z94" s="506"/>
      <c r="AA94" s="2">
        <f t="shared" si="37"/>
        <v>54091.525063800327</v>
      </c>
    </row>
    <row r="95" spans="1:27" ht="15" x14ac:dyDescent="0.25">
      <c r="A95" s="176" t="s">
        <v>64</v>
      </c>
      <c r="B95" s="177">
        <f t="shared" si="33"/>
        <v>54091.505091800325</v>
      </c>
      <c r="C95" s="178">
        <f>HR!Y530</f>
        <v>26257.308480000003</v>
      </c>
      <c r="D95" s="178">
        <f>'Prof Serv'!N567</f>
        <v>0</v>
      </c>
      <c r="E95" s="178">
        <f>'Prof Serv'!N503</f>
        <v>0</v>
      </c>
      <c r="F95" s="178">
        <f>Travel!P439</f>
        <v>0</v>
      </c>
      <c r="G95" s="178">
        <f>'Other Operating Expenses'!N702</f>
        <v>820.01</v>
      </c>
      <c r="H95" s="178">
        <f>Supplies!N359</f>
        <v>0</v>
      </c>
      <c r="I95" s="178">
        <f>'Prof Serv'!N439</f>
        <v>0</v>
      </c>
      <c r="J95" s="178">
        <v>0</v>
      </c>
      <c r="K95" s="178">
        <v>0</v>
      </c>
      <c r="L95" s="178">
        <v>0</v>
      </c>
      <c r="M95" s="178">
        <f>HR!N530*'Total Expenses'!$M$73</f>
        <v>4530.2226944000004</v>
      </c>
      <c r="N95" s="178">
        <f t="shared" si="34"/>
        <v>0</v>
      </c>
      <c r="O95" s="178">
        <f t="shared" si="35"/>
        <v>22483.96391740032</v>
      </c>
      <c r="P95" s="487">
        <f>Revenues!Y38-B95</f>
        <v>1370912.4949081996</v>
      </c>
      <c r="X95" s="506"/>
      <c r="Y95" s="478">
        <v>8.9999999999999998E-4</v>
      </c>
      <c r="Z95" s="506"/>
      <c r="AA95" s="2">
        <f t="shared" si="37"/>
        <v>54091.505091800325</v>
      </c>
    </row>
    <row r="96" spans="1:27" ht="15" x14ac:dyDescent="0.25">
      <c r="A96" s="176" t="s">
        <v>796</v>
      </c>
      <c r="B96" s="177">
        <f t="shared" si="33"/>
        <v>204112.33983648542</v>
      </c>
      <c r="C96" s="178">
        <f>HR!Y531</f>
        <v>101377.29665999999</v>
      </c>
      <c r="D96" s="178">
        <f>'Prof Serv'!N568</f>
        <v>0</v>
      </c>
      <c r="E96" s="178">
        <f>'Prof Serv'!N504</f>
        <v>0</v>
      </c>
      <c r="F96" s="178">
        <f>Travel!P440</f>
        <v>0</v>
      </c>
      <c r="G96" s="178">
        <f>'Other Operating Expenses'!N703</f>
        <v>800</v>
      </c>
      <c r="H96" s="178">
        <f>Supplies!N360</f>
        <v>0</v>
      </c>
      <c r="I96" s="178">
        <f>'Prof Serv'!N440</f>
        <v>0</v>
      </c>
      <c r="J96" s="178">
        <v>0</v>
      </c>
      <c r="K96" s="178">
        <v>0</v>
      </c>
      <c r="L96" s="178">
        <v>0</v>
      </c>
      <c r="M96" s="178">
        <f>HR!N531*'Total Expenses'!$M$73</f>
        <v>15658.195404800001</v>
      </c>
      <c r="N96" s="178">
        <f t="shared" si="34"/>
        <v>0</v>
      </c>
      <c r="O96" s="178">
        <f t="shared" si="35"/>
        <v>86276.847771685425</v>
      </c>
      <c r="P96" s="487">
        <f>Revenues!Y107+Revenues!Y108-B96</f>
        <v>-154112.33983648542</v>
      </c>
      <c r="X96" s="506"/>
      <c r="Y96" s="478">
        <v>7.7999999999999996E-3</v>
      </c>
      <c r="Z96" s="506"/>
      <c r="AA96" s="2">
        <f t="shared" si="37"/>
        <v>204112.33983648542</v>
      </c>
    </row>
    <row r="97" spans="1:27" ht="15" x14ac:dyDescent="0.25">
      <c r="A97" s="176" t="s">
        <v>145</v>
      </c>
      <c r="B97" s="177">
        <f t="shared" si="33"/>
        <v>74234.006923730398</v>
      </c>
      <c r="C97" s="178">
        <f>HR!Y532</f>
        <v>37161.489091200005</v>
      </c>
      <c r="D97" s="178">
        <f>'Prof Serv'!N569</f>
        <v>0</v>
      </c>
      <c r="E97" s="178">
        <f>'Prof Serv'!N505</f>
        <v>0</v>
      </c>
      <c r="F97" s="178">
        <f>Travel!P441</f>
        <v>0</v>
      </c>
      <c r="G97" s="178">
        <f>'Other Operating Expenses'!N704</f>
        <v>0</v>
      </c>
      <c r="H97" s="178">
        <f>Supplies!N361</f>
        <v>0</v>
      </c>
      <c r="I97" s="178">
        <f>'Prof Serv'!N441</f>
        <v>0</v>
      </c>
      <c r="J97" s="178">
        <v>0</v>
      </c>
      <c r="K97" s="178">
        <v>0</v>
      </c>
      <c r="L97" s="178">
        <v>0</v>
      </c>
      <c r="M97" s="178">
        <f>HR!N532*'Total Expenses'!$M$73</f>
        <v>5386.0395663360014</v>
      </c>
      <c r="N97" s="178">
        <f t="shared" si="34"/>
        <v>0</v>
      </c>
      <c r="O97" s="178">
        <f t="shared" si="35"/>
        <v>31686.478266194383</v>
      </c>
      <c r="P97" s="487">
        <f>Revenues!Y132-B97</f>
        <v>152925.9930762696</v>
      </c>
      <c r="X97" s="506"/>
      <c r="Y97" s="478">
        <v>1.6999999999999999E-3</v>
      </c>
      <c r="Z97" s="672">
        <f t="shared" ref="Z97:Z112" si="38">(C97*1.47)+D97+E97+F97+G97+H97+I97+J97+K97</f>
        <v>54627.388964064005</v>
      </c>
      <c r="AA97" s="2"/>
    </row>
    <row r="98" spans="1:27" ht="15" x14ac:dyDescent="0.25">
      <c r="A98" s="176" t="s">
        <v>159</v>
      </c>
      <c r="B98" s="177">
        <f t="shared" si="33"/>
        <v>222928.04275711247</v>
      </c>
      <c r="C98" s="178">
        <f>HR!Y533</f>
        <v>89998.520648399994</v>
      </c>
      <c r="D98" s="178">
        <f>'Prof Serv'!N570</f>
        <v>18300</v>
      </c>
      <c r="E98" s="178">
        <f>'Prof Serv'!N506</f>
        <v>0</v>
      </c>
      <c r="F98" s="178">
        <f>Travel!P442</f>
        <v>3000</v>
      </c>
      <c r="G98" s="178">
        <f>'Other Operating Expenses'!N705</f>
        <v>100</v>
      </c>
      <c r="H98" s="178">
        <f>Supplies!N362</f>
        <v>200</v>
      </c>
      <c r="I98" s="178">
        <f>'Prof Serv'!N442</f>
        <v>0</v>
      </c>
      <c r="J98" s="178">
        <v>0</v>
      </c>
      <c r="K98" s="178">
        <v>0</v>
      </c>
      <c r="L98" s="178">
        <v>0</v>
      </c>
      <c r="M98" s="178">
        <f>HR!N533*'Total Expenses'!$M$73</f>
        <v>15527.613617151999</v>
      </c>
      <c r="N98" s="178">
        <f t="shared" si="34"/>
        <v>0</v>
      </c>
      <c r="O98" s="178">
        <f t="shared" si="35"/>
        <v>95801.908491560491</v>
      </c>
      <c r="P98" s="487">
        <f>Revenues!Y137-B98</f>
        <v>-69830.042757112475</v>
      </c>
      <c r="X98" s="506"/>
      <c r="Y98" s="478">
        <v>0</v>
      </c>
      <c r="Z98" s="672">
        <f t="shared" si="38"/>
        <v>153897.82535314799</v>
      </c>
      <c r="AA98" s="2"/>
    </row>
    <row r="99" spans="1:27" ht="15" x14ac:dyDescent="0.25">
      <c r="A99" s="176" t="s">
        <v>147</v>
      </c>
      <c r="B99" s="177">
        <f t="shared" si="33"/>
        <v>34988.638396370385</v>
      </c>
      <c r="C99" s="178">
        <f>HR!Y534</f>
        <v>17514.6090912</v>
      </c>
      <c r="D99" s="178">
        <f>'Prof Serv'!N571</f>
        <v>0</v>
      </c>
      <c r="E99" s="178">
        <f>'Prof Serv'!N507</f>
        <v>0</v>
      </c>
      <c r="F99" s="178">
        <f>Travel!P443</f>
        <v>0</v>
      </c>
      <c r="G99" s="178">
        <f>'Other Operating Expenses'!N706</f>
        <v>0</v>
      </c>
      <c r="H99" s="178">
        <f>Supplies!N363</f>
        <v>0</v>
      </c>
      <c r="I99" s="178">
        <f>'Prof Serv'!N443</f>
        <v>0</v>
      </c>
      <c r="J99" s="178">
        <v>0</v>
      </c>
      <c r="K99" s="178">
        <v>0</v>
      </c>
      <c r="L99" s="178">
        <v>0</v>
      </c>
      <c r="M99" s="178">
        <f>HR!N534*'Total Expenses'!$M$73</f>
        <v>3021.8283663360003</v>
      </c>
      <c r="N99" s="178">
        <f t="shared" si="34"/>
        <v>0</v>
      </c>
      <c r="O99" s="178">
        <f t="shared" si="35"/>
        <v>14452.200938834381</v>
      </c>
      <c r="P99" s="487">
        <f t="shared" si="36"/>
        <v>-34988.638396370385</v>
      </c>
      <c r="X99" s="506"/>
      <c r="Y99" s="478">
        <v>1.1999999999999999E-3</v>
      </c>
      <c r="Z99" s="672">
        <f t="shared" si="38"/>
        <v>25746.475364064001</v>
      </c>
      <c r="AA99" s="2"/>
    </row>
    <row r="100" spans="1:27" ht="15" x14ac:dyDescent="0.25">
      <c r="A100" s="176" t="s">
        <v>150</v>
      </c>
      <c r="B100" s="177">
        <f t="shared" si="33"/>
        <v>74304.667521169918</v>
      </c>
      <c r="C100" s="178">
        <f>HR!Y535</f>
        <v>37196.702879999997</v>
      </c>
      <c r="D100" s="178">
        <f>'Prof Serv'!N572</f>
        <v>0</v>
      </c>
      <c r="E100" s="178">
        <f>'Prof Serv'!N508</f>
        <v>0</v>
      </c>
      <c r="F100" s="178">
        <f>Travel!P444</f>
        <v>0</v>
      </c>
      <c r="G100" s="178">
        <f>'Other Operating Expenses'!N707</f>
        <v>0</v>
      </c>
      <c r="H100" s="178">
        <f>Supplies!N364</f>
        <v>0</v>
      </c>
      <c r="I100" s="178">
        <f>'Prof Serv'!N444</f>
        <v>0</v>
      </c>
      <c r="J100" s="178">
        <v>0</v>
      </c>
      <c r="K100" s="178">
        <v>0</v>
      </c>
      <c r="L100" s="178">
        <v>0</v>
      </c>
      <c r="M100" s="178">
        <f>HR!N535*'Total Expenses'!$M$73</f>
        <v>5504.4747264000007</v>
      </c>
      <c r="N100" s="178">
        <f t="shared" si="34"/>
        <v>0</v>
      </c>
      <c r="O100" s="178">
        <f t="shared" si="35"/>
        <v>31603.489914769918</v>
      </c>
      <c r="P100" s="487">
        <f t="shared" si="36"/>
        <v>-74304.667521169918</v>
      </c>
      <c r="X100" s="506"/>
      <c r="Y100" s="478">
        <v>5.0000000000000001E-4</v>
      </c>
      <c r="Z100" s="672">
        <f t="shared" si="38"/>
        <v>54679.153233599995</v>
      </c>
      <c r="AA100" s="2"/>
    </row>
    <row r="101" spans="1:27" ht="15" x14ac:dyDescent="0.25">
      <c r="A101" s="176" t="s">
        <v>151</v>
      </c>
      <c r="B101" s="177">
        <f t="shared" si="33"/>
        <v>27321.612879704495</v>
      </c>
      <c r="C101" s="178">
        <f>HR!Y536</f>
        <v>13676.650228799999</v>
      </c>
      <c r="D101" s="178">
        <f>'Prof Serv'!N573</f>
        <v>0</v>
      </c>
      <c r="E101" s="178">
        <f>'Prof Serv'!N509</f>
        <v>0</v>
      </c>
      <c r="F101" s="178">
        <f>Travel!P445</f>
        <v>0</v>
      </c>
      <c r="G101" s="178">
        <f>'Other Operating Expenses'!N708</f>
        <v>0</v>
      </c>
      <c r="H101" s="178">
        <f>Supplies!N365</f>
        <v>0</v>
      </c>
      <c r="I101" s="178">
        <f>'Prof Serv'!N445</f>
        <v>0</v>
      </c>
      <c r="J101" s="178">
        <v>0</v>
      </c>
      <c r="K101" s="178">
        <v>0</v>
      </c>
      <c r="L101" s="178">
        <v>0</v>
      </c>
      <c r="M101" s="178">
        <f>HR!N536*'Total Expenses'!$M$73</f>
        <v>2359.6581232639996</v>
      </c>
      <c r="N101" s="178">
        <f t="shared" si="34"/>
        <v>0</v>
      </c>
      <c r="O101" s="178">
        <f t="shared" si="35"/>
        <v>11285.304527640497</v>
      </c>
      <c r="P101" s="487">
        <f t="shared" si="36"/>
        <v>-27321.612879704495</v>
      </c>
      <c r="X101" s="506"/>
      <c r="Y101" s="478">
        <v>1.9E-3</v>
      </c>
      <c r="Z101" s="672">
        <f t="shared" si="38"/>
        <v>20104.675836335999</v>
      </c>
      <c r="AA101" s="2"/>
    </row>
    <row r="102" spans="1:27" ht="15" x14ac:dyDescent="0.25">
      <c r="A102" s="176" t="s">
        <v>154</v>
      </c>
      <c r="B102" s="177">
        <f t="shared" si="33"/>
        <v>27762.955535755984</v>
      </c>
      <c r="C102" s="178">
        <f>HR!Y537</f>
        <v>13897.577491200002</v>
      </c>
      <c r="D102" s="178">
        <f>'Prof Serv'!N574</f>
        <v>0</v>
      </c>
      <c r="E102" s="178">
        <f>'Prof Serv'!N510</f>
        <v>0</v>
      </c>
      <c r="F102" s="178">
        <f>Travel!P446</f>
        <v>0</v>
      </c>
      <c r="G102" s="178">
        <f>'Other Operating Expenses'!N709</f>
        <v>0</v>
      </c>
      <c r="H102" s="178">
        <f>Supplies!N366</f>
        <v>0</v>
      </c>
      <c r="I102" s="178">
        <f>'Prof Serv'!N446</f>
        <v>0</v>
      </c>
      <c r="J102" s="178">
        <v>0</v>
      </c>
      <c r="K102" s="178">
        <v>0</v>
      </c>
      <c r="L102" s="178">
        <v>0</v>
      </c>
      <c r="M102" s="178">
        <f>HR!N537*'Total Expenses'!$M$73</f>
        <v>2397.7751183360001</v>
      </c>
      <c r="N102" s="178">
        <f t="shared" si="34"/>
        <v>0</v>
      </c>
      <c r="O102" s="178">
        <f t="shared" si="35"/>
        <v>11467.602926219983</v>
      </c>
      <c r="P102" s="487">
        <f t="shared" si="36"/>
        <v>-27762.955535755984</v>
      </c>
      <c r="X102" s="506"/>
      <c r="Y102" s="478">
        <v>1.2999999999999999E-3</v>
      </c>
      <c r="Z102" s="672">
        <f t="shared" si="38"/>
        <v>20429.438912064001</v>
      </c>
      <c r="AA102" s="2"/>
    </row>
    <row r="103" spans="1:27" ht="15" x14ac:dyDescent="0.25">
      <c r="A103" s="176" t="s">
        <v>149</v>
      </c>
      <c r="B103" s="177">
        <f t="shared" si="33"/>
        <v>45961.570653873634</v>
      </c>
      <c r="C103" s="178">
        <f>HR!Y538</f>
        <v>23007.438417599999</v>
      </c>
      <c r="D103" s="178">
        <f>'Prof Serv'!N575</f>
        <v>0</v>
      </c>
      <c r="E103" s="178">
        <f>'Prof Serv'!N511</f>
        <v>0</v>
      </c>
      <c r="F103" s="178">
        <f>Travel!P447</f>
        <v>0</v>
      </c>
      <c r="G103" s="178">
        <f>'Other Operating Expenses'!N710</f>
        <v>0</v>
      </c>
      <c r="H103" s="178">
        <f>Supplies!N367</f>
        <v>0</v>
      </c>
      <c r="I103" s="178">
        <f>'Prof Serv'!N447</f>
        <v>0</v>
      </c>
      <c r="J103" s="178">
        <v>0</v>
      </c>
      <c r="K103" s="178">
        <v>0</v>
      </c>
      <c r="L103" s="178">
        <v>0</v>
      </c>
      <c r="M103" s="178">
        <f>HR!N538*'Total Expenses'!$M$73</f>
        <v>3969.5165153280004</v>
      </c>
      <c r="N103" s="178">
        <f t="shared" si="34"/>
        <v>0</v>
      </c>
      <c r="O103" s="178">
        <f t="shared" si="35"/>
        <v>18984.615720945636</v>
      </c>
      <c r="P103" s="487">
        <f t="shared" si="36"/>
        <v>-45961.570653873634</v>
      </c>
      <c r="X103" s="506"/>
      <c r="Y103" s="478">
        <v>1.9E-3</v>
      </c>
      <c r="Z103" s="672">
        <f t="shared" si="38"/>
        <v>33820.934473871996</v>
      </c>
      <c r="AA103" s="2"/>
    </row>
    <row r="104" spans="1:27" ht="15" x14ac:dyDescent="0.25">
      <c r="A104" s="176" t="s">
        <v>152</v>
      </c>
      <c r="B104" s="177">
        <f t="shared" si="33"/>
        <v>24127.8724612843</v>
      </c>
      <c r="C104" s="178">
        <f>HR!Y539</f>
        <v>12077.927971200001</v>
      </c>
      <c r="D104" s="178">
        <f>'Prof Serv'!N576</f>
        <v>0</v>
      </c>
      <c r="E104" s="178">
        <f>'Prof Serv'!N512</f>
        <v>0</v>
      </c>
      <c r="F104" s="178">
        <f>Travel!P448</f>
        <v>0</v>
      </c>
      <c r="G104" s="178">
        <f>'Other Operating Expenses'!N711</f>
        <v>0</v>
      </c>
      <c r="H104" s="178">
        <f>Supplies!N368</f>
        <v>0</v>
      </c>
      <c r="I104" s="178">
        <f>'Prof Serv'!N448</f>
        <v>0</v>
      </c>
      <c r="J104" s="178">
        <v>0</v>
      </c>
      <c r="K104" s="178">
        <v>0</v>
      </c>
      <c r="L104" s="178">
        <v>0</v>
      </c>
      <c r="M104" s="178">
        <f>HR!N539*'Total Expenses'!$M$73</f>
        <v>2083.8275727360001</v>
      </c>
      <c r="N104" s="178">
        <f t="shared" si="34"/>
        <v>0</v>
      </c>
      <c r="O104" s="178">
        <f t="shared" si="35"/>
        <v>9966.1169173483013</v>
      </c>
      <c r="P104" s="487">
        <f t="shared" si="36"/>
        <v>-24127.8724612843</v>
      </c>
      <c r="X104" s="506"/>
      <c r="Y104" s="478">
        <v>1.6000000000000001E-3</v>
      </c>
      <c r="Z104" s="672">
        <f t="shared" si="38"/>
        <v>17754.554117664</v>
      </c>
      <c r="AA104" s="2"/>
    </row>
    <row r="105" spans="1:27" ht="15" x14ac:dyDescent="0.25">
      <c r="A105" s="176" t="s">
        <v>167</v>
      </c>
      <c r="B105" s="177">
        <f t="shared" si="33"/>
        <v>177225.33679882975</v>
      </c>
      <c r="C105" s="178">
        <f>HR!Y540</f>
        <v>88488.586139999999</v>
      </c>
      <c r="D105" s="178">
        <f>'Prof Serv'!N577</f>
        <v>0</v>
      </c>
      <c r="E105" s="178">
        <f>'Prof Serv'!N513</f>
        <v>0</v>
      </c>
      <c r="F105" s="178">
        <f>Travel!P449</f>
        <v>0</v>
      </c>
      <c r="G105" s="178">
        <f>'Other Operating Expenses'!N712</f>
        <v>232.97</v>
      </c>
      <c r="H105" s="178">
        <f>Supplies!N369</f>
        <v>0</v>
      </c>
      <c r="I105" s="178">
        <f>'Prof Serv'!N449</f>
        <v>0</v>
      </c>
      <c r="J105" s="178">
        <v>0</v>
      </c>
      <c r="K105" s="178">
        <v>0</v>
      </c>
      <c r="L105" s="178">
        <v>0</v>
      </c>
      <c r="M105" s="178">
        <f>HR!N540*'Total Expenses'!$M$73</f>
        <v>10944.598579200001</v>
      </c>
      <c r="N105" s="178">
        <f t="shared" si="34"/>
        <v>0</v>
      </c>
      <c r="O105" s="178">
        <f t="shared" si="35"/>
        <v>77559.182079629754</v>
      </c>
      <c r="P105" s="487">
        <f t="shared" si="36"/>
        <v>-177225.33679882975</v>
      </c>
      <c r="X105" s="506"/>
      <c r="Y105" s="478">
        <v>1.7899999999999999E-2</v>
      </c>
      <c r="Z105" s="672">
        <f t="shared" si="38"/>
        <v>130311.1916258</v>
      </c>
      <c r="AA105" s="2"/>
    </row>
    <row r="106" spans="1:27" ht="15" x14ac:dyDescent="0.25">
      <c r="A106" s="176" t="s">
        <v>130</v>
      </c>
      <c r="B106" s="177">
        <f t="shared" si="33"/>
        <v>91880.253664081916</v>
      </c>
      <c r="C106" s="178">
        <f>HR!Y541</f>
        <v>44493.770879999996</v>
      </c>
      <c r="D106" s="178">
        <f>'Prof Serv'!N578</f>
        <v>0</v>
      </c>
      <c r="E106" s="178">
        <f>'Prof Serv'!N514</f>
        <v>0</v>
      </c>
      <c r="F106" s="178">
        <f>Travel!P450</f>
        <v>1500</v>
      </c>
      <c r="G106" s="178">
        <f>'Other Operating Expenses'!N713</f>
        <v>0</v>
      </c>
      <c r="H106" s="178">
        <f>Supplies!N370</f>
        <v>0</v>
      </c>
      <c r="I106" s="178">
        <f>'Prof Serv'!N450</f>
        <v>0</v>
      </c>
      <c r="J106" s="178">
        <v>0</v>
      </c>
      <c r="K106" s="178">
        <v>0</v>
      </c>
      <c r="L106" s="178">
        <v>0</v>
      </c>
      <c r="M106" s="178">
        <f>HR!N541*'Total Expenses'!$M$73</f>
        <v>7676.5937663999994</v>
      </c>
      <c r="N106" s="178">
        <f t="shared" si="34"/>
        <v>0</v>
      </c>
      <c r="O106" s="178">
        <f t="shared" si="35"/>
        <v>38209.889017681911</v>
      </c>
      <c r="P106" s="487">
        <f>Revenues!Y125+Revenues!Y126-B106</f>
        <v>246024.24633591808</v>
      </c>
      <c r="X106" s="506"/>
      <c r="Y106" s="478">
        <v>4.4000000000000003E-3</v>
      </c>
      <c r="Z106" s="672">
        <f t="shared" si="38"/>
        <v>66905.843193599983</v>
      </c>
      <c r="AA106" s="2"/>
    </row>
    <row r="107" spans="1:27" ht="15" x14ac:dyDescent="0.25">
      <c r="A107" s="176" t="s">
        <v>157</v>
      </c>
      <c r="B107" s="177">
        <f t="shared" si="33"/>
        <v>6843.5828198400013</v>
      </c>
      <c r="C107" s="178">
        <f>HR!Y542</f>
        <v>3425.7600000000007</v>
      </c>
      <c r="D107" s="178">
        <f>'Prof Serv'!N579</f>
        <v>0</v>
      </c>
      <c r="E107" s="178">
        <f>'Prof Serv'!N515</f>
        <v>0</v>
      </c>
      <c r="F107" s="178">
        <f>Travel!P451</f>
        <v>0</v>
      </c>
      <c r="G107" s="178">
        <f>'Other Operating Expenses'!N714</f>
        <v>0</v>
      </c>
      <c r="H107" s="178">
        <f>Supplies!N371</f>
        <v>0</v>
      </c>
      <c r="I107" s="178">
        <f>'Prof Serv'!N451</f>
        <v>0</v>
      </c>
      <c r="J107" s="178">
        <v>0</v>
      </c>
      <c r="K107" s="178">
        <v>0</v>
      </c>
      <c r="L107" s="178">
        <v>0</v>
      </c>
      <c r="M107" s="178">
        <f>HR!N542*'Total Expenses'!$M$73</f>
        <v>591.05280000000016</v>
      </c>
      <c r="N107" s="178">
        <f t="shared" si="34"/>
        <v>0</v>
      </c>
      <c r="O107" s="178">
        <f t="shared" si="35"/>
        <v>2826.7700198400007</v>
      </c>
      <c r="P107" s="487">
        <f t="shared" si="36"/>
        <v>-6843.5828198400013</v>
      </c>
      <c r="X107" s="506"/>
      <c r="Y107" s="478">
        <v>0</v>
      </c>
      <c r="Z107" s="672">
        <f t="shared" si="38"/>
        <v>5035.8672000000006</v>
      </c>
      <c r="AA107" s="2"/>
    </row>
    <row r="108" spans="1:27" ht="15" x14ac:dyDescent="0.25">
      <c r="A108" s="176" t="s">
        <v>158</v>
      </c>
      <c r="B108" s="177">
        <f t="shared" ref="B108:B139" si="39">SUM(C108:O108)</f>
        <v>6843.5828198400013</v>
      </c>
      <c r="C108" s="178">
        <f>HR!Y543</f>
        <v>3425.7600000000007</v>
      </c>
      <c r="D108" s="178">
        <f>'Prof Serv'!N580</f>
        <v>0</v>
      </c>
      <c r="E108" s="178">
        <f>'Prof Serv'!N516</f>
        <v>0</v>
      </c>
      <c r="F108" s="178">
        <f>Travel!P452</f>
        <v>0</v>
      </c>
      <c r="G108" s="178">
        <f>'Other Operating Expenses'!N715</f>
        <v>0</v>
      </c>
      <c r="H108" s="178">
        <f>Supplies!N372</f>
        <v>0</v>
      </c>
      <c r="I108" s="178">
        <f>'Prof Serv'!N452</f>
        <v>0</v>
      </c>
      <c r="J108" s="178">
        <v>0</v>
      </c>
      <c r="K108" s="178">
        <v>0</v>
      </c>
      <c r="L108" s="178">
        <v>0</v>
      </c>
      <c r="M108" s="178">
        <f>HR!N543*'Total Expenses'!$M$73</f>
        <v>591.05280000000016</v>
      </c>
      <c r="N108" s="178">
        <f t="shared" ref="N108:N135" si="40">21.11*X108</f>
        <v>0</v>
      </c>
      <c r="O108" s="178">
        <f t="shared" si="35"/>
        <v>2826.7700198400007</v>
      </c>
      <c r="P108" s="487">
        <f t="shared" si="36"/>
        <v>-6843.5828198400013</v>
      </c>
      <c r="X108" s="506"/>
      <c r="Y108" s="478">
        <v>0</v>
      </c>
      <c r="Z108" s="672">
        <f t="shared" si="38"/>
        <v>5035.8672000000006</v>
      </c>
      <c r="AA108" s="2"/>
    </row>
    <row r="109" spans="1:27" ht="15" x14ac:dyDescent="0.25">
      <c r="A109" s="176" t="s">
        <v>162</v>
      </c>
      <c r="B109" s="177">
        <f t="shared" si="39"/>
        <v>128422.54234954889</v>
      </c>
      <c r="C109" s="178">
        <f>HR!Y544</f>
        <v>49879.727913599992</v>
      </c>
      <c r="D109" s="178">
        <f>'Prof Serv'!N581</f>
        <v>8000</v>
      </c>
      <c r="E109" s="178">
        <f>'Prof Serv'!N517</f>
        <v>0</v>
      </c>
      <c r="F109" s="178">
        <f>Travel!P453</f>
        <v>4500</v>
      </c>
      <c r="G109" s="178">
        <f>'Other Operating Expenses'!N716</f>
        <v>1509.5</v>
      </c>
      <c r="H109" s="178">
        <f>Supplies!N373</f>
        <v>400</v>
      </c>
      <c r="I109" s="178">
        <f>'Prof Serv'!N453</f>
        <v>0</v>
      </c>
      <c r="J109" s="178">
        <v>0</v>
      </c>
      <c r="K109" s="178">
        <v>0</v>
      </c>
      <c r="L109" s="178">
        <v>0</v>
      </c>
      <c r="M109" s="178">
        <f>HR!N544*'Total Expenses'!$M$73</f>
        <v>8605.8430382080005</v>
      </c>
      <c r="N109" s="178">
        <f t="shared" si="40"/>
        <v>0</v>
      </c>
      <c r="O109" s="178">
        <f t="shared" ref="O109:O135" si="41">(SUM(C109:I109)-SUM(M109:N109))*99.72%</f>
        <v>55527.47139774089</v>
      </c>
      <c r="P109" s="487">
        <f>Revenues!Y138-B109</f>
        <v>-40690.542349548894</v>
      </c>
      <c r="X109" s="506"/>
      <c r="Y109" s="478">
        <v>0</v>
      </c>
      <c r="Z109" s="672">
        <f t="shared" si="38"/>
        <v>87732.700032991983</v>
      </c>
      <c r="AA109" s="2"/>
    </row>
    <row r="110" spans="1:27" ht="15" x14ac:dyDescent="0.25">
      <c r="A110" s="176" t="s">
        <v>124</v>
      </c>
      <c r="B110" s="177">
        <f t="shared" si="39"/>
        <v>768983.55240261508</v>
      </c>
      <c r="C110" s="178">
        <f>HR!Y545</f>
        <v>262376.98749719997</v>
      </c>
      <c r="D110" s="178">
        <f>'Prof Serv'!N582</f>
        <v>118750</v>
      </c>
      <c r="E110" s="178">
        <f>'Prof Serv'!N518</f>
        <v>0</v>
      </c>
      <c r="F110" s="178">
        <f>Travel!P454</f>
        <v>2500</v>
      </c>
      <c r="G110" s="178">
        <f>'Other Operating Expenses'!N717</f>
        <v>897.14</v>
      </c>
      <c r="H110" s="178">
        <f>Supplies!N374</f>
        <v>450</v>
      </c>
      <c r="I110" s="178">
        <f>'Prof Serv'!N454</f>
        <v>0</v>
      </c>
      <c r="J110" s="178">
        <v>0</v>
      </c>
      <c r="K110" s="178">
        <v>0</v>
      </c>
      <c r="L110" s="178">
        <v>0</v>
      </c>
      <c r="M110" s="178">
        <f>HR!N545*'Total Expenses'!$M$73</f>
        <v>40437.487574015999</v>
      </c>
      <c r="N110" s="178">
        <f t="shared" si="40"/>
        <v>0</v>
      </c>
      <c r="O110" s="178">
        <f t="shared" si="41"/>
        <v>343571.93733139907</v>
      </c>
      <c r="P110" s="487">
        <f>Revenues!Y136-B110</f>
        <v>-261693.55240261508</v>
      </c>
      <c r="X110" s="506"/>
      <c r="Y110" s="478">
        <f>0.92%+2.31%</f>
        <v>3.2299999999999995E-2</v>
      </c>
      <c r="Z110" s="672">
        <f t="shared" si="38"/>
        <v>508291.31162088393</v>
      </c>
      <c r="AA110" s="2"/>
    </row>
    <row r="111" spans="1:27" ht="15" x14ac:dyDescent="0.25">
      <c r="A111" s="176" t="s">
        <v>125</v>
      </c>
      <c r="B111" s="177">
        <f t="shared" si="39"/>
        <v>539532.61270944553</v>
      </c>
      <c r="C111" s="178">
        <f>HR!Y546</f>
        <v>109118.89666000001</v>
      </c>
      <c r="D111" s="178">
        <f>'Prof Serv'!N583</f>
        <v>144000</v>
      </c>
      <c r="E111" s="178">
        <f>'Prof Serv'!N519</f>
        <v>0</v>
      </c>
      <c r="F111" s="178">
        <f>Travel!P455</f>
        <v>0</v>
      </c>
      <c r="G111" s="178">
        <f>'Other Operating Expenses'!N718</f>
        <v>16000</v>
      </c>
      <c r="H111" s="178">
        <f>Supplies!N375</f>
        <v>1000</v>
      </c>
      <c r="I111" s="178">
        <f>'Prof Serv'!N455</f>
        <v>0</v>
      </c>
      <c r="J111" s="178">
        <v>0</v>
      </c>
      <c r="K111" s="178">
        <v>0</v>
      </c>
      <c r="L111" s="178">
        <v>0</v>
      </c>
      <c r="M111" s="178">
        <f>HR!N546*'Total Expenses'!$M$73</f>
        <v>18268.678604799999</v>
      </c>
      <c r="N111" s="178">
        <f t="shared" si="40"/>
        <v>0</v>
      </c>
      <c r="O111" s="178">
        <f t="shared" si="41"/>
        <v>251145.03744464548</v>
      </c>
      <c r="P111" s="487">
        <f>Revenues!Y135-B111</f>
        <v>-218127.61270944553</v>
      </c>
      <c r="X111" s="506"/>
      <c r="Y111" s="478">
        <v>1.54E-2</v>
      </c>
      <c r="Z111" s="672">
        <f t="shared" si="38"/>
        <v>321404.77809020004</v>
      </c>
      <c r="AA111" s="2"/>
    </row>
    <row r="112" spans="1:27" ht="15" x14ac:dyDescent="0.25">
      <c r="A112" s="176" t="s">
        <v>156</v>
      </c>
      <c r="B112" s="177">
        <f t="shared" si="39"/>
        <v>3701.5228576809604</v>
      </c>
      <c r="C112" s="178">
        <f>HR!Y547</f>
        <v>1852.9079400000003</v>
      </c>
      <c r="D112" s="178">
        <f>'Prof Serv'!N584</f>
        <v>0</v>
      </c>
      <c r="E112" s="178">
        <f>'Prof Serv'!N520</f>
        <v>0</v>
      </c>
      <c r="F112" s="178">
        <f>Travel!P456</f>
        <v>0</v>
      </c>
      <c r="G112" s="178">
        <f>'Other Operating Expenses'!N719</f>
        <v>0</v>
      </c>
      <c r="H112" s="178">
        <f>Supplies!N376</f>
        <v>0</v>
      </c>
      <c r="I112" s="178">
        <f>'Prof Serv'!N456</f>
        <v>0</v>
      </c>
      <c r="J112" s="178">
        <v>0</v>
      </c>
      <c r="K112" s="178">
        <v>0</v>
      </c>
      <c r="L112" s="178">
        <v>0</v>
      </c>
      <c r="M112" s="178">
        <f>HR!N547*'Total Expenses'!$M$73</f>
        <v>319.68568320000003</v>
      </c>
      <c r="N112" s="178">
        <f t="shared" si="40"/>
        <v>0</v>
      </c>
      <c r="O112" s="178">
        <f t="shared" si="41"/>
        <v>1528.9292344809601</v>
      </c>
      <c r="P112" s="487">
        <f>Revenues!Y124-B112</f>
        <v>-3701.5228576809604</v>
      </c>
      <c r="X112" s="506"/>
      <c r="Y112" s="478">
        <v>0</v>
      </c>
      <c r="Z112" s="672">
        <f t="shared" si="38"/>
        <v>2723.7746718000003</v>
      </c>
      <c r="AA112" s="2"/>
    </row>
    <row r="113" spans="1:27" ht="15" x14ac:dyDescent="0.25">
      <c r="A113" s="176" t="s">
        <v>144</v>
      </c>
      <c r="B113" s="177">
        <f t="shared" si="39"/>
        <v>165216.07376529928</v>
      </c>
      <c r="C113" s="178">
        <f>HR!Y548</f>
        <v>77298.762996000005</v>
      </c>
      <c r="D113" s="178">
        <f>'Prof Serv'!N585</f>
        <v>0</v>
      </c>
      <c r="E113" s="178">
        <f>'Prof Serv'!N521</f>
        <v>0</v>
      </c>
      <c r="F113" s="178">
        <f>Travel!P457</f>
        <v>750</v>
      </c>
      <c r="G113" s="178">
        <f>'Other Operating Expenses'!N720</f>
        <v>4156.3900000000003</v>
      </c>
      <c r="H113" s="178">
        <f>Supplies!N377</f>
        <v>500</v>
      </c>
      <c r="I113" s="178">
        <f>'Prof Serv'!N457</f>
        <v>0</v>
      </c>
      <c r="J113" s="178">
        <v>0</v>
      </c>
      <c r="K113" s="178">
        <v>0</v>
      </c>
      <c r="L113" s="178">
        <v>0</v>
      </c>
      <c r="M113" s="178">
        <f>HR!N548*'Total Expenses'!$M$73</f>
        <v>13336.50060288</v>
      </c>
      <c r="N113" s="178">
        <f t="shared" si="40"/>
        <v>0</v>
      </c>
      <c r="O113" s="178">
        <f t="shared" si="41"/>
        <v>69174.420166419266</v>
      </c>
      <c r="P113" s="487">
        <f>Revenues!Y49-B113</f>
        <v>-111570.00376529928</v>
      </c>
      <c r="X113" s="506"/>
      <c r="Y113" s="478">
        <v>7.1000000000000004E-3</v>
      </c>
      <c r="Z113" s="673">
        <f>(C113*1.47)+D113+E113+F113+G113+H113+I113+J113+K113+M113+N113</f>
        <v>132372.07220700002</v>
      </c>
      <c r="AA113" s="2"/>
    </row>
    <row r="114" spans="1:27" ht="15" x14ac:dyDescent="0.25">
      <c r="A114" s="176" t="s">
        <v>155</v>
      </c>
      <c r="B114" s="177">
        <f t="shared" si="39"/>
        <v>27515.569802634622</v>
      </c>
      <c r="C114" s="178">
        <f>HR!Y549</f>
        <v>13775.244116400001</v>
      </c>
      <c r="D114" s="178">
        <f>'Prof Serv'!N586</f>
        <v>0</v>
      </c>
      <c r="E114" s="178">
        <f>'Prof Serv'!N522</f>
        <v>0</v>
      </c>
      <c r="F114" s="178">
        <f>Travel!P458</f>
        <v>0</v>
      </c>
      <c r="G114" s="178">
        <f>'Other Operating Expenses'!N721</f>
        <v>0</v>
      </c>
      <c r="H114" s="178">
        <f>Supplies!N378</f>
        <v>0</v>
      </c>
      <c r="I114" s="178">
        <f>'Prof Serv'!N458</f>
        <v>0</v>
      </c>
      <c r="J114" s="178">
        <v>0</v>
      </c>
      <c r="K114" s="178">
        <v>0</v>
      </c>
      <c r="L114" s="178">
        <v>0</v>
      </c>
      <c r="M114" s="178">
        <f>HR!N549*'Total Expenses'!$M$73</f>
        <v>1304.3762001920002</v>
      </c>
      <c r="N114" s="178">
        <f t="shared" si="40"/>
        <v>0</v>
      </c>
      <c r="O114" s="178">
        <f t="shared" si="41"/>
        <v>12435.949486042618</v>
      </c>
      <c r="P114" s="487">
        <f t="shared" si="36"/>
        <v>-27515.569802634622</v>
      </c>
      <c r="X114" s="506"/>
      <c r="Y114" s="478">
        <v>1E-4</v>
      </c>
      <c r="Z114" s="673">
        <f>(C114*1.47)+D114+E114+F114+G114+H114+I114+J114+K114+M114+N114</f>
        <v>21553.985051300002</v>
      </c>
      <c r="AA114" s="2"/>
    </row>
    <row r="115" spans="1:27" ht="15" x14ac:dyDescent="0.25">
      <c r="A115" s="176" t="s">
        <v>139</v>
      </c>
      <c r="B115" s="177">
        <f t="shared" si="39"/>
        <v>122174.65048216347</v>
      </c>
      <c r="C115" s="178">
        <f>HR!Y550</f>
        <v>60858.086842799996</v>
      </c>
      <c r="D115" s="178">
        <f>'Prof Serv'!N587</f>
        <v>0</v>
      </c>
      <c r="E115" s="178">
        <f>'Prof Serv'!N523</f>
        <v>0</v>
      </c>
      <c r="F115" s="178">
        <f>Travel!P459</f>
        <v>0</v>
      </c>
      <c r="G115" s="178">
        <f>'Other Operating Expenses'!N722</f>
        <v>300.16000000000003</v>
      </c>
      <c r="H115" s="178">
        <f>Supplies!N379</f>
        <v>0</v>
      </c>
      <c r="I115" s="178">
        <f>'Prof Serv'!N459</f>
        <v>0</v>
      </c>
      <c r="J115" s="178">
        <v>0</v>
      </c>
      <c r="K115" s="178">
        <v>0</v>
      </c>
      <c r="L115" s="178">
        <v>0</v>
      </c>
      <c r="M115" s="178">
        <f>HR!N550*'Total Expenses'!$M$73</f>
        <v>10499.959901184</v>
      </c>
      <c r="N115" s="178">
        <f t="shared" si="40"/>
        <v>0</v>
      </c>
      <c r="O115" s="178">
        <f t="shared" si="41"/>
        <v>50516.443738179471</v>
      </c>
      <c r="P115" s="487">
        <f t="shared" si="36"/>
        <v>-122174.65048216347</v>
      </c>
      <c r="X115" s="506"/>
      <c r="Y115" s="478">
        <v>1.1999999999999999E-3</v>
      </c>
      <c r="Z115" s="672">
        <f>(C115*1.47)+D115+E115+F115+G115+H115+I115+J115+K115</f>
        <v>89761.547658915995</v>
      </c>
      <c r="AA115" s="2"/>
    </row>
    <row r="116" spans="1:27" ht="15" x14ac:dyDescent="0.25">
      <c r="A116" s="176" t="s">
        <v>138</v>
      </c>
      <c r="B116" s="177">
        <f t="shared" si="39"/>
        <v>123388.77314566655</v>
      </c>
      <c r="C116" s="178">
        <f>HR!Y551</f>
        <v>61665.963839999997</v>
      </c>
      <c r="D116" s="178">
        <f>'Prof Serv'!N588</f>
        <v>100</v>
      </c>
      <c r="E116" s="178">
        <f>'Prof Serv'!N524</f>
        <v>0</v>
      </c>
      <c r="F116" s="178">
        <f>Travel!P460</f>
        <v>0</v>
      </c>
      <c r="G116" s="178">
        <f>'Other Operating Expenses'!N723</f>
        <v>0</v>
      </c>
      <c r="H116" s="178">
        <f>Supplies!N380</f>
        <v>0</v>
      </c>
      <c r="I116" s="178">
        <f>'Prof Serv'!N460</f>
        <v>0</v>
      </c>
      <c r="J116" s="178">
        <v>0</v>
      </c>
      <c r="K116" s="178">
        <v>0</v>
      </c>
      <c r="L116" s="178">
        <v>0</v>
      </c>
      <c r="M116" s="178">
        <f>HR!N551*'Total Expenses'!$M$73</f>
        <v>10639.344435200001</v>
      </c>
      <c r="N116" s="178">
        <f t="shared" si="40"/>
        <v>0</v>
      </c>
      <c r="O116" s="178">
        <f t="shared" si="41"/>
        <v>50983.464870466552</v>
      </c>
      <c r="P116" s="487">
        <f>Revenues!Y131-B116</f>
        <v>-68632.77314566655</v>
      </c>
      <c r="V116" s="2"/>
      <c r="X116" s="506"/>
      <c r="Y116" s="478">
        <v>6.3E-3</v>
      </c>
      <c r="Z116" s="672">
        <f>(C116*1.47)+D116+E116+F116+G116+H116+I116+J116+K116</f>
        <v>90748.966844799987</v>
      </c>
      <c r="AA116" s="2"/>
    </row>
    <row r="117" spans="1:27" ht="15" x14ac:dyDescent="0.25">
      <c r="A117" s="176" t="s">
        <v>115</v>
      </c>
      <c r="B117" s="177">
        <f t="shared" si="39"/>
        <v>32753.145641258241</v>
      </c>
      <c r="C117" s="178">
        <f>HR!Y552</f>
        <v>15877.923360000001</v>
      </c>
      <c r="D117" s="178">
        <f>'Prof Serv'!N589</f>
        <v>0</v>
      </c>
      <c r="E117" s="178">
        <f>'Prof Serv'!N525</f>
        <v>0</v>
      </c>
      <c r="F117" s="178">
        <f>Travel!P461</f>
        <v>0</v>
      </c>
      <c r="G117" s="178">
        <f>'Other Operating Expenses'!N724</f>
        <v>519.39</v>
      </c>
      <c r="H117" s="178">
        <f>Supplies!N381</f>
        <v>0</v>
      </c>
      <c r="I117" s="178">
        <f>'Prof Serv'!N461</f>
        <v>0</v>
      </c>
      <c r="J117" s="178">
        <v>0</v>
      </c>
      <c r="K117" s="178">
        <v>0</v>
      </c>
      <c r="L117" s="178">
        <v>0</v>
      </c>
      <c r="M117" s="178">
        <f>HR!N552*'Total Expenses'!$M$73</f>
        <v>1582.6423808000002</v>
      </c>
      <c r="N117" s="178">
        <f t="shared" si="40"/>
        <v>0</v>
      </c>
      <c r="O117" s="178">
        <f t="shared" si="41"/>
        <v>14773.189900458239</v>
      </c>
      <c r="P117" s="487">
        <f t="shared" si="36"/>
        <v>-32753.145641258241</v>
      </c>
      <c r="X117" s="506"/>
      <c r="Y117" s="478">
        <v>8.0000000000000004E-4</v>
      </c>
      <c r="Z117" s="506"/>
      <c r="AA117" s="2">
        <f>B117</f>
        <v>32753.145641258241</v>
      </c>
    </row>
    <row r="118" spans="1:27" ht="15" x14ac:dyDescent="0.25">
      <c r="A118" s="176" t="s">
        <v>65</v>
      </c>
      <c r="B118" s="177">
        <f t="shared" si="39"/>
        <v>33385.56333873696</v>
      </c>
      <c r="C118" s="178">
        <f>HR!Y553</f>
        <v>16712.141940000001</v>
      </c>
      <c r="D118" s="178">
        <f>'Prof Serv'!N590</f>
        <v>0</v>
      </c>
      <c r="E118" s="178">
        <f>'Prof Serv'!N526</f>
        <v>0</v>
      </c>
      <c r="F118" s="178">
        <f>Travel!P462</f>
        <v>0</v>
      </c>
      <c r="G118" s="178">
        <f>'Other Operating Expenses'!N725</f>
        <v>0</v>
      </c>
      <c r="H118" s="178">
        <f>Supplies!N382</f>
        <v>0</v>
      </c>
      <c r="I118" s="178">
        <f>'Prof Serv'!N462</f>
        <v>0</v>
      </c>
      <c r="J118" s="178">
        <v>0</v>
      </c>
      <c r="K118" s="178">
        <v>0</v>
      </c>
      <c r="L118" s="178">
        <v>0</v>
      </c>
      <c r="M118" s="178">
        <f>HR!N553*'Total Expenses'!$M$73</f>
        <v>2883.3772032000002</v>
      </c>
      <c r="N118" s="178">
        <f t="shared" si="40"/>
        <v>0</v>
      </c>
      <c r="O118" s="178">
        <f t="shared" si="41"/>
        <v>13790.044195536961</v>
      </c>
      <c r="P118" s="487">
        <f t="shared" si="36"/>
        <v>-33385.56333873696</v>
      </c>
      <c r="X118" s="506"/>
      <c r="Y118" s="478">
        <v>2.9999999999999997E-4</v>
      </c>
      <c r="Z118" s="506"/>
      <c r="AA118" s="2">
        <f>B118</f>
        <v>33385.56333873696</v>
      </c>
    </row>
    <row r="119" spans="1:27" s="432" customFormat="1" ht="15" x14ac:dyDescent="0.25">
      <c r="A119" s="671" t="s">
        <v>1445</v>
      </c>
      <c r="B119" s="177">
        <f t="shared" si="39"/>
        <v>0</v>
      </c>
      <c r="C119" s="178">
        <f>HR!Y554</f>
        <v>0</v>
      </c>
      <c r="D119" s="178">
        <f>'Prof Serv'!N591</f>
        <v>0</v>
      </c>
      <c r="E119" s="178">
        <f>'Prof Serv'!N527</f>
        <v>0</v>
      </c>
      <c r="F119" s="178">
        <f>Travel!P463</f>
        <v>0</v>
      </c>
      <c r="G119" s="178">
        <f>'Other Operating Expenses'!N726</f>
        <v>0</v>
      </c>
      <c r="H119" s="178">
        <f>Supplies!N383</f>
        <v>0</v>
      </c>
      <c r="I119" s="178">
        <f>'Prof Serv'!N463</f>
        <v>0</v>
      </c>
      <c r="J119" s="178">
        <v>0</v>
      </c>
      <c r="K119" s="178">
        <v>0</v>
      </c>
      <c r="L119" s="178">
        <v>0</v>
      </c>
      <c r="M119" s="178">
        <f>HR!N554*'Total Expenses'!$M$73</f>
        <v>0</v>
      </c>
      <c r="N119" s="178">
        <f t="shared" si="40"/>
        <v>0</v>
      </c>
      <c r="O119" s="178">
        <f t="shared" si="41"/>
        <v>0</v>
      </c>
      <c r="P119" s="487">
        <f>0-B119</f>
        <v>0</v>
      </c>
      <c r="X119" s="506"/>
      <c r="Y119" s="478">
        <v>0</v>
      </c>
      <c r="Z119" s="672">
        <f>(C119*1.47)+D119+E119+F119+G119+H119+I119+J119+K119</f>
        <v>0</v>
      </c>
      <c r="AA119" s="2"/>
    </row>
    <row r="120" spans="1:27" ht="15" x14ac:dyDescent="0.25">
      <c r="A120" s="176" t="s">
        <v>116</v>
      </c>
      <c r="B120" s="177">
        <f t="shared" si="39"/>
        <v>1077814.1515772277</v>
      </c>
      <c r="C120" s="178">
        <f>HR!Y555</f>
        <v>462140.47816200007</v>
      </c>
      <c r="D120" s="178">
        <f>'Prof Serv'!N592</f>
        <v>58400</v>
      </c>
      <c r="E120" s="178">
        <f>'Prof Serv'!N528</f>
        <v>0</v>
      </c>
      <c r="F120" s="178">
        <f>Travel!P464</f>
        <v>13000</v>
      </c>
      <c r="G120" s="178">
        <f>'Other Operating Expenses'!N727</f>
        <v>4516.82</v>
      </c>
      <c r="H120" s="178">
        <f>Supplies!N384</f>
        <v>1500</v>
      </c>
      <c r="I120" s="178">
        <f>'Prof Serv'!N464</f>
        <v>0</v>
      </c>
      <c r="J120" s="178">
        <v>0</v>
      </c>
      <c r="K120" s="178">
        <v>0</v>
      </c>
      <c r="L120" s="178">
        <v>0</v>
      </c>
      <c r="M120" s="178">
        <f>HR!N555*'Total Expenses'!$M$73</f>
        <v>75112.745743359992</v>
      </c>
      <c r="N120" s="178">
        <f t="shared" si="40"/>
        <v>0</v>
      </c>
      <c r="O120" s="178">
        <f t="shared" si="41"/>
        <v>463144.10767186782</v>
      </c>
      <c r="P120" s="487">
        <f>Revenues!Y85+Revenues!Y86+Revenues!Y87-B120</f>
        <v>-209382.69157722779</v>
      </c>
      <c r="X120" s="506"/>
      <c r="Y120" s="478">
        <v>5.2400000000000002E-2</v>
      </c>
      <c r="Z120" s="506"/>
      <c r="AA120" s="2">
        <f t="shared" ref="AA120:AA126" si="42">B120</f>
        <v>1077814.1515772277</v>
      </c>
    </row>
    <row r="121" spans="1:27" ht="15" x14ac:dyDescent="0.25">
      <c r="A121" s="176" t="s">
        <v>117</v>
      </c>
      <c r="B121" s="177">
        <f t="shared" si="39"/>
        <v>2149874.800418077</v>
      </c>
      <c r="C121" s="178">
        <f>HR!Y556</f>
        <v>727028.9895443999</v>
      </c>
      <c r="D121" s="178">
        <f>'Prof Serv'!N593</f>
        <v>342001.02</v>
      </c>
      <c r="E121" s="178">
        <f>'Prof Serv'!N529</f>
        <v>0</v>
      </c>
      <c r="F121" s="178">
        <f>Travel!P465</f>
        <v>5160</v>
      </c>
      <c r="G121" s="178">
        <f>'Other Operating Expenses'!N728</f>
        <v>1880</v>
      </c>
      <c r="H121" s="178">
        <f>Supplies!N385</f>
        <v>200</v>
      </c>
      <c r="I121" s="178">
        <f>'Prof Serv'!N465</f>
        <v>0</v>
      </c>
      <c r="J121" s="178">
        <v>0</v>
      </c>
      <c r="K121" s="178">
        <v>0</v>
      </c>
      <c r="L121" s="178">
        <v>0</v>
      </c>
      <c r="M121" s="178">
        <f>HR!N556*'Total Expenses'!$M$73</f>
        <v>124406.19857203202</v>
      </c>
      <c r="N121" s="178">
        <f t="shared" si="40"/>
        <v>0</v>
      </c>
      <c r="O121" s="178">
        <f t="shared" si="41"/>
        <v>949198.59230164532</v>
      </c>
      <c r="P121" s="487">
        <f>Revenues!Y52+Revenues!Y56-Revenues!Y57-B121</f>
        <v>-829150.760418077</v>
      </c>
      <c r="X121" s="506">
        <f>217-217</f>
        <v>0</v>
      </c>
      <c r="Y121" s="478">
        <v>0.12529999999999999</v>
      </c>
      <c r="Z121" s="506"/>
      <c r="AA121" s="2">
        <f t="shared" si="42"/>
        <v>2149874.800418077</v>
      </c>
    </row>
    <row r="122" spans="1:27" ht="15" x14ac:dyDescent="0.25">
      <c r="A122" s="176" t="s">
        <v>120</v>
      </c>
      <c r="B122" s="177">
        <f t="shared" si="39"/>
        <v>9437.1743493785598</v>
      </c>
      <c r="C122" s="178">
        <f>HR!Y557</f>
        <v>3599.3318399999998</v>
      </c>
      <c r="D122" s="178">
        <f>'Prof Serv'!N594</f>
        <v>0</v>
      </c>
      <c r="E122" s="178">
        <f>'Prof Serv'!N530</f>
        <v>0</v>
      </c>
      <c r="F122" s="178">
        <f>Travel!P466</f>
        <v>0</v>
      </c>
      <c r="G122" s="178">
        <f>'Other Operating Expenses'!N729</f>
        <v>1125</v>
      </c>
      <c r="H122" s="178">
        <f>Supplies!N386</f>
        <v>0</v>
      </c>
      <c r="I122" s="178">
        <f>'Prof Serv'!N466</f>
        <v>0</v>
      </c>
      <c r="J122" s="178">
        <v>0</v>
      </c>
      <c r="K122" s="178">
        <v>0</v>
      </c>
      <c r="L122" s="178">
        <v>0</v>
      </c>
      <c r="M122" s="178">
        <f>HR!N557*'Total Expenses'!$M$73</f>
        <v>620.99947520000001</v>
      </c>
      <c r="N122" s="178">
        <f t="shared" si="40"/>
        <v>0</v>
      </c>
      <c r="O122" s="178">
        <f t="shared" si="41"/>
        <v>4091.8430341785597</v>
      </c>
      <c r="P122" s="487">
        <f t="shared" si="36"/>
        <v>-9437.1743493785598</v>
      </c>
      <c r="X122" s="506"/>
      <c r="Y122" s="478">
        <v>2.9999999999999997E-4</v>
      </c>
      <c r="Z122" s="506"/>
      <c r="AA122" s="2">
        <f t="shared" si="42"/>
        <v>9437.1743493785598</v>
      </c>
    </row>
    <row r="123" spans="1:27" ht="15" x14ac:dyDescent="0.25">
      <c r="A123" s="176" t="s">
        <v>148</v>
      </c>
      <c r="B123" s="177">
        <f t="shared" si="39"/>
        <v>24857.033398795524</v>
      </c>
      <c r="C123" s="178">
        <f>HR!Y558</f>
        <v>12442.931280000001</v>
      </c>
      <c r="D123" s="178">
        <f>'Prof Serv'!N595</f>
        <v>0</v>
      </c>
      <c r="E123" s="178">
        <f>'Prof Serv'!N531</f>
        <v>0</v>
      </c>
      <c r="F123" s="178">
        <f>Travel!P467</f>
        <v>0</v>
      </c>
      <c r="G123" s="178">
        <f>'Other Operating Expenses'!N730</f>
        <v>0</v>
      </c>
      <c r="H123" s="178">
        <f>Supplies!N387</f>
        <v>0</v>
      </c>
      <c r="I123" s="178">
        <f>'Prof Serv'!N467</f>
        <v>0</v>
      </c>
      <c r="J123" s="178">
        <v>0</v>
      </c>
      <c r="K123" s="178">
        <v>0</v>
      </c>
      <c r="L123" s="178">
        <v>0</v>
      </c>
      <c r="M123" s="178">
        <f>HR!N558*'Total Expenses'!$M$73</f>
        <v>2146.8022784000004</v>
      </c>
      <c r="N123" s="178">
        <f t="shared" si="40"/>
        <v>0</v>
      </c>
      <c r="O123" s="178">
        <f t="shared" si="41"/>
        <v>10267.299840395521</v>
      </c>
      <c r="P123" s="487">
        <f>Revenues!Y116-B123</f>
        <v>479046.96660120448</v>
      </c>
      <c r="X123" s="506"/>
      <c r="Y123" s="478">
        <v>8.9999999999999998E-4</v>
      </c>
      <c r="Z123" s="506"/>
      <c r="AA123" s="2">
        <f t="shared" si="42"/>
        <v>24857.033398795524</v>
      </c>
    </row>
    <row r="124" spans="1:27" ht="15" x14ac:dyDescent="0.25">
      <c r="A124" s="176" t="s">
        <v>121</v>
      </c>
      <c r="B124" s="177">
        <f t="shared" si="39"/>
        <v>925406.36831060727</v>
      </c>
      <c r="C124" s="178">
        <f>HR!Y559</f>
        <v>416736.03503999999</v>
      </c>
      <c r="D124" s="178">
        <f>'Prof Serv'!N596</f>
        <v>30000</v>
      </c>
      <c r="E124" s="178">
        <f>'Prof Serv'!N532</f>
        <v>0</v>
      </c>
      <c r="F124" s="178">
        <f>Travel!P468</f>
        <v>7450</v>
      </c>
      <c r="G124" s="178">
        <f>'Other Operating Expenses'!N731</f>
        <v>8870</v>
      </c>
      <c r="H124" s="178">
        <f>Supplies!N388</f>
        <v>200</v>
      </c>
      <c r="I124" s="178">
        <f>'Prof Serv'!N468</f>
        <v>0</v>
      </c>
      <c r="J124" s="178">
        <v>0</v>
      </c>
      <c r="K124" s="178">
        <v>0</v>
      </c>
      <c r="L124" s="178">
        <v>0</v>
      </c>
      <c r="M124" s="178">
        <f>HR!N559*'Total Expenses'!$M$73</f>
        <v>68362.545971199987</v>
      </c>
      <c r="N124" s="178">
        <f t="shared" si="40"/>
        <v>0</v>
      </c>
      <c r="O124" s="178">
        <f t="shared" si="41"/>
        <v>393787.78729940736</v>
      </c>
      <c r="P124" s="487">
        <f>Revenues!Y77+Revenues!Y109+Revenues!Y112+Revenues!Y113+Revenues!Y115+Revenues!Y118-B124</f>
        <v>186654.05168939265</v>
      </c>
      <c r="X124" s="506"/>
      <c r="Y124" s="478">
        <v>6.7199999999999996E-2</v>
      </c>
      <c r="Z124" s="506"/>
      <c r="AA124" s="2">
        <f t="shared" si="42"/>
        <v>925406.36831060727</v>
      </c>
    </row>
    <row r="125" spans="1:27" ht="15" x14ac:dyDescent="0.25">
      <c r="A125" s="176" t="s">
        <v>122</v>
      </c>
      <c r="B125" s="177">
        <f t="shared" si="39"/>
        <v>194.62714</v>
      </c>
      <c r="C125" s="178">
        <f>HR!Y560</f>
        <v>0</v>
      </c>
      <c r="D125" s="178">
        <f>'Prof Serv'!N597</f>
        <v>0</v>
      </c>
      <c r="E125" s="178">
        <f>'Prof Serv'!N533</f>
        <v>0</v>
      </c>
      <c r="F125" s="178">
        <f>Travel!P469</f>
        <v>0</v>
      </c>
      <c r="G125" s="178">
        <f>'Other Operating Expenses'!N732</f>
        <v>97.45</v>
      </c>
      <c r="H125" s="178">
        <f>Supplies!N389</f>
        <v>0</v>
      </c>
      <c r="I125" s="178">
        <f>'Prof Serv'!N469</f>
        <v>0</v>
      </c>
      <c r="J125" s="178">
        <v>0</v>
      </c>
      <c r="K125" s="178">
        <v>0</v>
      </c>
      <c r="L125" s="178">
        <v>0</v>
      </c>
      <c r="M125" s="178">
        <f>HR!N560*'Total Expenses'!$M$73</f>
        <v>0</v>
      </c>
      <c r="N125" s="178">
        <f t="shared" si="40"/>
        <v>0</v>
      </c>
      <c r="O125" s="178">
        <f t="shared" si="41"/>
        <v>97.177139999999994</v>
      </c>
      <c r="P125" s="487">
        <f>Revenues!Y104+Revenues!Y105+Revenues!Y106-B125</f>
        <v>-194.62714</v>
      </c>
      <c r="X125" s="506"/>
      <c r="Y125" s="478">
        <v>2.8999999999999998E-3</v>
      </c>
      <c r="Z125" s="506"/>
      <c r="AA125" s="2">
        <f t="shared" si="42"/>
        <v>194.62714</v>
      </c>
    </row>
    <row r="126" spans="1:27" s="432" customFormat="1" ht="15" x14ac:dyDescent="0.25">
      <c r="A126" s="671" t="s">
        <v>1459</v>
      </c>
      <c r="B126" s="177">
        <f t="shared" si="39"/>
        <v>77091.249569792635</v>
      </c>
      <c r="C126" s="178">
        <f>HR!Y561</f>
        <v>38590.329959999995</v>
      </c>
      <c r="D126" s="178">
        <f>'Prof Serv'!N598</f>
        <v>0</v>
      </c>
      <c r="E126" s="178">
        <f>'Prof Serv'!N534</f>
        <v>0</v>
      </c>
      <c r="F126" s="178">
        <f>Travel!P470</f>
        <v>0</v>
      </c>
      <c r="G126" s="178">
        <f>'Other Operating Expenses'!N733</f>
        <v>0</v>
      </c>
      <c r="H126" s="178">
        <f>Supplies!N390</f>
        <v>0</v>
      </c>
      <c r="I126" s="178">
        <f>'Prof Serv'!N470</f>
        <v>0</v>
      </c>
      <c r="J126" s="178">
        <v>0</v>
      </c>
      <c r="K126" s="178">
        <v>0</v>
      </c>
      <c r="L126" s="178">
        <v>0</v>
      </c>
      <c r="M126" s="178">
        <f>HR!N561*'Total Expenses'!$M$73</f>
        <v>6658.0620288</v>
      </c>
      <c r="N126" s="178">
        <f t="shared" si="40"/>
        <v>0</v>
      </c>
      <c r="O126" s="178">
        <f t="shared" si="41"/>
        <v>31842.857580992637</v>
      </c>
      <c r="P126" s="487">
        <f>Revenues!Y25-'Total Expenses'!B126</f>
        <v>12908.750430207365</v>
      </c>
      <c r="X126" s="506"/>
      <c r="Y126" s="478">
        <v>0</v>
      </c>
      <c r="Z126" s="506"/>
      <c r="AA126" s="672">
        <f t="shared" si="42"/>
        <v>77091.249569792635</v>
      </c>
    </row>
    <row r="127" spans="1:27" ht="15" x14ac:dyDescent="0.25">
      <c r="A127" s="176" t="s">
        <v>163</v>
      </c>
      <c r="B127" s="177">
        <f t="shared" si="39"/>
        <v>7725.5153378327814</v>
      </c>
      <c r="C127" s="178">
        <f>HR!Y562</f>
        <v>3867.2376912000004</v>
      </c>
      <c r="D127" s="178">
        <f>'Prof Serv'!N599</f>
        <v>0</v>
      </c>
      <c r="E127" s="178">
        <f>'Prof Serv'!N535</f>
        <v>0</v>
      </c>
      <c r="F127" s="178">
        <f>Travel!P471</f>
        <v>0</v>
      </c>
      <c r="G127" s="178">
        <f>'Other Operating Expenses'!N734</f>
        <v>0</v>
      </c>
      <c r="H127" s="178">
        <f>Supplies!N391</f>
        <v>0</v>
      </c>
      <c r="I127" s="178">
        <f>'Prof Serv'!N471</f>
        <v>0</v>
      </c>
      <c r="J127" s="178">
        <v>0</v>
      </c>
      <c r="K127" s="178">
        <v>0</v>
      </c>
      <c r="L127" s="178">
        <v>0</v>
      </c>
      <c r="M127" s="178">
        <f>HR!N562*'Total Expenses'!$M$73</f>
        <v>667.22177433600007</v>
      </c>
      <c r="N127" s="178">
        <f t="shared" si="40"/>
        <v>0</v>
      </c>
      <c r="O127" s="178">
        <f t="shared" si="41"/>
        <v>3191.0558722967808</v>
      </c>
      <c r="P127" s="487">
        <f>Revenues!Y133-B127</f>
        <v>-7725.5153378327814</v>
      </c>
      <c r="X127" s="506"/>
      <c r="Y127" s="478">
        <v>0</v>
      </c>
      <c r="Z127" s="672">
        <f>(C127*1.47)+D127+E127+F127+G127+H127+I127+J127+K127</f>
        <v>5684.8394060640003</v>
      </c>
      <c r="AA127" s="2"/>
    </row>
    <row r="128" spans="1:27" ht="15" x14ac:dyDescent="0.25">
      <c r="A128" s="176" t="s">
        <v>123</v>
      </c>
      <c r="B128" s="177">
        <f t="shared" si="39"/>
        <v>9273.6250194515214</v>
      </c>
      <c r="C128" s="178">
        <f>HR!Y563</f>
        <v>4642.1902800000007</v>
      </c>
      <c r="D128" s="178">
        <f>'Prof Serv'!N600</f>
        <v>0</v>
      </c>
      <c r="E128" s="178">
        <f>'Prof Serv'!N536</f>
        <v>0</v>
      </c>
      <c r="F128" s="178">
        <f>Travel!P472</f>
        <v>0</v>
      </c>
      <c r="G128" s="178">
        <f>'Other Operating Expenses'!N735</f>
        <v>0</v>
      </c>
      <c r="H128" s="178">
        <f>Supplies!N392</f>
        <v>0</v>
      </c>
      <c r="I128" s="178">
        <f>'Prof Serv'!N472</f>
        <v>0</v>
      </c>
      <c r="J128" s="178">
        <v>0</v>
      </c>
      <c r="K128" s="178">
        <v>0</v>
      </c>
      <c r="L128" s="178">
        <v>0</v>
      </c>
      <c r="M128" s="178">
        <f>HR!N563*'Total Expenses'!$M$73</f>
        <v>800.92579840000019</v>
      </c>
      <c r="N128" s="178">
        <f t="shared" si="40"/>
        <v>0</v>
      </c>
      <c r="O128" s="178">
        <f t="shared" si="41"/>
        <v>3830.5089410515207</v>
      </c>
      <c r="P128" s="487">
        <f t="shared" si="36"/>
        <v>-9273.6250194515214</v>
      </c>
      <c r="X128" s="506"/>
      <c r="Y128" s="478">
        <v>4.0000000000000002E-4</v>
      </c>
      <c r="Z128" s="672">
        <f>(C128*1.47)+D128+E128+F128+G128+H128+I128+J128+K128</f>
        <v>6824.0197116000008</v>
      </c>
      <c r="AA128" s="2"/>
    </row>
    <row r="129" spans="1:27" ht="15" x14ac:dyDescent="0.25">
      <c r="A129" s="176" t="s">
        <v>153</v>
      </c>
      <c r="B129" s="177">
        <f t="shared" si="39"/>
        <v>3701.5228576809604</v>
      </c>
      <c r="C129" s="178">
        <f>HR!Y564</f>
        <v>1852.9079400000003</v>
      </c>
      <c r="D129" s="178">
        <f>'Prof Serv'!N601</f>
        <v>0</v>
      </c>
      <c r="E129" s="178">
        <f>'Prof Serv'!N537</f>
        <v>0</v>
      </c>
      <c r="F129" s="178">
        <f>Travel!P473</f>
        <v>0</v>
      </c>
      <c r="G129" s="178">
        <f>'Other Operating Expenses'!N736</f>
        <v>0</v>
      </c>
      <c r="H129" s="178">
        <f>Supplies!N393</f>
        <v>0</v>
      </c>
      <c r="I129" s="178">
        <f>'Prof Serv'!N473</f>
        <v>0</v>
      </c>
      <c r="J129" s="178">
        <v>0</v>
      </c>
      <c r="K129" s="178">
        <v>0</v>
      </c>
      <c r="L129" s="178">
        <v>0</v>
      </c>
      <c r="M129" s="178">
        <f>HR!N564*'Total Expenses'!$M$73</f>
        <v>319.68568320000003</v>
      </c>
      <c r="N129" s="178">
        <f t="shared" si="40"/>
        <v>0</v>
      </c>
      <c r="O129" s="178">
        <f t="shared" si="41"/>
        <v>1528.9292344809601</v>
      </c>
      <c r="P129" s="487">
        <f t="shared" si="36"/>
        <v>-3701.5228576809604</v>
      </c>
      <c r="X129" s="506"/>
      <c r="Y129" s="478">
        <v>2.0000000000000001E-4</v>
      </c>
      <c r="Z129" s="672">
        <f>(C129*1.47)+D129+E129+F129+G129+H129+I129+J129+K129</f>
        <v>2723.7746718000003</v>
      </c>
      <c r="AA129" s="2"/>
    </row>
    <row r="130" spans="1:27" ht="15" x14ac:dyDescent="0.25">
      <c r="A130" s="176" t="s">
        <v>127</v>
      </c>
      <c r="B130" s="177">
        <f t="shared" si="39"/>
        <v>1363085.9315312784</v>
      </c>
      <c r="C130" s="178">
        <f>HR!Y565</f>
        <v>656193.48107999994</v>
      </c>
      <c r="D130" s="178">
        <f>'Prof Serv'!N602</f>
        <v>8500</v>
      </c>
      <c r="E130" s="178">
        <f>'Prof Serv'!N538</f>
        <v>0</v>
      </c>
      <c r="F130" s="178">
        <f>Travel!P474</f>
        <v>13400</v>
      </c>
      <c r="G130" s="178">
        <f>'Other Operating Expenses'!N737</f>
        <v>3991.94</v>
      </c>
      <c r="H130" s="178">
        <f>Supplies!N394</f>
        <v>250</v>
      </c>
      <c r="I130" s="178">
        <f>'Prof Serv'!N474</f>
        <v>0</v>
      </c>
      <c r="J130" s="178">
        <v>0</v>
      </c>
      <c r="K130" s="178">
        <v>0</v>
      </c>
      <c r="L130" s="178">
        <v>0</v>
      </c>
      <c r="M130" s="178">
        <f>HR!N565*'Total Expenses'!$M$73</f>
        <v>101856.6708224</v>
      </c>
      <c r="N130" s="178">
        <f t="shared" si="40"/>
        <v>14439.24</v>
      </c>
      <c r="O130" s="178">
        <f t="shared" si="41"/>
        <v>564454.59962887852</v>
      </c>
      <c r="P130" s="487">
        <f>Revenues!Y94-B130</f>
        <v>1793214.1884687217</v>
      </c>
      <c r="X130" s="506">
        <v>684</v>
      </c>
      <c r="Y130" s="478">
        <v>7.2999999999999995E-2</v>
      </c>
      <c r="Z130" s="506"/>
      <c r="AA130" s="2">
        <f t="shared" ref="AA130:AA139" si="43">B130</f>
        <v>1363085.9315312784</v>
      </c>
    </row>
    <row r="131" spans="1:27" ht="15" x14ac:dyDescent="0.25">
      <c r="A131" s="176" t="s">
        <v>141</v>
      </c>
      <c r="B131" s="177">
        <f t="shared" si="39"/>
        <v>514.81824399999994</v>
      </c>
      <c r="C131" s="178">
        <f>HR!Y566</f>
        <v>0</v>
      </c>
      <c r="D131" s="178">
        <f>'Prof Serv'!N603</f>
        <v>0</v>
      </c>
      <c r="E131" s="178">
        <f>'Prof Serv'!N539</f>
        <v>0</v>
      </c>
      <c r="F131" s="178">
        <f>Travel!P475</f>
        <v>0</v>
      </c>
      <c r="G131" s="178">
        <f>'Other Operating Expenses'!N738</f>
        <v>257.77</v>
      </c>
      <c r="H131" s="178">
        <f>Supplies!N395</f>
        <v>0</v>
      </c>
      <c r="I131" s="178">
        <f>'Prof Serv'!N475</f>
        <v>0</v>
      </c>
      <c r="J131" s="178">
        <v>0</v>
      </c>
      <c r="K131" s="178">
        <v>0</v>
      </c>
      <c r="L131" s="178">
        <v>0</v>
      </c>
      <c r="M131" s="178">
        <f>HR!N566*'Total Expenses'!$M$73</f>
        <v>0</v>
      </c>
      <c r="N131" s="178">
        <f t="shared" si="40"/>
        <v>0</v>
      </c>
      <c r="O131" s="178">
        <f t="shared" si="41"/>
        <v>257.04824399999995</v>
      </c>
      <c r="P131" s="487">
        <f t="shared" si="36"/>
        <v>-514.81824399999994</v>
      </c>
      <c r="X131" s="506"/>
      <c r="Y131" s="478">
        <v>0</v>
      </c>
      <c r="Z131" s="506"/>
      <c r="AA131" s="2">
        <f t="shared" si="43"/>
        <v>514.81824399999994</v>
      </c>
    </row>
    <row r="132" spans="1:27" ht="15" x14ac:dyDescent="0.25">
      <c r="A132" s="176" t="s">
        <v>66</v>
      </c>
      <c r="B132" s="177">
        <f t="shared" si="39"/>
        <v>0</v>
      </c>
      <c r="C132" s="178">
        <f>HR!Y567</f>
        <v>0</v>
      </c>
      <c r="D132" s="178">
        <f>'Prof Serv'!N604</f>
        <v>0</v>
      </c>
      <c r="E132" s="178">
        <f>'Prof Serv'!N540</f>
        <v>0</v>
      </c>
      <c r="F132" s="178">
        <f>Travel!P476</f>
        <v>0</v>
      </c>
      <c r="G132" s="178">
        <f>'Other Operating Expenses'!N739</f>
        <v>0</v>
      </c>
      <c r="H132" s="178">
        <f>Supplies!N396</f>
        <v>0</v>
      </c>
      <c r="I132" s="178">
        <f>'Prof Serv'!N476</f>
        <v>0</v>
      </c>
      <c r="J132" s="178">
        <v>0</v>
      </c>
      <c r="K132" s="178">
        <v>0</v>
      </c>
      <c r="L132" s="178">
        <v>0</v>
      </c>
      <c r="M132" s="178">
        <f>HR!N567*'Total Expenses'!$M$73</f>
        <v>0</v>
      </c>
      <c r="N132" s="178">
        <f t="shared" si="40"/>
        <v>0</v>
      </c>
      <c r="O132" s="178">
        <f t="shared" si="41"/>
        <v>0</v>
      </c>
      <c r="P132" s="487">
        <f t="shared" si="36"/>
        <v>0</v>
      </c>
      <c r="X132" s="506"/>
      <c r="Y132" s="478">
        <v>0</v>
      </c>
      <c r="Z132" s="506"/>
      <c r="AA132" s="2">
        <f t="shared" si="43"/>
        <v>0</v>
      </c>
    </row>
    <row r="133" spans="1:27" ht="15" x14ac:dyDescent="0.25">
      <c r="A133" s="176" t="s">
        <v>128</v>
      </c>
      <c r="B133" s="177">
        <f t="shared" si="39"/>
        <v>1847287.7084756847</v>
      </c>
      <c r="C133" s="178">
        <f>HR!Y568</f>
        <v>796900.32104920002</v>
      </c>
      <c r="D133" s="178">
        <f>'Prof Serv'!N605</f>
        <v>48500</v>
      </c>
      <c r="E133" s="178">
        <f>'Prof Serv'!N541</f>
        <v>0</v>
      </c>
      <c r="F133" s="178">
        <f>Travel!P477</f>
        <v>10900</v>
      </c>
      <c r="G133" s="178">
        <f>'Other Operating Expenses'!N740</f>
        <v>63450.67</v>
      </c>
      <c r="H133" s="178">
        <f>Supplies!N397</f>
        <v>5000</v>
      </c>
      <c r="I133" s="178">
        <f>'Prof Serv'!N477</f>
        <v>0</v>
      </c>
      <c r="J133" s="178">
        <v>0</v>
      </c>
      <c r="K133" s="178">
        <v>0</v>
      </c>
      <c r="L133" s="178">
        <v>0</v>
      </c>
      <c r="M133" s="178">
        <f>HR!N568*'Total Expenses'!$M$73</f>
        <v>128028.18293657601</v>
      </c>
      <c r="N133" s="178">
        <f t="shared" si="40"/>
        <v>5910.8</v>
      </c>
      <c r="O133" s="178">
        <f t="shared" si="41"/>
        <v>788597.73448990867</v>
      </c>
      <c r="P133" s="487">
        <f>Revenues!Y44+Revenues!Y45-B133</f>
        <v>-740287.70847568475</v>
      </c>
      <c r="X133" s="506">
        <v>280</v>
      </c>
      <c r="Y133" s="478">
        <v>0.1026</v>
      </c>
      <c r="Z133" s="506"/>
      <c r="AA133" s="2">
        <f t="shared" si="43"/>
        <v>1847287.7084756847</v>
      </c>
    </row>
    <row r="134" spans="1:27" ht="15" x14ac:dyDescent="0.25">
      <c r="A134" s="176" t="s">
        <v>126</v>
      </c>
      <c r="B134" s="177">
        <f t="shared" si="39"/>
        <v>87957.877970657282</v>
      </c>
      <c r="C134" s="178">
        <f>HR!Y569</f>
        <v>32817.067920000001</v>
      </c>
      <c r="D134" s="178">
        <f>'Prof Serv'!N606</f>
        <v>0</v>
      </c>
      <c r="E134" s="178">
        <f>'Prof Serv'!N542</f>
        <v>0</v>
      </c>
      <c r="F134" s="178">
        <f>Travel!P478</f>
        <v>0</v>
      </c>
      <c r="G134" s="178">
        <f>'Other Operating Expenses'!N741</f>
        <v>11215.59</v>
      </c>
      <c r="H134" s="178">
        <f>Supplies!N398</f>
        <v>0</v>
      </c>
      <c r="I134" s="178">
        <f>'Prof Serv'!N478</f>
        <v>0</v>
      </c>
      <c r="J134" s="178">
        <v>0</v>
      </c>
      <c r="K134" s="178">
        <v>0</v>
      </c>
      <c r="L134" s="178">
        <v>0</v>
      </c>
      <c r="M134" s="178">
        <f>HR!N569*'Total Expenses'!$M$73</f>
        <v>5661.9902976000003</v>
      </c>
      <c r="N134" s="178">
        <f t="shared" si="40"/>
        <v>0</v>
      </c>
      <c r="O134" s="178">
        <f t="shared" si="41"/>
        <v>38263.229753057276</v>
      </c>
      <c r="P134" s="487">
        <f>Revenues!Y15-B134</f>
        <v>-87957.877970657282</v>
      </c>
      <c r="X134" s="506"/>
      <c r="Y134" s="478">
        <v>8.8000000000000005E-3</v>
      </c>
      <c r="Z134" s="506"/>
      <c r="AA134" s="2">
        <f t="shared" si="43"/>
        <v>87957.877970657282</v>
      </c>
    </row>
    <row r="135" spans="1:27" ht="15" x14ac:dyDescent="0.25">
      <c r="A135" s="176" t="s">
        <v>129</v>
      </c>
      <c r="B135" s="177">
        <f t="shared" si="39"/>
        <v>347955.36885141185</v>
      </c>
      <c r="C135" s="178">
        <f>HR!Y570</f>
        <v>119181.5566344</v>
      </c>
      <c r="D135" s="178">
        <f>'Prof Serv'!N607</f>
        <v>45650</v>
      </c>
      <c r="E135" s="178">
        <f>'Prof Serv'!N543</f>
        <v>0</v>
      </c>
      <c r="F135" s="178">
        <f>Travel!P479</f>
        <v>7500</v>
      </c>
      <c r="G135" s="178">
        <f>'Other Operating Expenses'!N742</f>
        <v>861.21</v>
      </c>
      <c r="H135" s="178">
        <f>Supplies!N399</f>
        <v>1000</v>
      </c>
      <c r="I135" s="178">
        <f>'Prof Serv'!N479</f>
        <v>0</v>
      </c>
      <c r="J135" s="178">
        <v>0</v>
      </c>
      <c r="K135" s="178">
        <v>0</v>
      </c>
      <c r="L135" s="178">
        <v>0</v>
      </c>
      <c r="M135" s="178">
        <f>HR!N570*'Total Expenses'!$M$73</f>
        <v>20562.617567232002</v>
      </c>
      <c r="N135" s="178">
        <f t="shared" si="40"/>
        <v>0</v>
      </c>
      <c r="O135" s="178">
        <f t="shared" si="41"/>
        <v>153199.98464977992</v>
      </c>
      <c r="P135" s="487">
        <f>Revenues!Y50-B135</f>
        <v>-188358.36885141185</v>
      </c>
      <c r="X135" s="506"/>
      <c r="Y135" s="478">
        <v>5.7000000000000002E-3</v>
      </c>
      <c r="Z135" s="506"/>
      <c r="AA135" s="2">
        <f t="shared" si="43"/>
        <v>347955.36885141185</v>
      </c>
    </row>
    <row r="136" spans="1:27" ht="15" hidden="1" x14ac:dyDescent="0.25">
      <c r="A136" s="176" t="s">
        <v>692</v>
      </c>
      <c r="B136" s="177">
        <f t="shared" si="39"/>
        <v>-2186902.3320037546</v>
      </c>
      <c r="C136" s="178">
        <f>HR!Y571</f>
        <v>3632993.6068635993</v>
      </c>
      <c r="D136" s="178">
        <f>'Prof Serv'!N608</f>
        <v>429958</v>
      </c>
      <c r="E136" s="178">
        <f>'Prof Serv'!N544</f>
        <v>100000</v>
      </c>
      <c r="F136" s="178">
        <f>Travel!P480</f>
        <v>94870</v>
      </c>
      <c r="G136" s="178">
        <f>'Other Operating Expenses'!N743</f>
        <v>1103212.75</v>
      </c>
      <c r="H136" s="178">
        <f>Supplies!N400</f>
        <v>57000</v>
      </c>
      <c r="I136" s="178">
        <f>'Prof Serv'!N480</f>
        <v>155000</v>
      </c>
      <c r="J136" s="178">
        <f>'Bldg Bond Int'!F15</f>
        <v>13568.75</v>
      </c>
      <c r="K136" s="178">
        <f>'Bldg Maint ONLY'!E3</f>
        <v>357727</v>
      </c>
      <c r="L136" s="178">
        <f>'Capital Exp'!E3</f>
        <v>85000</v>
      </c>
      <c r="M136" s="511">
        <f>-SUM(M76:M135)-SUM(M137:M139)</f>
        <v>-1093506.4730449922</v>
      </c>
      <c r="N136" s="511">
        <f>-SUM(N76:N135)-SUM(N137:N139)</f>
        <v>-91174.090000000011</v>
      </c>
      <c r="O136" s="511">
        <f>-SUM(O76:O135)-SUM(O137:O139)</f>
        <v>-7031551.8758223616</v>
      </c>
      <c r="P136" s="487">
        <f>Revenues!Y140-B136</f>
        <v>2192902.3320037546</v>
      </c>
      <c r="X136" s="506"/>
      <c r="Y136" s="478">
        <v>0</v>
      </c>
      <c r="Z136" s="506"/>
      <c r="AA136" s="2">
        <f t="shared" si="43"/>
        <v>-2186902.3320037546</v>
      </c>
    </row>
    <row r="137" spans="1:27" ht="15" x14ac:dyDescent="0.25">
      <c r="A137" s="176" t="s">
        <v>472</v>
      </c>
      <c r="B137" s="177">
        <f t="shared" si="39"/>
        <v>95754.127114188799</v>
      </c>
      <c r="C137" s="178">
        <f>HR!Y572</f>
        <v>2737.7532000000001</v>
      </c>
      <c r="D137" s="178">
        <f>'Prof Serv'!N609</f>
        <v>22000</v>
      </c>
      <c r="E137" s="178">
        <f>'Prof Serv'!N545</f>
        <v>0</v>
      </c>
      <c r="F137" s="178">
        <f>Travel!P481</f>
        <v>5775</v>
      </c>
      <c r="G137" s="178">
        <f>'Other Operating Expenses'!N744</f>
        <v>16430.77</v>
      </c>
      <c r="H137" s="178">
        <f>Supplies!N401</f>
        <v>1000</v>
      </c>
      <c r="I137" s="178">
        <f>'Prof Serv'!N481</f>
        <v>0</v>
      </c>
      <c r="J137" s="178">
        <v>0</v>
      </c>
      <c r="K137" s="178">
        <v>0</v>
      </c>
      <c r="L137" s="178">
        <v>0</v>
      </c>
      <c r="M137" s="178">
        <f>HR!N572*'Total Expenses'!$M$73</f>
        <v>472.34969600000011</v>
      </c>
      <c r="N137" s="178">
        <f>21.11*X137</f>
        <v>0</v>
      </c>
      <c r="O137" s="178">
        <f>(SUM(C137:I137)-SUM(M137:N137))*99.72%</f>
        <v>47338.254218188798</v>
      </c>
      <c r="P137" s="487">
        <f>Revenues!Y46+Revenues!Y47-B137</f>
        <v>-95754.127114188799</v>
      </c>
      <c r="X137" s="506"/>
      <c r="Y137" s="478">
        <v>2.1000000000000001E-2</v>
      </c>
      <c r="Z137" s="506"/>
      <c r="AA137" s="2">
        <f t="shared" si="43"/>
        <v>95754.127114188799</v>
      </c>
    </row>
    <row r="138" spans="1:27" ht="15" x14ac:dyDescent="0.25">
      <c r="A138" s="214" t="s">
        <v>143</v>
      </c>
      <c r="B138" s="177">
        <f t="shared" si="39"/>
        <v>763739.30665740499</v>
      </c>
      <c r="C138" s="178">
        <f>HR!Y573</f>
        <v>294761.90530559997</v>
      </c>
      <c r="D138" s="178">
        <f>'Prof Serv'!N610</f>
        <v>69500</v>
      </c>
      <c r="E138" s="178">
        <f>'Prof Serv'!N546</f>
        <v>0</v>
      </c>
      <c r="F138" s="178">
        <f>Travel!P482</f>
        <v>13820</v>
      </c>
      <c r="G138" s="178">
        <f>'Other Operating Expenses'!N745</f>
        <v>2756.82</v>
      </c>
      <c r="H138" s="178">
        <f>Supplies!N402</f>
        <v>1500</v>
      </c>
      <c r="I138" s="178">
        <f>'Prof Serv'!N482</f>
        <v>0</v>
      </c>
      <c r="J138" s="178">
        <v>0</v>
      </c>
      <c r="K138" s="178">
        <v>0</v>
      </c>
      <c r="L138" s="178">
        <v>0</v>
      </c>
      <c r="M138" s="178">
        <f>HR!N573*'Total Expenses'!$M$73</f>
        <v>47287.313235967995</v>
      </c>
      <c r="N138" s="178">
        <f>21.11*X138</f>
        <v>0</v>
      </c>
      <c r="O138" s="178">
        <f>(SUM(C138:I138)-SUM(M138:N138))*99.72%</f>
        <v>334113.26811583701</v>
      </c>
      <c r="P138" s="487">
        <f>Revenues!Y89+Revenues!Y90+Revenues!Y91-B138</f>
        <v>-306787.30665740499</v>
      </c>
      <c r="X138" s="506"/>
      <c r="Y138" s="478">
        <v>2.93E-2</v>
      </c>
      <c r="Z138" s="506"/>
      <c r="AA138" s="2">
        <f t="shared" si="43"/>
        <v>763739.30665740499</v>
      </c>
    </row>
    <row r="139" spans="1:27" ht="15" x14ac:dyDescent="0.25">
      <c r="A139" s="176" t="s">
        <v>146</v>
      </c>
      <c r="B139" s="177">
        <f t="shared" si="39"/>
        <v>0</v>
      </c>
      <c r="C139" s="178">
        <f>HR!Y574</f>
        <v>0</v>
      </c>
      <c r="D139" s="178">
        <f>'Prof Serv'!N611</f>
        <v>0</v>
      </c>
      <c r="E139" s="178">
        <f>'Prof Serv'!N547</f>
        <v>0</v>
      </c>
      <c r="F139" s="178">
        <f>Travel!P483</f>
        <v>0</v>
      </c>
      <c r="G139" s="178">
        <f>'Other Operating Expenses'!N746</f>
        <v>0</v>
      </c>
      <c r="H139" s="178">
        <f>Supplies!N403</f>
        <v>0</v>
      </c>
      <c r="I139" s="178">
        <f>'Prof Serv'!N483</f>
        <v>0</v>
      </c>
      <c r="J139" s="178">
        <v>0</v>
      </c>
      <c r="K139" s="178">
        <v>0</v>
      </c>
      <c r="L139" s="178">
        <v>0</v>
      </c>
      <c r="M139" s="178">
        <f>HR!N574*'Total Expenses'!$M$73</f>
        <v>0</v>
      </c>
      <c r="N139" s="178">
        <f>21.11*X139</f>
        <v>0</v>
      </c>
      <c r="O139" s="178">
        <f>(SUM(C139:I139)-SUM(M139:N139))*99.72%</f>
        <v>0</v>
      </c>
      <c r="P139" s="487">
        <f t="shared" si="36"/>
        <v>0</v>
      </c>
      <c r="X139" s="506"/>
      <c r="Y139" s="478">
        <v>0</v>
      </c>
      <c r="Z139" s="506"/>
      <c r="AA139" s="2">
        <f t="shared" si="43"/>
        <v>0</v>
      </c>
    </row>
    <row r="140" spans="1:27" ht="15.75" thickBot="1" x14ac:dyDescent="0.3">
      <c r="A140" s="174" t="s">
        <v>22</v>
      </c>
      <c r="B140" s="179">
        <f>SUM(B76:B139)</f>
        <v>14265306.173139999</v>
      </c>
      <c r="C140" s="179">
        <f t="shared" ref="C140:J140" si="44">SUM(C76:C139)</f>
        <v>10391630.69314</v>
      </c>
      <c r="D140" s="179">
        <f t="shared" si="44"/>
        <v>1425459.02</v>
      </c>
      <c r="E140" s="179">
        <f t="shared" si="44"/>
        <v>100000</v>
      </c>
      <c r="F140" s="179">
        <f t="shared" si="44"/>
        <v>315244.5</v>
      </c>
      <c r="G140" s="179">
        <f t="shared" si="44"/>
        <v>1254026.2100000002</v>
      </c>
      <c r="H140" s="179">
        <f t="shared" si="44"/>
        <v>100150</v>
      </c>
      <c r="I140" s="179">
        <f t="shared" si="44"/>
        <v>222500</v>
      </c>
      <c r="J140" s="179">
        <f t="shared" si="44"/>
        <v>13568.75</v>
      </c>
      <c r="K140" s="179">
        <f t="shared" ref="K140:P140" si="45">SUM(K76:K139)</f>
        <v>357727</v>
      </c>
      <c r="L140" s="179">
        <f t="shared" si="45"/>
        <v>85000</v>
      </c>
      <c r="M140" s="179">
        <f>SUM(M76:M139)</f>
        <v>0</v>
      </c>
      <c r="N140" s="179">
        <f>SUM(N76:N139)</f>
        <v>0</v>
      </c>
      <c r="O140" s="534">
        <f>SUM(O76:O139)</f>
        <v>-3.4924596548080444E-10</v>
      </c>
      <c r="P140" s="488">
        <f t="shared" si="45"/>
        <v>137710.5060100038</v>
      </c>
      <c r="X140" s="507">
        <f>SUM(X76:X139)</f>
        <v>4319</v>
      </c>
      <c r="Y140" s="510">
        <f>SUM(Y76:Y139)</f>
        <v>0.9997999999999998</v>
      </c>
      <c r="Z140" s="507">
        <f>SUM(Z76:Z139)</f>
        <v>2402311.4551838874</v>
      </c>
      <c r="AA140" s="507">
        <f>SUM(AA76:AA139)</f>
        <v>9545138.5738152619</v>
      </c>
    </row>
    <row r="141" spans="1:27" ht="15.75" thickTop="1" x14ac:dyDescent="0.25">
      <c r="A141" s="143"/>
      <c r="B141" s="143"/>
      <c r="C141" s="143"/>
      <c r="D141" s="143"/>
      <c r="E141" s="143"/>
      <c r="F141" s="143"/>
      <c r="G141" s="143"/>
      <c r="H141" s="143"/>
      <c r="I141" s="143"/>
      <c r="J141" s="143"/>
      <c r="K141" s="143"/>
      <c r="L141" s="143"/>
      <c r="M141" s="143"/>
      <c r="N141" s="143"/>
      <c r="O141" s="143"/>
      <c r="S141" s="478"/>
    </row>
    <row r="142" spans="1:27" ht="15.75" thickBot="1" x14ac:dyDescent="0.3">
      <c r="A142" s="164"/>
      <c r="B142" s="146"/>
      <c r="C142" s="146"/>
      <c r="D142" s="146"/>
      <c r="E142" s="146"/>
      <c r="F142" s="146"/>
      <c r="G142" s="146"/>
      <c r="H142" s="146"/>
      <c r="I142" s="146"/>
      <c r="J142" s="146"/>
      <c r="K142" s="146"/>
      <c r="L142" s="146"/>
      <c r="M142" s="146"/>
      <c r="N142" s="146"/>
      <c r="O142" s="146"/>
      <c r="R142" s="367"/>
      <c r="S142" s="478"/>
    </row>
    <row r="143" spans="1:27" ht="15.75" thickBot="1" x14ac:dyDescent="0.3">
      <c r="A143" s="372" t="s">
        <v>662</v>
      </c>
      <c r="B143" s="373">
        <f>SUM(C143:K143)</f>
        <v>0</v>
      </c>
      <c r="C143" s="373">
        <f t="shared" ref="C143:L143" si="46">D68-C140</f>
        <v>0</v>
      </c>
      <c r="D143" s="373">
        <f t="shared" si="46"/>
        <v>0</v>
      </c>
      <c r="E143" s="373">
        <f t="shared" si="46"/>
        <v>0</v>
      </c>
      <c r="F143" s="373">
        <f t="shared" si="46"/>
        <v>0</v>
      </c>
      <c r="G143" s="373">
        <f t="shared" si="46"/>
        <v>0</v>
      </c>
      <c r="H143" s="373">
        <f t="shared" si="46"/>
        <v>0</v>
      </c>
      <c r="I143" s="373">
        <f t="shared" si="46"/>
        <v>0</v>
      </c>
      <c r="J143" s="373">
        <f t="shared" si="46"/>
        <v>0</v>
      </c>
      <c r="K143" s="373">
        <f t="shared" si="46"/>
        <v>0</v>
      </c>
      <c r="L143" s="373">
        <f t="shared" si="46"/>
        <v>0</v>
      </c>
      <c r="M143" s="373"/>
      <c r="N143" s="373"/>
      <c r="O143" s="373"/>
      <c r="P143" s="373">
        <f>O68-P140</f>
        <v>-3.2014213502407074E-9</v>
      </c>
    </row>
    <row r="145" spans="1:12" s="29" customFormat="1" ht="15" x14ac:dyDescent="0.25">
      <c r="A145" s="241"/>
      <c r="B145" s="242"/>
      <c r="C145" s="241"/>
      <c r="D145" s="241"/>
      <c r="E145" s="241"/>
      <c r="F145" s="241"/>
      <c r="G145" s="241"/>
      <c r="H145" s="241"/>
      <c r="I145" s="241"/>
      <c r="J145" s="241"/>
      <c r="K145" s="241"/>
      <c r="L145" s="241"/>
    </row>
    <row r="146" spans="1:12" s="29" customFormat="1" ht="15" x14ac:dyDescent="0.25">
      <c r="A146" s="243"/>
      <c r="B146" s="241"/>
      <c r="C146" s="244"/>
      <c r="D146" s="244"/>
      <c r="E146" s="244"/>
      <c r="F146" s="244"/>
      <c r="G146" s="244"/>
      <c r="H146" s="244"/>
      <c r="I146" s="244"/>
      <c r="J146" s="244"/>
      <c r="K146" s="244"/>
      <c r="L146" s="244"/>
    </row>
    <row r="147" spans="1:12" s="29" customFormat="1" ht="15" x14ac:dyDescent="0.25">
      <c r="A147" s="245"/>
      <c r="B147" s="241"/>
      <c r="C147" s="150"/>
      <c r="D147" s="150"/>
      <c r="E147" s="150"/>
      <c r="F147" s="150"/>
      <c r="G147" s="150"/>
      <c r="H147" s="150"/>
      <c r="I147" s="150"/>
      <c r="J147" s="150"/>
      <c r="K147" s="150"/>
      <c r="L147" s="246"/>
    </row>
    <row r="148" spans="1:12" s="29" customFormat="1" ht="15" x14ac:dyDescent="0.25">
      <c r="A148" s="245"/>
      <c r="B148" s="241"/>
      <c r="C148" s="150"/>
      <c r="D148" s="150"/>
      <c r="E148" s="150"/>
      <c r="F148" s="150"/>
      <c r="G148" s="150"/>
      <c r="H148" s="150"/>
      <c r="I148" s="150"/>
      <c r="J148" s="150"/>
      <c r="K148" s="150"/>
      <c r="L148" s="246"/>
    </row>
    <row r="149" spans="1:12" s="29" customFormat="1" ht="15" x14ac:dyDescent="0.25">
      <c r="A149" s="245"/>
      <c r="B149" s="241"/>
      <c r="C149" s="150"/>
      <c r="D149" s="150"/>
      <c r="E149" s="150"/>
      <c r="F149" s="150"/>
      <c r="G149" s="150"/>
      <c r="H149" s="150"/>
      <c r="I149" s="150"/>
      <c r="J149" s="241"/>
      <c r="K149" s="241"/>
      <c r="L149" s="246"/>
    </row>
    <row r="150" spans="1:12" s="29" customFormat="1" ht="15" x14ac:dyDescent="0.25">
      <c r="A150" s="245"/>
      <c r="B150" s="241"/>
      <c r="C150" s="150"/>
      <c r="D150" s="150"/>
      <c r="E150" s="150"/>
      <c r="F150" s="150"/>
      <c r="G150" s="150"/>
      <c r="H150" s="150"/>
      <c r="I150" s="150"/>
      <c r="J150" s="150"/>
      <c r="K150" s="150"/>
      <c r="L150" s="246"/>
    </row>
    <row r="151" spans="1:12" s="29" customFormat="1" ht="15" x14ac:dyDescent="0.25">
      <c r="A151" s="245"/>
      <c r="B151" s="241"/>
      <c r="C151" s="150"/>
      <c r="D151" s="150"/>
      <c r="E151" s="150"/>
      <c r="F151" s="150"/>
      <c r="G151" s="150"/>
      <c r="H151" s="150"/>
      <c r="I151" s="150"/>
      <c r="J151" s="150"/>
      <c r="K151" s="150"/>
      <c r="L151" s="246"/>
    </row>
    <row r="152" spans="1:12" s="29" customFormat="1" ht="15" x14ac:dyDescent="0.25">
      <c r="A152" s="245"/>
      <c r="B152" s="241"/>
      <c r="C152" s="150"/>
      <c r="D152" s="150"/>
      <c r="E152" s="150"/>
      <c r="F152" s="150"/>
      <c r="G152" s="150"/>
      <c r="H152" s="150"/>
      <c r="I152" s="150"/>
      <c r="J152" s="150"/>
      <c r="K152" s="150"/>
      <c r="L152" s="246"/>
    </row>
    <row r="153" spans="1:12" s="29" customFormat="1" ht="15" x14ac:dyDescent="0.25">
      <c r="A153" s="241"/>
      <c r="B153" s="241"/>
      <c r="C153" s="247"/>
      <c r="D153" s="247"/>
      <c r="E153" s="247"/>
      <c r="F153" s="247"/>
      <c r="G153" s="247"/>
      <c r="H153" s="247"/>
      <c r="I153" s="247"/>
      <c r="J153" s="247"/>
      <c r="K153" s="247"/>
      <c r="L153" s="247"/>
    </row>
    <row r="154" spans="1:12" s="29" customFormat="1" x14ac:dyDescent="0.2"/>
    <row r="155" spans="1:12" s="29" customFormat="1" x14ac:dyDescent="0.2"/>
  </sheetData>
  <pageMargins left="0.2" right="0.2" top="0.75" bottom="0.5" header="0.3" footer="0.3"/>
  <pageSetup scale="60" fitToHeight="10" pageOrder="overThenDown" orientation="landscape" r:id="rId1"/>
  <rowBreaks count="1" manualBreakCount="1">
    <brk id="72"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576"/>
  <sheetViews>
    <sheetView topLeftCell="C1" zoomScale="75" zoomScaleNormal="75" workbookViewId="0">
      <selection activeCell="H13" sqref="H13"/>
    </sheetView>
  </sheetViews>
  <sheetFormatPr defaultRowHeight="12.75" x14ac:dyDescent="0.2"/>
  <cols>
    <col min="1" max="1" width="10.28515625" hidden="1" customWidth="1"/>
    <col min="2" max="2" width="10.7109375" hidden="1" customWidth="1"/>
    <col min="3" max="3" width="28.7109375" customWidth="1"/>
    <col min="4" max="4" width="46.5703125" customWidth="1"/>
    <col min="5" max="5" width="28.42578125" customWidth="1"/>
    <col min="6" max="6" width="13.85546875" customWidth="1"/>
    <col min="7" max="7" width="21.7109375" customWidth="1"/>
    <col min="8" max="8" width="21.85546875" customWidth="1"/>
    <col min="9" max="9" width="19.42578125" customWidth="1"/>
    <col min="10" max="10" width="33.28515625" customWidth="1"/>
    <col min="11" max="11" width="11.7109375" customWidth="1"/>
    <col min="12" max="12" width="13.85546875" customWidth="1"/>
    <col min="13" max="13" width="12.5703125" customWidth="1"/>
    <col min="14" max="14" width="21" customWidth="1"/>
    <col min="15" max="15" width="17" hidden="1" customWidth="1"/>
    <col min="16" max="16" width="16" hidden="1" customWidth="1"/>
    <col min="17" max="17" width="15.28515625" hidden="1" customWidth="1"/>
    <col min="18" max="18" width="15.42578125" hidden="1" customWidth="1"/>
    <col min="19" max="19" width="15.28515625" hidden="1" customWidth="1"/>
    <col min="20" max="20" width="12.42578125" hidden="1" customWidth="1"/>
    <col min="21" max="21" width="12.28515625" hidden="1" customWidth="1"/>
    <col min="22" max="22" width="16.140625" hidden="1" customWidth="1"/>
    <col min="23" max="23" width="12.42578125" hidden="1" customWidth="1"/>
    <col min="24" max="24" width="17.7109375" hidden="1" customWidth="1"/>
    <col min="25" max="25" width="16.42578125" customWidth="1"/>
  </cols>
  <sheetData>
    <row r="1" spans="3:25" ht="18.75" x14ac:dyDescent="0.3">
      <c r="C1" s="97" t="s">
        <v>520</v>
      </c>
      <c r="D1" s="10"/>
      <c r="G1" s="10"/>
    </row>
    <row r="2" spans="3:25" ht="19.5" thickBot="1" x14ac:dyDescent="0.35">
      <c r="C2" s="10"/>
      <c r="D2" s="10"/>
      <c r="H2" s="10"/>
      <c r="I2" s="39" t="s">
        <v>1303</v>
      </c>
      <c r="Y2" s="39" t="s">
        <v>1592</v>
      </c>
    </row>
    <row r="3" spans="3:25" ht="18.75" x14ac:dyDescent="0.3">
      <c r="C3" s="96" t="s">
        <v>515</v>
      </c>
      <c r="D3" s="87"/>
      <c r="E3" s="88"/>
      <c r="F3" s="88"/>
      <c r="G3" s="88"/>
      <c r="H3" s="238">
        <f>H4+H11+H14+H15+H16+H19+H22+H23+H24+H25</f>
        <v>10391630.69314</v>
      </c>
      <c r="I3" s="535">
        <f>I4+I11+I14+I15+I16+I19+I22+I23+I24+I25</f>
        <v>110</v>
      </c>
      <c r="J3" s="668">
        <f>H3-V463</f>
        <v>0</v>
      </c>
      <c r="Y3" s="742">
        <f>Y4+Y11+Y14+Y15+Y16+Y19+Y22+Y23+Y24+Y25</f>
        <v>3</v>
      </c>
    </row>
    <row r="4" spans="3:25" ht="15" customHeight="1" x14ac:dyDescent="0.25">
      <c r="C4" s="648" t="s">
        <v>511</v>
      </c>
      <c r="D4" s="649"/>
      <c r="E4" s="641"/>
      <c r="F4" s="29"/>
      <c r="G4" s="29"/>
      <c r="H4" s="239">
        <f>SUM(H5:H10)</f>
        <v>2507480.2300800001</v>
      </c>
      <c r="I4" s="536">
        <f>SUM(I5:I10)</f>
        <v>29</v>
      </c>
      <c r="Y4" s="742">
        <f>SUM(Y5:Y10)</f>
        <v>0</v>
      </c>
    </row>
    <row r="5" spans="3:25" ht="15" customHeight="1" x14ac:dyDescent="0.25">
      <c r="C5" s="653" t="s">
        <v>513</v>
      </c>
      <c r="D5" s="649"/>
      <c r="F5" s="29"/>
      <c r="G5" s="29"/>
      <c r="H5" s="239">
        <f>Y464</f>
        <v>1234440.81</v>
      </c>
      <c r="I5" s="536">
        <v>12</v>
      </c>
      <c r="Y5" s="742">
        <v>0</v>
      </c>
    </row>
    <row r="6" spans="3:25" ht="15" customHeight="1" x14ac:dyDescent="0.25">
      <c r="C6" s="653" t="s">
        <v>32</v>
      </c>
      <c r="D6" s="649"/>
      <c r="F6" s="29"/>
      <c r="G6" s="29"/>
      <c r="H6" s="239">
        <f>Y466</f>
        <v>193316.56799999994</v>
      </c>
      <c r="I6" s="536">
        <v>2</v>
      </c>
      <c r="Y6" s="742">
        <v>0</v>
      </c>
    </row>
    <row r="7" spans="3:25" ht="15" customHeight="1" x14ac:dyDescent="0.25">
      <c r="C7" s="653" t="s">
        <v>536</v>
      </c>
      <c r="D7" s="649"/>
      <c r="F7" s="29"/>
      <c r="G7" s="29"/>
      <c r="H7" s="239">
        <f>Y472</f>
        <v>119844.504</v>
      </c>
      <c r="I7" s="536">
        <v>2</v>
      </c>
      <c r="Y7" s="742">
        <v>0</v>
      </c>
    </row>
    <row r="8" spans="3:25" ht="15" customHeight="1" x14ac:dyDescent="0.25">
      <c r="C8" s="653" t="s">
        <v>36</v>
      </c>
      <c r="D8" s="649"/>
      <c r="F8" s="29"/>
      <c r="G8" s="29"/>
      <c r="H8" s="239">
        <f>Y473</f>
        <v>518616.06407999998</v>
      </c>
      <c r="I8" s="536">
        <v>6</v>
      </c>
      <c r="Y8" s="742">
        <v>0</v>
      </c>
    </row>
    <row r="9" spans="3:25" ht="15" customHeight="1" x14ac:dyDescent="0.25">
      <c r="C9" s="653" t="s">
        <v>683</v>
      </c>
      <c r="D9" s="649"/>
      <c r="F9" s="29"/>
      <c r="G9" s="29"/>
      <c r="H9" s="239">
        <f>Y477</f>
        <v>441262.28399999999</v>
      </c>
      <c r="I9" s="536">
        <f>5+2</f>
        <v>7</v>
      </c>
      <c r="Y9" s="742">
        <v>2</v>
      </c>
    </row>
    <row r="10" spans="3:25" ht="15" customHeight="1" x14ac:dyDescent="0.25">
      <c r="C10" s="653" t="s">
        <v>35</v>
      </c>
      <c r="D10" s="649"/>
      <c r="F10" s="29"/>
      <c r="G10" s="29"/>
      <c r="H10" s="239">
        <f>Y479</f>
        <v>0</v>
      </c>
      <c r="I10" s="536">
        <f>C479</f>
        <v>0</v>
      </c>
      <c r="Y10" s="742">
        <v>-2</v>
      </c>
    </row>
    <row r="11" spans="3:25" ht="15" customHeight="1" x14ac:dyDescent="0.25">
      <c r="C11" s="648" t="s">
        <v>514</v>
      </c>
      <c r="D11" s="649"/>
      <c r="E11" s="652"/>
      <c r="F11" s="29"/>
      <c r="G11" s="29"/>
      <c r="H11" s="239">
        <f>SUM(H12:H13)</f>
        <v>856637.1611400001</v>
      </c>
      <c r="I11" s="536">
        <f>SUM(I12:I13)</f>
        <v>10</v>
      </c>
      <c r="Y11" s="742">
        <f>SUM(Y12:Y13)</f>
        <v>1</v>
      </c>
    </row>
    <row r="12" spans="3:25" ht="15" customHeight="1" x14ac:dyDescent="0.25">
      <c r="C12" s="653" t="s">
        <v>682</v>
      </c>
      <c r="D12" s="649"/>
      <c r="F12" s="29"/>
      <c r="G12" s="29"/>
      <c r="H12" s="239">
        <f>Y467</f>
        <v>561873.03714000003</v>
      </c>
      <c r="I12" s="536">
        <f>6+1</f>
        <v>7</v>
      </c>
      <c r="Y12" s="742">
        <v>1</v>
      </c>
    </row>
    <row r="13" spans="3:25" ht="15" customHeight="1" x14ac:dyDescent="0.25">
      <c r="C13" s="653" t="s">
        <v>41</v>
      </c>
      <c r="D13" s="649"/>
      <c r="F13" s="29"/>
      <c r="G13" s="29"/>
      <c r="H13" s="239">
        <f>Y468</f>
        <v>294764.12400000007</v>
      </c>
      <c r="I13" s="536">
        <v>3</v>
      </c>
      <c r="Y13" s="742">
        <v>0</v>
      </c>
    </row>
    <row r="14" spans="3:25" ht="15" customHeight="1" x14ac:dyDescent="0.3">
      <c r="C14" s="648" t="s">
        <v>775</v>
      </c>
      <c r="D14" s="649"/>
      <c r="E14" s="652"/>
      <c r="F14" s="29"/>
      <c r="G14" s="29"/>
      <c r="H14" s="215">
        <f>Y469</f>
        <v>640535.84800000011</v>
      </c>
      <c r="I14" s="537">
        <v>7</v>
      </c>
      <c r="Y14" s="742">
        <v>0</v>
      </c>
    </row>
    <row r="15" spans="3:25" ht="15" customHeight="1" x14ac:dyDescent="0.3">
      <c r="C15" s="648" t="s">
        <v>660</v>
      </c>
      <c r="D15" s="649"/>
      <c r="E15" s="652"/>
      <c r="F15" s="29"/>
      <c r="G15" s="29"/>
      <c r="H15" s="215">
        <f>Y470</f>
        <v>766729.30160000012</v>
      </c>
      <c r="I15" s="537">
        <v>9</v>
      </c>
      <c r="Y15" s="742">
        <v>0</v>
      </c>
    </row>
    <row r="16" spans="3:25" ht="15" customHeight="1" x14ac:dyDescent="0.3">
      <c r="C16" s="648" t="s">
        <v>518</v>
      </c>
      <c r="D16" s="649"/>
      <c r="E16" s="652"/>
      <c r="F16" s="29"/>
      <c r="G16" s="29"/>
      <c r="H16" s="215">
        <f>SUM(H17:H18)</f>
        <v>1197111.6000000006</v>
      </c>
      <c r="I16" s="537">
        <f>SUM(I17:I18)</f>
        <v>5</v>
      </c>
      <c r="Y16" s="742">
        <f>SUM(Y17:Y18)</f>
        <v>0</v>
      </c>
    </row>
    <row r="17" spans="1:25" ht="15" customHeight="1" x14ac:dyDescent="0.3">
      <c r="C17" s="653" t="s">
        <v>512</v>
      </c>
      <c r="D17" s="649"/>
      <c r="F17" s="29"/>
      <c r="G17" s="29"/>
      <c r="H17" s="215">
        <f>Y465</f>
        <v>9688.5000000000018</v>
      </c>
      <c r="I17" s="537">
        <f>C465-10</f>
        <v>0</v>
      </c>
      <c r="Y17" s="742">
        <v>0</v>
      </c>
    </row>
    <row r="18" spans="1:25" ht="15" customHeight="1" x14ac:dyDescent="0.3">
      <c r="C18" s="653" t="s">
        <v>29</v>
      </c>
      <c r="D18" s="649"/>
      <c r="F18" s="29"/>
      <c r="G18" s="29"/>
      <c r="H18" s="215">
        <f>Y471</f>
        <v>1187423.1000000006</v>
      </c>
      <c r="I18" s="537">
        <v>5</v>
      </c>
      <c r="Y18" s="742">
        <v>0</v>
      </c>
    </row>
    <row r="19" spans="1:25" ht="15" customHeight="1" x14ac:dyDescent="0.3">
      <c r="C19" s="648" t="s">
        <v>519</v>
      </c>
      <c r="D19" s="649"/>
      <c r="E19" s="432"/>
      <c r="F19" s="29"/>
      <c r="G19" s="29"/>
      <c r="H19" s="215">
        <f>SUM(H20:H21)</f>
        <v>1455650.8703999999</v>
      </c>
      <c r="I19" s="537">
        <f>SUM(I20:I21)</f>
        <v>17</v>
      </c>
      <c r="Y19" s="742">
        <f>SUM(Y20:Y21)</f>
        <v>2</v>
      </c>
    </row>
    <row r="20" spans="1:25" ht="15" customHeight="1" x14ac:dyDescent="0.3">
      <c r="C20" s="653" t="s">
        <v>526</v>
      </c>
      <c r="D20" s="649"/>
      <c r="F20" s="29"/>
      <c r="G20" s="29"/>
      <c r="H20" s="215">
        <f>Y480</f>
        <v>957911.40240000002</v>
      </c>
      <c r="I20" s="537">
        <f>10+1</f>
        <v>11</v>
      </c>
      <c r="Y20" s="742">
        <v>1</v>
      </c>
    </row>
    <row r="21" spans="1:25" ht="15" customHeight="1" x14ac:dyDescent="0.3">
      <c r="C21" s="653" t="s">
        <v>525</v>
      </c>
      <c r="D21" s="649"/>
      <c r="F21" s="29"/>
      <c r="G21" s="29"/>
      <c r="H21" s="215">
        <f>Y481</f>
        <v>497739.46799999994</v>
      </c>
      <c r="I21" s="537">
        <f>5+1</f>
        <v>6</v>
      </c>
      <c r="Y21" s="742">
        <v>1</v>
      </c>
    </row>
    <row r="22" spans="1:25" ht="15" customHeight="1" x14ac:dyDescent="0.3">
      <c r="C22" s="648" t="s">
        <v>31</v>
      </c>
      <c r="D22" s="649"/>
      <c r="E22" s="641"/>
      <c r="F22" s="29"/>
      <c r="G22" s="29"/>
      <c r="H22" s="215">
        <f>Y474</f>
        <v>439805.37810000003</v>
      </c>
      <c r="I22" s="537">
        <v>4</v>
      </c>
      <c r="Y22" s="742">
        <v>0</v>
      </c>
    </row>
    <row r="23" spans="1:25" ht="15" customHeight="1" x14ac:dyDescent="0.3">
      <c r="C23" s="648" t="s">
        <v>516</v>
      </c>
      <c r="D23" s="649"/>
      <c r="E23" s="641"/>
      <c r="F23" s="29"/>
      <c r="G23" s="29"/>
      <c r="H23" s="215">
        <f>Y475</f>
        <v>576062.23199999996</v>
      </c>
      <c r="I23" s="537">
        <v>5</v>
      </c>
      <c r="Y23" s="742">
        <v>0</v>
      </c>
    </row>
    <row r="24" spans="1:25" ht="15" customHeight="1" x14ac:dyDescent="0.3">
      <c r="C24" s="648" t="s">
        <v>517</v>
      </c>
      <c r="D24" s="649"/>
      <c r="E24" s="641"/>
      <c r="F24" s="29"/>
      <c r="G24" s="29"/>
      <c r="H24" s="215">
        <f>Y476</f>
        <v>1360620.9287199993</v>
      </c>
      <c r="I24" s="537">
        <v>16</v>
      </c>
      <c r="Y24" s="742">
        <v>0</v>
      </c>
    </row>
    <row r="25" spans="1:25" ht="15" customHeight="1" thickBot="1" x14ac:dyDescent="0.35">
      <c r="C25" s="650" t="s">
        <v>759</v>
      </c>
      <c r="D25" s="651"/>
      <c r="E25" s="642"/>
      <c r="F25" s="94"/>
      <c r="G25" s="94"/>
      <c r="H25" s="216">
        <f>Y478</f>
        <v>590997.14309999999</v>
      </c>
      <c r="I25" s="538">
        <v>8</v>
      </c>
      <c r="Y25" s="742">
        <v>0</v>
      </c>
    </row>
    <row r="26" spans="1:25" ht="19.5" thickBot="1" x14ac:dyDescent="0.35">
      <c r="A26" s="79"/>
      <c r="B26" s="79"/>
      <c r="E26" s="80"/>
    </row>
    <row r="27" spans="1:25" x14ac:dyDescent="0.2">
      <c r="A27" s="60"/>
      <c r="B27" s="61"/>
      <c r="C27" s="61"/>
      <c r="D27" s="61"/>
      <c r="E27" s="61"/>
      <c r="F27" s="61"/>
      <c r="G27" s="61"/>
      <c r="H27" s="61"/>
      <c r="I27" s="61"/>
      <c r="J27" s="61"/>
      <c r="K27" s="61"/>
      <c r="L27" s="61"/>
      <c r="M27" s="61"/>
      <c r="N27" s="61"/>
      <c r="O27" s="189"/>
      <c r="P27" s="187">
        <v>0.35799999999999998</v>
      </c>
      <c r="Q27" s="187">
        <v>1.4500000000000001E-2</v>
      </c>
      <c r="R27" s="187">
        <v>6.2E-2</v>
      </c>
      <c r="S27" s="539">
        <f>S463/N463</f>
        <v>0.10718265474055357</v>
      </c>
      <c r="T27" s="539">
        <f>T463/N463</f>
        <v>7.0313695083530888E-3</v>
      </c>
      <c r="U27" s="539">
        <f>U463/N463</f>
        <v>3.1126497449417167E-3</v>
      </c>
      <c r="V27" s="61"/>
      <c r="W27" s="189"/>
      <c r="X27" s="330">
        <v>5.0000000000000001E-3</v>
      </c>
      <c r="Y27" s="81"/>
    </row>
    <row r="28" spans="1:25" ht="93" customHeight="1" thickBot="1" x14ac:dyDescent="0.3">
      <c r="A28" s="76" t="s">
        <v>438</v>
      </c>
      <c r="B28" s="77" t="s">
        <v>443</v>
      </c>
      <c r="C28" s="78" t="s">
        <v>439</v>
      </c>
      <c r="D28" s="77" t="s">
        <v>440</v>
      </c>
      <c r="E28" s="77" t="s">
        <v>488</v>
      </c>
      <c r="F28" s="77" t="s">
        <v>444</v>
      </c>
      <c r="G28" s="77" t="s">
        <v>489</v>
      </c>
      <c r="H28" s="77" t="s">
        <v>473</v>
      </c>
      <c r="I28" s="78" t="s">
        <v>379</v>
      </c>
      <c r="J28" s="78" t="s">
        <v>441</v>
      </c>
      <c r="K28" s="62" t="s">
        <v>442</v>
      </c>
      <c r="L28" s="62" t="s">
        <v>714</v>
      </c>
      <c r="M28" s="62" t="s">
        <v>715</v>
      </c>
      <c r="N28" s="62" t="s">
        <v>450</v>
      </c>
      <c r="O28" s="190" t="s">
        <v>716</v>
      </c>
      <c r="P28" s="62" t="s">
        <v>1408</v>
      </c>
      <c r="Q28" s="62" t="s">
        <v>717</v>
      </c>
      <c r="R28" s="62" t="s">
        <v>718</v>
      </c>
      <c r="S28" s="62" t="s">
        <v>721</v>
      </c>
      <c r="T28" s="62" t="s">
        <v>719</v>
      </c>
      <c r="U28" s="62" t="s">
        <v>720</v>
      </c>
      <c r="V28" s="62" t="s">
        <v>462</v>
      </c>
      <c r="W28" s="190" t="s">
        <v>722</v>
      </c>
      <c r="X28" s="349" t="s">
        <v>723</v>
      </c>
      <c r="Y28" s="83" t="s">
        <v>521</v>
      </c>
    </row>
    <row r="29" spans="1:25" x14ac:dyDescent="0.2">
      <c r="A29" s="30">
        <v>285282</v>
      </c>
      <c r="B29" s="30"/>
      <c r="C29" s="34" t="s">
        <v>226</v>
      </c>
      <c r="D29" s="426">
        <v>615</v>
      </c>
      <c r="E29" s="34" t="s">
        <v>330</v>
      </c>
      <c r="F29" s="30" t="s">
        <v>6</v>
      </c>
      <c r="G29" s="34" t="s">
        <v>454</v>
      </c>
      <c r="H29" s="30" t="s">
        <v>460</v>
      </c>
      <c r="I29" s="30" t="s">
        <v>29</v>
      </c>
      <c r="J29" s="30" t="s">
        <v>692</v>
      </c>
      <c r="K29" s="580">
        <v>24.81</v>
      </c>
      <c r="L29" s="580">
        <v>2080</v>
      </c>
      <c r="M29" s="580"/>
      <c r="N29" s="580">
        <f>IF(H29="1",(L29*K29)+(M29*K29),0)</f>
        <v>0</v>
      </c>
      <c r="O29" s="580"/>
      <c r="P29" s="580">
        <f>(N29-(M29*K29))*$P$27</f>
        <v>0</v>
      </c>
      <c r="Q29" s="580">
        <f>N29*$Q$27</f>
        <v>0</v>
      </c>
      <c r="R29" s="580">
        <f>0*$R$27</f>
        <v>0</v>
      </c>
      <c r="S29" s="580">
        <f>IF(H29="1",3242.52*2,0)</f>
        <v>0</v>
      </c>
      <c r="T29" s="580">
        <f>IF(H29="1",276.36*2,0)</f>
        <v>0</v>
      </c>
      <c r="U29" s="580">
        <f>IF(H29="1",162*2,0)</f>
        <v>0</v>
      </c>
      <c r="V29" s="473">
        <f>SUM(N29:U29)</f>
        <v>0</v>
      </c>
      <c r="W29" s="580">
        <f>IF(P29&lt;&gt;"",V29*$W$27,0)</f>
        <v>0</v>
      </c>
      <c r="X29" s="580"/>
      <c r="Y29" s="581">
        <f>X29+W29+V29</f>
        <v>0</v>
      </c>
    </row>
    <row r="30" spans="1:25" ht="12.75" customHeight="1" x14ac:dyDescent="0.2">
      <c r="A30" s="30">
        <v>162837</v>
      </c>
      <c r="B30" s="30"/>
      <c r="C30" s="30" t="s">
        <v>232</v>
      </c>
      <c r="D30" s="426">
        <v>314</v>
      </c>
      <c r="E30" s="34" t="s">
        <v>338</v>
      </c>
      <c r="F30" s="34" t="s">
        <v>6</v>
      </c>
      <c r="G30" s="34" t="s">
        <v>454</v>
      </c>
      <c r="H30" s="30" t="s">
        <v>461</v>
      </c>
      <c r="I30" s="34" t="s">
        <v>36</v>
      </c>
      <c r="J30" s="34" t="s">
        <v>692</v>
      </c>
      <c r="K30" s="580">
        <v>35.1</v>
      </c>
      <c r="L30" s="580">
        <v>2080</v>
      </c>
      <c r="M30" s="580"/>
      <c r="N30" s="580">
        <f>IF(H30="1",(L30*K30)+(M30*K30),0)</f>
        <v>73008</v>
      </c>
      <c r="O30" s="580"/>
      <c r="P30" s="580">
        <f>(N30-(M30*K30))*$P$27</f>
        <v>26136.863999999998</v>
      </c>
      <c r="Q30" s="580">
        <f>N30*$Q$27</f>
        <v>1058.616</v>
      </c>
      <c r="R30" s="580">
        <f>0*$R$27</f>
        <v>0</v>
      </c>
      <c r="S30" s="580">
        <f>IF(H30="1",2828.52*2,0)</f>
        <v>5657.04</v>
      </c>
      <c r="T30" s="580">
        <f>IF(H30="1",154.92*2,0)</f>
        <v>309.83999999999997</v>
      </c>
      <c r="U30" s="580">
        <v>0</v>
      </c>
      <c r="V30" s="473">
        <f>SUM(N30:U30)</f>
        <v>106170.35999999999</v>
      </c>
      <c r="W30" s="580">
        <f>IF(P30&lt;&gt;"",V30*$W$27,0)</f>
        <v>0</v>
      </c>
      <c r="X30" s="580"/>
      <c r="Y30" s="581">
        <f>X30+W30+V30</f>
        <v>106170.35999999999</v>
      </c>
    </row>
    <row r="31" spans="1:25" ht="12.75" customHeight="1" x14ac:dyDescent="0.2">
      <c r="A31" s="30">
        <v>182598</v>
      </c>
      <c r="B31" s="30"/>
      <c r="C31" s="30" t="s">
        <v>214</v>
      </c>
      <c r="D31" s="426">
        <v>618</v>
      </c>
      <c r="E31" s="434" t="s">
        <v>324</v>
      </c>
      <c r="F31" s="34" t="s">
        <v>6</v>
      </c>
      <c r="G31" s="34" t="s">
        <v>454</v>
      </c>
      <c r="H31" s="582" t="s">
        <v>461</v>
      </c>
      <c r="I31" s="34" t="s">
        <v>28</v>
      </c>
      <c r="J31" s="34" t="s">
        <v>127</v>
      </c>
      <c r="K31" s="580">
        <f>35.63*7.5%</f>
        <v>2.67225</v>
      </c>
      <c r="L31" s="580">
        <v>2080</v>
      </c>
      <c r="M31" s="580"/>
      <c r="N31" s="580">
        <f>IF(H31="1",(L31*K31)+(M31*K31),0)</f>
        <v>5558.28</v>
      </c>
      <c r="O31" s="580"/>
      <c r="P31" s="580">
        <f>(N31-(M31*K31))*$P$27</f>
        <v>1989.8642399999999</v>
      </c>
      <c r="Q31" s="580">
        <f>N31*$Q$27</f>
        <v>80.595060000000004</v>
      </c>
      <c r="R31" s="580">
        <f>0*$R$27</f>
        <v>0</v>
      </c>
      <c r="S31" s="580">
        <f>IF(H31="1",5166.6*2,0)</f>
        <v>10333.200000000001</v>
      </c>
      <c r="T31" s="580">
        <f>IF(H31="1",527.28*2,0)</f>
        <v>1054.56</v>
      </c>
      <c r="U31" s="580">
        <f>IF(H31="1",162*2,0)</f>
        <v>324</v>
      </c>
      <c r="V31" s="473">
        <f>SUM(N31:U31)</f>
        <v>19340.499299999999</v>
      </c>
      <c r="W31" s="580">
        <f>IF(P31&lt;&gt;"",V31*$W$27,0)</f>
        <v>0</v>
      </c>
      <c r="X31" s="580"/>
      <c r="Y31" s="581">
        <f>X31+W31+V31</f>
        <v>19340.499299999999</v>
      </c>
    </row>
    <row r="32" spans="1:25" s="432" customFormat="1" ht="12.75" customHeight="1" x14ac:dyDescent="0.2">
      <c r="A32" s="30"/>
      <c r="B32" s="30"/>
      <c r="C32" s="30" t="s">
        <v>214</v>
      </c>
      <c r="D32" s="426">
        <v>618</v>
      </c>
      <c r="E32" s="434" t="s">
        <v>324</v>
      </c>
      <c r="F32" s="34" t="s">
        <v>6</v>
      </c>
      <c r="G32" s="34" t="s">
        <v>454</v>
      </c>
      <c r="H32" s="582" t="s">
        <v>461</v>
      </c>
      <c r="I32" s="34" t="s">
        <v>28</v>
      </c>
      <c r="J32" s="434" t="s">
        <v>692</v>
      </c>
      <c r="K32" s="580">
        <f>35.63*55.5%</f>
        <v>19.774650000000005</v>
      </c>
      <c r="L32" s="580">
        <v>2080</v>
      </c>
      <c r="M32" s="580"/>
      <c r="N32" s="580">
        <f t="shared" ref="N32:N39" si="0">IF(H32="1",(L32*K32)+(M32*K32),0)</f>
        <v>41131.272000000012</v>
      </c>
      <c r="O32" s="580"/>
      <c r="P32" s="580">
        <f t="shared" ref="P32:P39" si="1">(N32-(M32*K32))*$P$27</f>
        <v>14724.995376000004</v>
      </c>
      <c r="Q32" s="580">
        <f t="shared" ref="Q32:Q39" si="2">N32*$Q$27</f>
        <v>596.40344400000015</v>
      </c>
      <c r="R32" s="580">
        <f t="shared" ref="R32:R39" si="3">0*$R$27</f>
        <v>0</v>
      </c>
      <c r="S32" s="580"/>
      <c r="T32" s="580"/>
      <c r="U32" s="580"/>
      <c r="V32" s="473">
        <f t="shared" ref="V32:V39" si="4">SUM(N32:U32)</f>
        <v>56452.670820000021</v>
      </c>
      <c r="W32" s="580">
        <f t="shared" ref="W32:W39" si="5">IF(P32&lt;&gt;"",V32*$W$27,0)</f>
        <v>0</v>
      </c>
      <c r="X32" s="580"/>
      <c r="Y32" s="581">
        <f t="shared" ref="Y32:Y39" si="6">X32+W32+V32</f>
        <v>56452.670820000021</v>
      </c>
    </row>
    <row r="33" spans="1:25" s="432" customFormat="1" ht="12.75" customHeight="1" x14ac:dyDescent="0.2">
      <c r="A33" s="30"/>
      <c r="B33" s="30"/>
      <c r="C33" s="30" t="s">
        <v>214</v>
      </c>
      <c r="D33" s="426">
        <v>618</v>
      </c>
      <c r="E33" s="434" t="s">
        <v>324</v>
      </c>
      <c r="F33" s="34" t="s">
        <v>6</v>
      </c>
      <c r="G33" s="34" t="s">
        <v>454</v>
      </c>
      <c r="H33" s="582" t="s">
        <v>461</v>
      </c>
      <c r="I33" s="34" t="s">
        <v>28</v>
      </c>
      <c r="J33" s="34" t="s">
        <v>129</v>
      </c>
      <c r="K33" s="580">
        <f>35.63*2%</f>
        <v>0.71260000000000001</v>
      </c>
      <c r="L33" s="580">
        <v>2080</v>
      </c>
      <c r="M33" s="580"/>
      <c r="N33" s="580">
        <f t="shared" si="0"/>
        <v>1482.2080000000001</v>
      </c>
      <c r="O33" s="580"/>
      <c r="P33" s="580">
        <f t="shared" si="1"/>
        <v>530.63046399999996</v>
      </c>
      <c r="Q33" s="580">
        <f t="shared" si="2"/>
        <v>21.492016000000003</v>
      </c>
      <c r="R33" s="580">
        <f t="shared" si="3"/>
        <v>0</v>
      </c>
      <c r="S33" s="580"/>
      <c r="T33" s="580"/>
      <c r="U33" s="580"/>
      <c r="V33" s="473">
        <f t="shared" si="4"/>
        <v>2034.3304799999999</v>
      </c>
      <c r="W33" s="580">
        <f t="shared" si="5"/>
        <v>0</v>
      </c>
      <c r="X33" s="580"/>
      <c r="Y33" s="581">
        <f t="shared" si="6"/>
        <v>2034.3304799999999</v>
      </c>
    </row>
    <row r="34" spans="1:25" s="432" customFormat="1" ht="12.75" customHeight="1" x14ac:dyDescent="0.2">
      <c r="A34" s="30"/>
      <c r="B34" s="30"/>
      <c r="C34" s="30" t="s">
        <v>214</v>
      </c>
      <c r="D34" s="426">
        <v>618</v>
      </c>
      <c r="E34" s="434" t="s">
        <v>324</v>
      </c>
      <c r="F34" s="34" t="s">
        <v>6</v>
      </c>
      <c r="G34" s="34" t="s">
        <v>454</v>
      </c>
      <c r="H34" s="582" t="s">
        <v>461</v>
      </c>
      <c r="I34" s="34" t="s">
        <v>28</v>
      </c>
      <c r="J34" s="34" t="s">
        <v>144</v>
      </c>
      <c r="K34" s="580">
        <f>35.63*2.5%</f>
        <v>0.89075000000000015</v>
      </c>
      <c r="L34" s="580">
        <v>2080</v>
      </c>
      <c r="M34" s="580"/>
      <c r="N34" s="580">
        <f t="shared" si="0"/>
        <v>1852.7600000000002</v>
      </c>
      <c r="O34" s="580"/>
      <c r="P34" s="580">
        <f t="shared" si="1"/>
        <v>663.28808000000004</v>
      </c>
      <c r="Q34" s="580">
        <f t="shared" si="2"/>
        <v>26.865020000000005</v>
      </c>
      <c r="R34" s="580">
        <f t="shared" si="3"/>
        <v>0</v>
      </c>
      <c r="S34" s="580"/>
      <c r="T34" s="580"/>
      <c r="U34" s="580"/>
      <c r="V34" s="473">
        <f t="shared" si="4"/>
        <v>2542.9131000000007</v>
      </c>
      <c r="W34" s="580">
        <f t="shared" si="5"/>
        <v>0</v>
      </c>
      <c r="X34" s="580"/>
      <c r="Y34" s="581">
        <f t="shared" si="6"/>
        <v>2542.9131000000007</v>
      </c>
    </row>
    <row r="35" spans="1:25" s="432" customFormat="1" ht="12.75" customHeight="1" x14ac:dyDescent="0.2">
      <c r="A35" s="30"/>
      <c r="B35" s="30"/>
      <c r="C35" s="30" t="s">
        <v>214</v>
      </c>
      <c r="D35" s="426">
        <v>618</v>
      </c>
      <c r="E35" s="434" t="s">
        <v>324</v>
      </c>
      <c r="F35" s="34" t="s">
        <v>6</v>
      </c>
      <c r="G35" s="34" t="s">
        <v>454</v>
      </c>
      <c r="H35" s="582" t="s">
        <v>461</v>
      </c>
      <c r="I35" s="34" t="s">
        <v>28</v>
      </c>
      <c r="J35" s="34" t="s">
        <v>133</v>
      </c>
      <c r="K35" s="580">
        <f>35.63*5%</f>
        <v>1.7815000000000003</v>
      </c>
      <c r="L35" s="580">
        <v>2080</v>
      </c>
      <c r="M35" s="580"/>
      <c r="N35" s="580">
        <f t="shared" si="0"/>
        <v>3705.5200000000004</v>
      </c>
      <c r="O35" s="580"/>
      <c r="P35" s="580">
        <f t="shared" si="1"/>
        <v>1326.5761600000001</v>
      </c>
      <c r="Q35" s="580">
        <f t="shared" si="2"/>
        <v>53.73004000000001</v>
      </c>
      <c r="R35" s="580">
        <f t="shared" si="3"/>
        <v>0</v>
      </c>
      <c r="S35" s="580"/>
      <c r="T35" s="580"/>
      <c r="U35" s="580"/>
      <c r="V35" s="473">
        <f t="shared" si="4"/>
        <v>5085.8262000000013</v>
      </c>
      <c r="W35" s="580">
        <f t="shared" si="5"/>
        <v>0</v>
      </c>
      <c r="X35" s="580"/>
      <c r="Y35" s="581">
        <f t="shared" si="6"/>
        <v>5085.8262000000013</v>
      </c>
    </row>
    <row r="36" spans="1:25" s="432" customFormat="1" ht="12.75" customHeight="1" x14ac:dyDescent="0.2">
      <c r="A36" s="30"/>
      <c r="B36" s="30"/>
      <c r="C36" s="30" t="s">
        <v>214</v>
      </c>
      <c r="D36" s="426">
        <v>618</v>
      </c>
      <c r="E36" s="434" t="s">
        <v>324</v>
      </c>
      <c r="F36" s="34" t="s">
        <v>6</v>
      </c>
      <c r="G36" s="34" t="s">
        <v>454</v>
      </c>
      <c r="H36" s="582" t="s">
        <v>461</v>
      </c>
      <c r="I36" s="34" t="s">
        <v>28</v>
      </c>
      <c r="J36" s="34" t="s">
        <v>159</v>
      </c>
      <c r="K36" s="580">
        <f>35.63*7.5%</f>
        <v>2.67225</v>
      </c>
      <c r="L36" s="580">
        <v>2080</v>
      </c>
      <c r="M36" s="580"/>
      <c r="N36" s="580">
        <f t="shared" si="0"/>
        <v>5558.28</v>
      </c>
      <c r="O36" s="580"/>
      <c r="P36" s="580">
        <f t="shared" si="1"/>
        <v>1989.8642399999999</v>
      </c>
      <c r="Q36" s="580">
        <f t="shared" si="2"/>
        <v>80.595060000000004</v>
      </c>
      <c r="R36" s="580">
        <f t="shared" si="3"/>
        <v>0</v>
      </c>
      <c r="S36" s="580"/>
      <c r="T36" s="580"/>
      <c r="U36" s="580"/>
      <c r="V36" s="473">
        <f t="shared" si="4"/>
        <v>7628.7392999999993</v>
      </c>
      <c r="W36" s="580">
        <f t="shared" si="5"/>
        <v>0</v>
      </c>
      <c r="X36" s="580"/>
      <c r="Y36" s="581">
        <f t="shared" si="6"/>
        <v>7628.7392999999993</v>
      </c>
    </row>
    <row r="37" spans="1:25" s="432" customFormat="1" ht="12.75" customHeight="1" x14ac:dyDescent="0.2">
      <c r="A37" s="30"/>
      <c r="B37" s="30"/>
      <c r="C37" s="30" t="s">
        <v>214</v>
      </c>
      <c r="D37" s="426">
        <v>618</v>
      </c>
      <c r="E37" s="434" t="s">
        <v>324</v>
      </c>
      <c r="F37" s="34" t="s">
        <v>6</v>
      </c>
      <c r="G37" s="34" t="s">
        <v>454</v>
      </c>
      <c r="H37" s="582" t="s">
        <v>461</v>
      </c>
      <c r="I37" s="34" t="s">
        <v>28</v>
      </c>
      <c r="J37" s="34" t="s">
        <v>124</v>
      </c>
      <c r="K37" s="580">
        <f>35.63*10%</f>
        <v>3.5630000000000006</v>
      </c>
      <c r="L37" s="580">
        <v>2080</v>
      </c>
      <c r="M37" s="580"/>
      <c r="N37" s="580">
        <f t="shared" si="0"/>
        <v>7411.0400000000009</v>
      </c>
      <c r="O37" s="580"/>
      <c r="P37" s="580">
        <f t="shared" si="1"/>
        <v>2653.1523200000001</v>
      </c>
      <c r="Q37" s="580">
        <f t="shared" si="2"/>
        <v>107.46008000000002</v>
      </c>
      <c r="R37" s="580">
        <f t="shared" si="3"/>
        <v>0</v>
      </c>
      <c r="S37" s="580"/>
      <c r="T37" s="580"/>
      <c r="U37" s="580"/>
      <c r="V37" s="473">
        <f t="shared" si="4"/>
        <v>10171.652400000003</v>
      </c>
      <c r="W37" s="580">
        <f t="shared" si="5"/>
        <v>0</v>
      </c>
      <c r="X37" s="580"/>
      <c r="Y37" s="581">
        <f t="shared" si="6"/>
        <v>10171.652400000003</v>
      </c>
    </row>
    <row r="38" spans="1:25" s="432" customFormat="1" ht="12.75" customHeight="1" x14ac:dyDescent="0.2">
      <c r="A38" s="30"/>
      <c r="B38" s="30"/>
      <c r="C38" s="30" t="s">
        <v>214</v>
      </c>
      <c r="D38" s="426">
        <v>618</v>
      </c>
      <c r="E38" s="434" t="s">
        <v>324</v>
      </c>
      <c r="F38" s="34" t="s">
        <v>6</v>
      </c>
      <c r="G38" s="34" t="s">
        <v>454</v>
      </c>
      <c r="H38" s="582" t="s">
        <v>461</v>
      </c>
      <c r="I38" s="34" t="s">
        <v>28</v>
      </c>
      <c r="J38" s="34" t="s">
        <v>162</v>
      </c>
      <c r="K38" s="580">
        <f>35.63*7.5%</f>
        <v>2.67225</v>
      </c>
      <c r="L38" s="580">
        <v>2080</v>
      </c>
      <c r="M38" s="580"/>
      <c r="N38" s="580">
        <f t="shared" si="0"/>
        <v>5558.28</v>
      </c>
      <c r="O38" s="580"/>
      <c r="P38" s="580">
        <f t="shared" si="1"/>
        <v>1989.8642399999999</v>
      </c>
      <c r="Q38" s="580">
        <f t="shared" si="2"/>
        <v>80.595060000000004</v>
      </c>
      <c r="R38" s="580">
        <f t="shared" si="3"/>
        <v>0</v>
      </c>
      <c r="S38" s="580"/>
      <c r="T38" s="580"/>
      <c r="U38" s="580"/>
      <c r="V38" s="473">
        <f t="shared" si="4"/>
        <v>7628.7392999999993</v>
      </c>
      <c r="W38" s="580">
        <f t="shared" si="5"/>
        <v>0</v>
      </c>
      <c r="X38" s="580"/>
      <c r="Y38" s="581">
        <f t="shared" si="6"/>
        <v>7628.7392999999993</v>
      </c>
    </row>
    <row r="39" spans="1:25" s="432" customFormat="1" ht="12.75" customHeight="1" x14ac:dyDescent="0.2">
      <c r="A39" s="30"/>
      <c r="B39" s="30"/>
      <c r="C39" s="30" t="s">
        <v>214</v>
      </c>
      <c r="D39" s="426">
        <v>618</v>
      </c>
      <c r="E39" s="434" t="s">
        <v>324</v>
      </c>
      <c r="F39" s="34" t="s">
        <v>6</v>
      </c>
      <c r="G39" s="34" t="s">
        <v>454</v>
      </c>
      <c r="H39" s="582" t="s">
        <v>461</v>
      </c>
      <c r="I39" s="34" t="s">
        <v>28</v>
      </c>
      <c r="J39" s="34" t="s">
        <v>796</v>
      </c>
      <c r="K39" s="580">
        <f>35.63*2.5%</f>
        <v>0.89075000000000015</v>
      </c>
      <c r="L39" s="580">
        <v>2080</v>
      </c>
      <c r="M39" s="580"/>
      <c r="N39" s="580">
        <f t="shared" si="0"/>
        <v>1852.7600000000002</v>
      </c>
      <c r="O39" s="580"/>
      <c r="P39" s="580">
        <f t="shared" si="1"/>
        <v>663.28808000000004</v>
      </c>
      <c r="Q39" s="580">
        <f t="shared" si="2"/>
        <v>26.865020000000005</v>
      </c>
      <c r="R39" s="580">
        <f t="shared" si="3"/>
        <v>0</v>
      </c>
      <c r="S39" s="580"/>
      <c r="T39" s="580"/>
      <c r="U39" s="580"/>
      <c r="V39" s="473">
        <f t="shared" si="4"/>
        <v>2542.9131000000007</v>
      </c>
      <c r="W39" s="580">
        <f t="shared" si="5"/>
        <v>0</v>
      </c>
      <c r="X39" s="580"/>
      <c r="Y39" s="581">
        <f t="shared" si="6"/>
        <v>2542.9131000000007</v>
      </c>
    </row>
    <row r="40" spans="1:25" ht="12.75" customHeight="1" x14ac:dyDescent="0.2">
      <c r="A40" s="30">
        <v>189794</v>
      </c>
      <c r="B40" s="30"/>
      <c r="C40" s="34" t="s">
        <v>1415</v>
      </c>
      <c r="D40" s="426" t="s">
        <v>333</v>
      </c>
      <c r="E40" s="34" t="s">
        <v>747</v>
      </c>
      <c r="F40" s="34" t="s">
        <v>453</v>
      </c>
      <c r="G40" s="34" t="s">
        <v>792</v>
      </c>
      <c r="H40" s="30" t="s">
        <v>461</v>
      </c>
      <c r="I40" s="34" t="s">
        <v>27</v>
      </c>
      <c r="J40" s="34" t="s">
        <v>62</v>
      </c>
      <c r="K40" s="580">
        <v>50</v>
      </c>
      <c r="L40" s="580">
        <v>18</v>
      </c>
      <c r="M40" s="580"/>
      <c r="N40" s="580">
        <f t="shared" ref="N40:N79" si="7">IF(H40="1",(L40*K40)+(M40*K40),0)</f>
        <v>900</v>
      </c>
      <c r="O40" s="580"/>
      <c r="P40" s="580">
        <f>(N40-(M40*K40))*0</f>
        <v>0</v>
      </c>
      <c r="Q40" s="580">
        <f t="shared" ref="Q40:Q79" si="8">N40*$Q$27</f>
        <v>13.05</v>
      </c>
      <c r="R40" s="580">
        <f>N40*$R$27</f>
        <v>55.8</v>
      </c>
      <c r="S40" s="580">
        <v>0</v>
      </c>
      <c r="T40" s="580">
        <v>0</v>
      </c>
      <c r="U40" s="580">
        <v>0</v>
      </c>
      <c r="V40" s="473">
        <f t="shared" ref="V40:V41" si="9">SUM(N40:U40)</f>
        <v>968.84999999999991</v>
      </c>
      <c r="W40" s="580">
        <f t="shared" ref="W40:W41" si="10">IF(P40&lt;&gt;"",V40*$W$27,0)</f>
        <v>0</v>
      </c>
      <c r="X40" s="580"/>
      <c r="Y40" s="581">
        <f t="shared" ref="Y40:Y41" si="11">X40+W40+V40</f>
        <v>968.84999999999991</v>
      </c>
    </row>
    <row r="41" spans="1:25" ht="12.75" customHeight="1" x14ac:dyDescent="0.2">
      <c r="A41" s="30">
        <v>126742</v>
      </c>
      <c r="B41" s="30"/>
      <c r="C41" s="30" t="s">
        <v>276</v>
      </c>
      <c r="D41" s="426">
        <v>613</v>
      </c>
      <c r="E41" s="434" t="s">
        <v>354</v>
      </c>
      <c r="F41" s="34" t="s">
        <v>6</v>
      </c>
      <c r="G41" s="34" t="s">
        <v>454</v>
      </c>
      <c r="H41" s="582" t="s">
        <v>461</v>
      </c>
      <c r="I41" s="34" t="s">
        <v>38</v>
      </c>
      <c r="J41" s="34" t="s">
        <v>128</v>
      </c>
      <c r="K41" s="580">
        <f>23.74*95%</f>
        <v>22.552999999999997</v>
      </c>
      <c r="L41" s="580">
        <v>2080</v>
      </c>
      <c r="M41" s="580"/>
      <c r="N41" s="580">
        <f t="shared" si="7"/>
        <v>46910.239999999991</v>
      </c>
      <c r="O41" s="580"/>
      <c r="P41" s="580">
        <f>(N41-(M41*K41))*$P$27</f>
        <v>16793.865919999997</v>
      </c>
      <c r="Q41" s="580">
        <f t="shared" si="8"/>
        <v>680.1984799999999</v>
      </c>
      <c r="R41" s="580">
        <f>0*$R$27</f>
        <v>0</v>
      </c>
      <c r="S41" s="580">
        <f>IF(H41="1",3242.52*2,0)</f>
        <v>6485.04</v>
      </c>
      <c r="T41" s="580">
        <f>IF(H41="1",361.92*2,0)</f>
        <v>723.84</v>
      </c>
      <c r="U41" s="580">
        <f>IF(H41="1",162*2,0)</f>
        <v>324</v>
      </c>
      <c r="V41" s="473">
        <f t="shared" si="9"/>
        <v>71917.184399999984</v>
      </c>
      <c r="W41" s="580">
        <f t="shared" si="10"/>
        <v>0</v>
      </c>
      <c r="X41" s="580"/>
      <c r="Y41" s="581">
        <f t="shared" si="11"/>
        <v>71917.184399999984</v>
      </c>
    </row>
    <row r="42" spans="1:25" s="432" customFormat="1" ht="12.75" customHeight="1" x14ac:dyDescent="0.2">
      <c r="A42" s="30"/>
      <c r="B42" s="30"/>
      <c r="C42" s="30" t="s">
        <v>276</v>
      </c>
      <c r="D42" s="426">
        <v>613</v>
      </c>
      <c r="E42" s="434" t="s">
        <v>354</v>
      </c>
      <c r="F42" s="34" t="s">
        <v>6</v>
      </c>
      <c r="G42" s="34" t="s">
        <v>454</v>
      </c>
      <c r="H42" s="582" t="s">
        <v>461</v>
      </c>
      <c r="I42" s="34" t="s">
        <v>38</v>
      </c>
      <c r="J42" s="34" t="s">
        <v>1136</v>
      </c>
      <c r="K42" s="580">
        <f>23.74*5%</f>
        <v>1.1870000000000001</v>
      </c>
      <c r="L42" s="580">
        <v>2080</v>
      </c>
      <c r="M42" s="580"/>
      <c r="N42" s="580">
        <f t="shared" ref="N42" si="12">IF(H42="1",(L42*K42)+(M42*K42),0)</f>
        <v>2468.96</v>
      </c>
      <c r="O42" s="580"/>
      <c r="P42" s="580">
        <f>(N42-(M42*K42))*$P$27</f>
        <v>883.88767999999993</v>
      </c>
      <c r="Q42" s="580">
        <f t="shared" ref="Q42" si="13">N42*$Q$27</f>
        <v>35.79992</v>
      </c>
      <c r="R42" s="580">
        <f>0*$R$27</f>
        <v>0</v>
      </c>
      <c r="S42" s="580"/>
      <c r="T42" s="580"/>
      <c r="U42" s="580"/>
      <c r="V42" s="473">
        <f t="shared" ref="V42:V113" si="14">SUM(N42:U42)</f>
        <v>3388.6475999999998</v>
      </c>
      <c r="W42" s="580">
        <f t="shared" ref="W42:W113" si="15">IF(P42&lt;&gt;"",V42*$W$27,0)</f>
        <v>0</v>
      </c>
      <c r="X42" s="580"/>
      <c r="Y42" s="581">
        <f t="shared" ref="Y42:Y113" si="16">X42+W42+V42</f>
        <v>3388.6475999999998</v>
      </c>
    </row>
    <row r="43" spans="1:25" ht="12.75" customHeight="1" x14ac:dyDescent="0.2">
      <c r="A43" s="30">
        <v>156749</v>
      </c>
      <c r="B43" s="30"/>
      <c r="C43" s="30" t="s">
        <v>294</v>
      </c>
      <c r="D43" s="426">
        <v>617</v>
      </c>
      <c r="E43" s="34" t="s">
        <v>361</v>
      </c>
      <c r="F43" s="34" t="s">
        <v>6</v>
      </c>
      <c r="G43" s="34" t="s">
        <v>454</v>
      </c>
      <c r="H43" s="30" t="s">
        <v>461</v>
      </c>
      <c r="I43" s="34" t="s">
        <v>34</v>
      </c>
      <c r="J43" s="34" t="s">
        <v>167</v>
      </c>
      <c r="K43" s="580">
        <f>26.95*5%</f>
        <v>1.3475000000000001</v>
      </c>
      <c r="L43" s="580">
        <v>2080</v>
      </c>
      <c r="M43" s="580"/>
      <c r="N43" s="580">
        <f t="shared" si="7"/>
        <v>2802.8</v>
      </c>
      <c r="O43" s="580"/>
      <c r="P43" s="580">
        <f>(N43-(M43*K43))*$P$27</f>
        <v>1003.4024000000001</v>
      </c>
      <c r="Q43" s="580">
        <f t="shared" si="8"/>
        <v>40.640600000000006</v>
      </c>
      <c r="R43" s="580">
        <f>0*$R$27</f>
        <v>0</v>
      </c>
      <c r="S43" s="580">
        <f>IF(H43="1",3242.52*2,0)</f>
        <v>6485.04</v>
      </c>
      <c r="T43" s="580">
        <f>IF(H43="1",527.28*2,0)</f>
        <v>1054.56</v>
      </c>
      <c r="U43" s="580">
        <v>0</v>
      </c>
      <c r="V43" s="473">
        <f t="shared" si="14"/>
        <v>11386.442999999999</v>
      </c>
      <c r="W43" s="580">
        <f t="shared" si="15"/>
        <v>0</v>
      </c>
      <c r="X43" s="580"/>
      <c r="Y43" s="581">
        <f t="shared" si="16"/>
        <v>11386.442999999999</v>
      </c>
    </row>
    <row r="44" spans="1:25" s="432" customFormat="1" ht="12.75" customHeight="1" x14ac:dyDescent="0.2">
      <c r="A44" s="30"/>
      <c r="B44" s="30"/>
      <c r="C44" s="30" t="s">
        <v>294</v>
      </c>
      <c r="D44" s="426">
        <v>617</v>
      </c>
      <c r="E44" s="34" t="s">
        <v>361</v>
      </c>
      <c r="F44" s="34" t="s">
        <v>6</v>
      </c>
      <c r="G44" s="34" t="s">
        <v>454</v>
      </c>
      <c r="H44" s="30" t="s">
        <v>461</v>
      </c>
      <c r="I44" s="34" t="s">
        <v>34</v>
      </c>
      <c r="J44" s="34" t="s">
        <v>121</v>
      </c>
      <c r="K44" s="580">
        <f>26.95*90%</f>
        <v>24.254999999999999</v>
      </c>
      <c r="L44" s="580">
        <v>2080</v>
      </c>
      <c r="M44" s="580"/>
      <c r="N44" s="580">
        <f t="shared" ref="N44:N45" si="17">IF(H44="1",(L44*K44)+(M44*K44),0)</f>
        <v>50450.400000000001</v>
      </c>
      <c r="O44" s="580"/>
      <c r="P44" s="580">
        <f t="shared" ref="P44:P45" si="18">(N44-(M44*K44))*$P$27</f>
        <v>18061.243200000001</v>
      </c>
      <c r="Q44" s="580">
        <f t="shared" ref="Q44:Q45" si="19">N44*$Q$27</f>
        <v>731.53080000000011</v>
      </c>
      <c r="R44" s="580">
        <f t="shared" ref="R44:R45" si="20">0*$R$27</f>
        <v>0</v>
      </c>
      <c r="S44" s="580"/>
      <c r="T44" s="580"/>
      <c r="U44" s="580"/>
      <c r="V44" s="473">
        <f t="shared" si="14"/>
        <v>69243.173999999999</v>
      </c>
      <c r="W44" s="580">
        <f t="shared" si="15"/>
        <v>0</v>
      </c>
      <c r="X44" s="580"/>
      <c r="Y44" s="581">
        <f t="shared" si="16"/>
        <v>69243.173999999999</v>
      </c>
    </row>
    <row r="45" spans="1:25" s="432" customFormat="1" ht="12.75" customHeight="1" x14ac:dyDescent="0.2">
      <c r="A45" s="30"/>
      <c r="B45" s="30"/>
      <c r="C45" s="30" t="s">
        <v>294</v>
      </c>
      <c r="D45" s="426">
        <v>617</v>
      </c>
      <c r="E45" s="34" t="s">
        <v>361</v>
      </c>
      <c r="F45" s="34" t="s">
        <v>6</v>
      </c>
      <c r="G45" s="34" t="s">
        <v>454</v>
      </c>
      <c r="H45" s="30" t="s">
        <v>461</v>
      </c>
      <c r="I45" s="34" t="s">
        <v>34</v>
      </c>
      <c r="J45" s="34" t="s">
        <v>160</v>
      </c>
      <c r="K45" s="580">
        <f t="shared" ref="K45" si="21">26.95*5%</f>
        <v>1.3475000000000001</v>
      </c>
      <c r="L45" s="580">
        <v>2080</v>
      </c>
      <c r="M45" s="580"/>
      <c r="N45" s="580">
        <f t="shared" si="17"/>
        <v>2802.8</v>
      </c>
      <c r="O45" s="580"/>
      <c r="P45" s="580">
        <f t="shared" si="18"/>
        <v>1003.4024000000001</v>
      </c>
      <c r="Q45" s="580">
        <f t="shared" si="19"/>
        <v>40.640600000000006</v>
      </c>
      <c r="R45" s="580">
        <f t="shared" si="20"/>
        <v>0</v>
      </c>
      <c r="S45" s="580"/>
      <c r="T45" s="580"/>
      <c r="U45" s="580"/>
      <c r="V45" s="473">
        <f t="shared" si="14"/>
        <v>3846.8430000000003</v>
      </c>
      <c r="W45" s="580">
        <f t="shared" si="15"/>
        <v>0</v>
      </c>
      <c r="X45" s="580"/>
      <c r="Y45" s="581">
        <f t="shared" si="16"/>
        <v>3846.8430000000003</v>
      </c>
    </row>
    <row r="46" spans="1:25" ht="12.75" customHeight="1" x14ac:dyDescent="0.2">
      <c r="A46" s="30">
        <v>217660</v>
      </c>
      <c r="B46" s="30"/>
      <c r="C46" s="30" t="s">
        <v>295</v>
      </c>
      <c r="D46" s="426">
        <v>619</v>
      </c>
      <c r="E46" s="34" t="s">
        <v>360</v>
      </c>
      <c r="F46" s="34" t="s">
        <v>6</v>
      </c>
      <c r="G46" s="34" t="s">
        <v>454</v>
      </c>
      <c r="H46" s="30" t="s">
        <v>461</v>
      </c>
      <c r="I46" s="34" t="s">
        <v>34</v>
      </c>
      <c r="J46" s="34" t="s">
        <v>150</v>
      </c>
      <c r="K46" s="580">
        <f>32.84*20%</f>
        <v>6.5680000000000014</v>
      </c>
      <c r="L46" s="580">
        <v>2080</v>
      </c>
      <c r="M46" s="580"/>
      <c r="N46" s="580">
        <f t="shared" si="7"/>
        <v>13661.440000000002</v>
      </c>
      <c r="O46" s="580"/>
      <c r="P46" s="580">
        <f>(N46-(M46*K46))*$P$27</f>
        <v>4890.7955200000006</v>
      </c>
      <c r="Q46" s="580">
        <f t="shared" si="8"/>
        <v>198.09088000000006</v>
      </c>
      <c r="R46" s="580">
        <f>0*$R$27</f>
        <v>0</v>
      </c>
      <c r="S46" s="580">
        <f>IF(H46="1",2357.1*2,0)</f>
        <v>4714.2</v>
      </c>
      <c r="T46" s="580">
        <f>IF(H46="1",127.2*2,0)</f>
        <v>254.4</v>
      </c>
      <c r="U46" s="580">
        <f>IF(H46="1",162*2,0)</f>
        <v>324</v>
      </c>
      <c r="V46" s="473">
        <f t="shared" si="14"/>
        <v>24042.926400000004</v>
      </c>
      <c r="W46" s="580">
        <f t="shared" si="15"/>
        <v>0</v>
      </c>
      <c r="X46" s="580"/>
      <c r="Y46" s="581">
        <f t="shared" si="16"/>
        <v>24042.926400000004</v>
      </c>
    </row>
    <row r="47" spans="1:25" s="432" customFormat="1" ht="12.75" customHeight="1" x14ac:dyDescent="0.2">
      <c r="A47" s="30"/>
      <c r="B47" s="30"/>
      <c r="C47" s="30" t="s">
        <v>295</v>
      </c>
      <c r="D47" s="426">
        <v>619</v>
      </c>
      <c r="E47" s="34" t="s">
        <v>360</v>
      </c>
      <c r="F47" s="34" t="s">
        <v>6</v>
      </c>
      <c r="G47" s="34" t="s">
        <v>454</v>
      </c>
      <c r="H47" s="30" t="s">
        <v>461</v>
      </c>
      <c r="I47" s="34" t="s">
        <v>34</v>
      </c>
      <c r="J47" s="34" t="s">
        <v>167</v>
      </c>
      <c r="K47" s="580">
        <f>32.84*10%</f>
        <v>3.2840000000000007</v>
      </c>
      <c r="L47" s="580">
        <v>2080</v>
      </c>
      <c r="M47" s="580"/>
      <c r="N47" s="580">
        <f t="shared" ref="N47:N49" si="22">IF(H47="1",(L47*K47)+(M47*K47),0)</f>
        <v>6830.7200000000012</v>
      </c>
      <c r="O47" s="580"/>
      <c r="P47" s="580">
        <f t="shared" ref="P47:P49" si="23">(N47-(M47*K47))*$P$27</f>
        <v>2445.3977600000003</v>
      </c>
      <c r="Q47" s="580">
        <f t="shared" ref="Q47:Q49" si="24">N47*$Q$27</f>
        <v>99.045440000000028</v>
      </c>
      <c r="R47" s="580">
        <f t="shared" ref="R47:R49" si="25">0*$R$27</f>
        <v>0</v>
      </c>
      <c r="S47" s="580"/>
      <c r="T47" s="580"/>
      <c r="U47" s="580"/>
      <c r="V47" s="473">
        <f t="shared" si="14"/>
        <v>9375.1632000000009</v>
      </c>
      <c r="W47" s="580">
        <f t="shared" si="15"/>
        <v>0</v>
      </c>
      <c r="X47" s="580"/>
      <c r="Y47" s="581">
        <f t="shared" si="16"/>
        <v>9375.1632000000009</v>
      </c>
    </row>
    <row r="48" spans="1:25" s="432" customFormat="1" ht="12.75" customHeight="1" x14ac:dyDescent="0.2">
      <c r="A48" s="30"/>
      <c r="B48" s="30"/>
      <c r="C48" s="30" t="s">
        <v>295</v>
      </c>
      <c r="D48" s="426">
        <v>619</v>
      </c>
      <c r="E48" s="34" t="s">
        <v>360</v>
      </c>
      <c r="F48" s="34" t="s">
        <v>6</v>
      </c>
      <c r="G48" s="34" t="s">
        <v>454</v>
      </c>
      <c r="H48" s="30" t="s">
        <v>461</v>
      </c>
      <c r="I48" s="34" t="s">
        <v>34</v>
      </c>
      <c r="J48" s="34" t="s">
        <v>121</v>
      </c>
      <c r="K48" s="580">
        <f>32.84*60%</f>
        <v>19.704000000000001</v>
      </c>
      <c r="L48" s="580">
        <v>2080</v>
      </c>
      <c r="M48" s="580"/>
      <c r="N48" s="580">
        <f t="shared" si="22"/>
        <v>40984.32</v>
      </c>
      <c r="O48" s="580"/>
      <c r="P48" s="580">
        <f t="shared" si="23"/>
        <v>14672.386559999999</v>
      </c>
      <c r="Q48" s="580">
        <f t="shared" si="24"/>
        <v>594.27264000000002</v>
      </c>
      <c r="R48" s="580">
        <f t="shared" si="25"/>
        <v>0</v>
      </c>
      <c r="S48" s="580"/>
      <c r="T48" s="580"/>
      <c r="U48" s="580"/>
      <c r="V48" s="473">
        <f t="shared" si="14"/>
        <v>56250.979200000002</v>
      </c>
      <c r="W48" s="580">
        <f t="shared" si="15"/>
        <v>0</v>
      </c>
      <c r="X48" s="580"/>
      <c r="Y48" s="581">
        <f t="shared" si="16"/>
        <v>56250.979200000002</v>
      </c>
    </row>
    <row r="49" spans="1:25" s="432" customFormat="1" ht="12.75" customHeight="1" x14ac:dyDescent="0.2">
      <c r="A49" s="30"/>
      <c r="B49" s="30"/>
      <c r="C49" s="30" t="s">
        <v>295</v>
      </c>
      <c r="D49" s="426">
        <v>619</v>
      </c>
      <c r="E49" s="34" t="s">
        <v>360</v>
      </c>
      <c r="F49" s="34" t="s">
        <v>6</v>
      </c>
      <c r="G49" s="34" t="s">
        <v>454</v>
      </c>
      <c r="H49" s="30" t="s">
        <v>461</v>
      </c>
      <c r="I49" s="34" t="s">
        <v>34</v>
      </c>
      <c r="J49" s="34" t="s">
        <v>160</v>
      </c>
      <c r="K49" s="580">
        <f>32.84*10%</f>
        <v>3.2840000000000007</v>
      </c>
      <c r="L49" s="580">
        <v>2080</v>
      </c>
      <c r="M49" s="580"/>
      <c r="N49" s="580">
        <f t="shared" si="22"/>
        <v>6830.7200000000012</v>
      </c>
      <c r="O49" s="580"/>
      <c r="P49" s="580">
        <f t="shared" si="23"/>
        <v>2445.3977600000003</v>
      </c>
      <c r="Q49" s="580">
        <f t="shared" si="24"/>
        <v>99.045440000000028</v>
      </c>
      <c r="R49" s="580">
        <f t="shared" si="25"/>
        <v>0</v>
      </c>
      <c r="S49" s="580"/>
      <c r="T49" s="580"/>
      <c r="U49" s="580"/>
      <c r="V49" s="473">
        <f t="shared" si="14"/>
        <v>9375.1632000000009</v>
      </c>
      <c r="W49" s="580">
        <f t="shared" si="15"/>
        <v>0</v>
      </c>
      <c r="X49" s="580"/>
      <c r="Y49" s="581">
        <f t="shared" si="16"/>
        <v>9375.1632000000009</v>
      </c>
    </row>
    <row r="50" spans="1:25" ht="12.75" customHeight="1" x14ac:dyDescent="0.2">
      <c r="A50" s="30">
        <v>168678</v>
      </c>
      <c r="B50" s="30"/>
      <c r="C50" s="30" t="s">
        <v>296</v>
      </c>
      <c r="D50" s="426">
        <v>615</v>
      </c>
      <c r="E50" s="34" t="s">
        <v>354</v>
      </c>
      <c r="F50" s="34" t="s">
        <v>6</v>
      </c>
      <c r="G50" s="34" t="s">
        <v>454</v>
      </c>
      <c r="H50" s="30" t="s">
        <v>461</v>
      </c>
      <c r="I50" s="34" t="s">
        <v>39</v>
      </c>
      <c r="J50" s="34" t="s">
        <v>114</v>
      </c>
      <c r="K50" s="580">
        <f>21.86*90%</f>
        <v>19.673999999999999</v>
      </c>
      <c r="L50" s="580">
        <v>2080</v>
      </c>
      <c r="M50" s="580"/>
      <c r="N50" s="580">
        <f t="shared" si="7"/>
        <v>40921.919999999998</v>
      </c>
      <c r="O50" s="580"/>
      <c r="P50" s="580">
        <f>(N50-(M50*K50))*$P$27</f>
        <v>14650.047359999999</v>
      </c>
      <c r="Q50" s="580">
        <f t="shared" si="8"/>
        <v>593.36784</v>
      </c>
      <c r="R50" s="580">
        <f>0*$R$27</f>
        <v>0</v>
      </c>
      <c r="S50" s="580">
        <f>IF(H50="1",2868.24*2,0)</f>
        <v>5736.48</v>
      </c>
      <c r="T50" s="580">
        <f>IF(H50="1",248.4*2,0)</f>
        <v>496.8</v>
      </c>
      <c r="U50" s="580"/>
      <c r="V50" s="473">
        <f t="shared" si="14"/>
        <v>62398.6152</v>
      </c>
      <c r="W50" s="580">
        <f t="shared" si="15"/>
        <v>0</v>
      </c>
      <c r="X50" s="580"/>
      <c r="Y50" s="581">
        <f t="shared" si="16"/>
        <v>62398.6152</v>
      </c>
    </row>
    <row r="51" spans="1:25" s="432" customFormat="1" ht="12.75" customHeight="1" x14ac:dyDescent="0.2">
      <c r="A51" s="30"/>
      <c r="B51" s="30"/>
      <c r="C51" s="30" t="s">
        <v>296</v>
      </c>
      <c r="D51" s="426">
        <v>615</v>
      </c>
      <c r="E51" s="34" t="s">
        <v>354</v>
      </c>
      <c r="F51" s="34" t="s">
        <v>6</v>
      </c>
      <c r="G51" s="34" t="s">
        <v>454</v>
      </c>
      <c r="H51" s="30" t="s">
        <v>461</v>
      </c>
      <c r="I51" s="34" t="s">
        <v>39</v>
      </c>
      <c r="J51" s="34" t="s">
        <v>692</v>
      </c>
      <c r="K51" s="580">
        <f>21.86*10%</f>
        <v>2.1859999999999999</v>
      </c>
      <c r="L51" s="580">
        <v>2080</v>
      </c>
      <c r="M51" s="580"/>
      <c r="N51" s="580">
        <f t="shared" ref="N51" si="26">IF(H51="1",(L51*K51)+(M51*K51),0)</f>
        <v>4546.88</v>
      </c>
      <c r="O51" s="580"/>
      <c r="P51" s="580">
        <f>(N51-(M51*K51))*$P$27</f>
        <v>1627.78304</v>
      </c>
      <c r="Q51" s="580">
        <f t="shared" ref="Q51" si="27">N51*$Q$27</f>
        <v>65.929760000000002</v>
      </c>
      <c r="R51" s="580">
        <f>0*$R$27</f>
        <v>0</v>
      </c>
      <c r="S51" s="580"/>
      <c r="T51" s="580"/>
      <c r="U51" s="580"/>
      <c r="V51" s="473">
        <f t="shared" si="14"/>
        <v>6240.5928000000004</v>
      </c>
      <c r="W51" s="580">
        <f t="shared" si="15"/>
        <v>0</v>
      </c>
      <c r="X51" s="580"/>
      <c r="Y51" s="581">
        <f t="shared" si="16"/>
        <v>6240.5928000000004</v>
      </c>
    </row>
    <row r="52" spans="1:25" ht="12.75" customHeight="1" x14ac:dyDescent="0.2">
      <c r="A52" s="30">
        <v>293810</v>
      </c>
      <c r="B52" s="30"/>
      <c r="C52" s="30" t="s">
        <v>215</v>
      </c>
      <c r="D52" s="426">
        <v>609</v>
      </c>
      <c r="E52" s="30" t="s">
        <v>325</v>
      </c>
      <c r="F52" s="34" t="s">
        <v>6</v>
      </c>
      <c r="G52" s="30" t="s">
        <v>457</v>
      </c>
      <c r="H52" s="30" t="s">
        <v>461</v>
      </c>
      <c r="I52" s="34" t="s">
        <v>28</v>
      </c>
      <c r="J52" s="34" t="s">
        <v>692</v>
      </c>
      <c r="K52" s="580">
        <v>12.96</v>
      </c>
      <c r="L52" s="580">
        <v>1040</v>
      </c>
      <c r="M52" s="580"/>
      <c r="N52" s="580">
        <f t="shared" si="7"/>
        <v>13478.400000000001</v>
      </c>
      <c r="O52" s="580"/>
      <c r="P52" s="580">
        <v>0</v>
      </c>
      <c r="Q52" s="580">
        <f t="shared" si="8"/>
        <v>195.43680000000003</v>
      </c>
      <c r="R52" s="580">
        <f>N52*$R$27</f>
        <v>835.66080000000011</v>
      </c>
      <c r="S52" s="580">
        <v>0</v>
      </c>
      <c r="T52" s="580">
        <v>0</v>
      </c>
      <c r="U52" s="580">
        <v>0</v>
      </c>
      <c r="V52" s="473">
        <f t="shared" si="14"/>
        <v>14509.497600000001</v>
      </c>
      <c r="W52" s="580">
        <f t="shared" si="15"/>
        <v>0</v>
      </c>
      <c r="X52" s="580"/>
      <c r="Y52" s="581">
        <f t="shared" si="16"/>
        <v>14509.497600000001</v>
      </c>
    </row>
    <row r="53" spans="1:25" ht="12.75" customHeight="1" x14ac:dyDescent="0.2">
      <c r="A53" s="30">
        <v>270728</v>
      </c>
      <c r="B53" s="30"/>
      <c r="C53" s="30" t="s">
        <v>319</v>
      </c>
      <c r="D53" s="426">
        <v>619</v>
      </c>
      <c r="E53" s="34" t="s">
        <v>366</v>
      </c>
      <c r="F53" s="34" t="s">
        <v>6</v>
      </c>
      <c r="G53" s="30" t="s">
        <v>454</v>
      </c>
      <c r="H53" s="30" t="s">
        <v>461</v>
      </c>
      <c r="I53" s="34" t="s">
        <v>775</v>
      </c>
      <c r="J53" s="34" t="s">
        <v>125</v>
      </c>
      <c r="K53" s="580">
        <f>40.68*50%</f>
        <v>20.34</v>
      </c>
      <c r="L53" s="580">
        <v>2080</v>
      </c>
      <c r="M53" s="580"/>
      <c r="N53" s="580">
        <f t="shared" si="7"/>
        <v>42307.199999999997</v>
      </c>
      <c r="O53" s="580"/>
      <c r="P53" s="580">
        <f>(N53-(M53*K53))*$P$27</f>
        <v>15145.977599999998</v>
      </c>
      <c r="Q53" s="580">
        <f t="shared" si="8"/>
        <v>613.45439999999996</v>
      </c>
      <c r="R53" s="580">
        <f>0*$R$27</f>
        <v>0</v>
      </c>
      <c r="S53" s="580">
        <f>IF(H53="1",((1067.04*2)+775),0)</f>
        <v>2909.08</v>
      </c>
      <c r="T53" s="580">
        <v>0</v>
      </c>
      <c r="U53" s="580">
        <f>IF(H53="1",162*2,0)</f>
        <v>324</v>
      </c>
      <c r="V53" s="473">
        <f t="shared" si="14"/>
        <v>61299.712</v>
      </c>
      <c r="W53" s="580">
        <f t="shared" si="15"/>
        <v>0</v>
      </c>
      <c r="X53" s="580"/>
      <c r="Y53" s="581">
        <f t="shared" si="16"/>
        <v>61299.712</v>
      </c>
    </row>
    <row r="54" spans="1:25" s="432" customFormat="1" ht="12.75" customHeight="1" x14ac:dyDescent="0.2">
      <c r="A54" s="30"/>
      <c r="B54" s="30"/>
      <c r="C54" s="30" t="s">
        <v>319</v>
      </c>
      <c r="D54" s="426">
        <v>619</v>
      </c>
      <c r="E54" s="34" t="s">
        <v>366</v>
      </c>
      <c r="F54" s="34" t="s">
        <v>6</v>
      </c>
      <c r="G54" s="30" t="s">
        <v>454</v>
      </c>
      <c r="H54" s="30" t="s">
        <v>461</v>
      </c>
      <c r="I54" s="34" t="s">
        <v>775</v>
      </c>
      <c r="J54" s="34" t="s">
        <v>162</v>
      </c>
      <c r="K54" s="580">
        <f>40.68*3.33%</f>
        <v>1.3546440000000002</v>
      </c>
      <c r="L54" s="580">
        <v>2080</v>
      </c>
      <c r="M54" s="580"/>
      <c r="N54" s="580">
        <f t="shared" ref="N54:N67" si="28">IF(H54="1",(L54*K54)+(M54*K54),0)</f>
        <v>2817.6595200000002</v>
      </c>
      <c r="O54" s="580"/>
      <c r="P54" s="580">
        <f t="shared" ref="P54:P67" si="29">(N54-(M54*K54))*$P$27</f>
        <v>1008.7221081600001</v>
      </c>
      <c r="Q54" s="580">
        <f t="shared" ref="Q54:Q67" si="30">N54*$Q$27</f>
        <v>40.856063040000002</v>
      </c>
      <c r="R54" s="580">
        <f t="shared" ref="R54:R67" si="31">0*$R$27</f>
        <v>0</v>
      </c>
      <c r="S54" s="580"/>
      <c r="T54" s="580"/>
      <c r="U54" s="580"/>
      <c r="V54" s="473">
        <f t="shared" si="14"/>
        <v>3867.2376912000004</v>
      </c>
      <c r="W54" s="580">
        <f t="shared" si="15"/>
        <v>0</v>
      </c>
      <c r="X54" s="580"/>
      <c r="Y54" s="581">
        <f t="shared" si="16"/>
        <v>3867.2376912000004</v>
      </c>
    </row>
    <row r="55" spans="1:25" s="432" customFormat="1" ht="12.75" customHeight="1" x14ac:dyDescent="0.2">
      <c r="A55" s="30"/>
      <c r="B55" s="30"/>
      <c r="C55" s="30" t="s">
        <v>319</v>
      </c>
      <c r="D55" s="426">
        <v>619</v>
      </c>
      <c r="E55" s="34" t="s">
        <v>366</v>
      </c>
      <c r="F55" s="34" t="s">
        <v>6</v>
      </c>
      <c r="G55" s="30" t="s">
        <v>454</v>
      </c>
      <c r="H55" s="30" t="s">
        <v>461</v>
      </c>
      <c r="I55" s="34" t="s">
        <v>775</v>
      </c>
      <c r="J55" s="34" t="s">
        <v>136</v>
      </c>
      <c r="K55" s="580">
        <f>40.68*3.34%</f>
        <v>1.3587119999999999</v>
      </c>
      <c r="L55" s="580">
        <v>2080</v>
      </c>
      <c r="M55" s="580"/>
      <c r="N55" s="580">
        <f t="shared" si="28"/>
        <v>2826.1209599999997</v>
      </c>
      <c r="O55" s="580"/>
      <c r="P55" s="580">
        <f t="shared" si="29"/>
        <v>1011.7513036799999</v>
      </c>
      <c r="Q55" s="580">
        <f t="shared" si="30"/>
        <v>40.978753919999996</v>
      </c>
      <c r="R55" s="580">
        <f t="shared" si="31"/>
        <v>0</v>
      </c>
      <c r="S55" s="580"/>
      <c r="T55" s="580"/>
      <c r="U55" s="580"/>
      <c r="V55" s="473">
        <f t="shared" si="14"/>
        <v>3878.8510175999995</v>
      </c>
      <c r="W55" s="580">
        <f t="shared" si="15"/>
        <v>0</v>
      </c>
      <c r="X55" s="580"/>
      <c r="Y55" s="581">
        <f t="shared" si="16"/>
        <v>3878.8510175999995</v>
      </c>
    </row>
    <row r="56" spans="1:25" s="432" customFormat="1" ht="12.75" customHeight="1" x14ac:dyDescent="0.2">
      <c r="A56" s="30"/>
      <c r="B56" s="30"/>
      <c r="C56" s="30" t="s">
        <v>319</v>
      </c>
      <c r="D56" s="426">
        <v>619</v>
      </c>
      <c r="E56" s="34" t="s">
        <v>366</v>
      </c>
      <c r="F56" s="34" t="s">
        <v>6</v>
      </c>
      <c r="G56" s="30" t="s">
        <v>454</v>
      </c>
      <c r="H56" s="30" t="s">
        <v>461</v>
      </c>
      <c r="I56" s="34" t="s">
        <v>775</v>
      </c>
      <c r="J56" s="34" t="s">
        <v>135</v>
      </c>
      <c r="K56" s="580">
        <f>40.68*3.34%</f>
        <v>1.3587119999999999</v>
      </c>
      <c r="L56" s="580">
        <v>2080</v>
      </c>
      <c r="M56" s="580"/>
      <c r="N56" s="580">
        <f t="shared" si="28"/>
        <v>2826.1209599999997</v>
      </c>
      <c r="O56" s="580"/>
      <c r="P56" s="580">
        <f t="shared" si="29"/>
        <v>1011.7513036799999</v>
      </c>
      <c r="Q56" s="580">
        <f t="shared" si="30"/>
        <v>40.978753919999996</v>
      </c>
      <c r="R56" s="580">
        <f t="shared" si="31"/>
        <v>0</v>
      </c>
      <c r="S56" s="580"/>
      <c r="T56" s="580"/>
      <c r="U56" s="580"/>
      <c r="V56" s="473">
        <f t="shared" si="14"/>
        <v>3878.8510175999995</v>
      </c>
      <c r="W56" s="580">
        <f t="shared" si="15"/>
        <v>0</v>
      </c>
      <c r="X56" s="580"/>
      <c r="Y56" s="581">
        <f t="shared" si="16"/>
        <v>3878.8510175999995</v>
      </c>
    </row>
    <row r="57" spans="1:25" s="432" customFormat="1" ht="12.75" customHeight="1" x14ac:dyDescent="0.2">
      <c r="A57" s="30"/>
      <c r="B57" s="30"/>
      <c r="C57" s="30" t="s">
        <v>319</v>
      </c>
      <c r="D57" s="426">
        <v>619</v>
      </c>
      <c r="E57" s="34" t="s">
        <v>366</v>
      </c>
      <c r="F57" s="34" t="s">
        <v>6</v>
      </c>
      <c r="G57" s="30" t="s">
        <v>454</v>
      </c>
      <c r="H57" s="30" t="s">
        <v>461</v>
      </c>
      <c r="I57" s="34" t="s">
        <v>775</v>
      </c>
      <c r="J57" s="34" t="s">
        <v>134</v>
      </c>
      <c r="K57" s="580">
        <f>40.68*3.34%</f>
        <v>1.3587119999999999</v>
      </c>
      <c r="L57" s="580">
        <v>2080</v>
      </c>
      <c r="M57" s="580"/>
      <c r="N57" s="580">
        <f t="shared" si="28"/>
        <v>2826.1209599999997</v>
      </c>
      <c r="O57" s="580"/>
      <c r="P57" s="580">
        <f t="shared" si="29"/>
        <v>1011.7513036799999</v>
      </c>
      <c r="Q57" s="580">
        <f t="shared" si="30"/>
        <v>40.978753919999996</v>
      </c>
      <c r="R57" s="580">
        <f t="shared" si="31"/>
        <v>0</v>
      </c>
      <c r="S57" s="580"/>
      <c r="T57" s="580"/>
      <c r="U57" s="580"/>
      <c r="V57" s="473">
        <f t="shared" si="14"/>
        <v>3878.8510175999995</v>
      </c>
      <c r="W57" s="580">
        <f t="shared" si="15"/>
        <v>0</v>
      </c>
      <c r="X57" s="580"/>
      <c r="Y57" s="581">
        <f t="shared" si="16"/>
        <v>3878.8510175999995</v>
      </c>
    </row>
    <row r="58" spans="1:25" s="432" customFormat="1" ht="12.75" customHeight="1" x14ac:dyDescent="0.2">
      <c r="A58" s="30"/>
      <c r="B58" s="30"/>
      <c r="C58" s="30" t="s">
        <v>319</v>
      </c>
      <c r="D58" s="426">
        <v>619</v>
      </c>
      <c r="E58" s="34" t="s">
        <v>366</v>
      </c>
      <c r="F58" s="34" t="s">
        <v>6</v>
      </c>
      <c r="G58" s="30" t="s">
        <v>454</v>
      </c>
      <c r="H58" s="30" t="s">
        <v>461</v>
      </c>
      <c r="I58" s="34" t="s">
        <v>775</v>
      </c>
      <c r="J58" s="34" t="s">
        <v>137</v>
      </c>
      <c r="K58" s="580">
        <f>40.68*3.33%</f>
        <v>1.3546440000000002</v>
      </c>
      <c r="L58" s="580">
        <v>2080</v>
      </c>
      <c r="M58" s="580"/>
      <c r="N58" s="580">
        <f t="shared" si="28"/>
        <v>2817.6595200000002</v>
      </c>
      <c r="O58" s="580"/>
      <c r="P58" s="580">
        <f t="shared" si="29"/>
        <v>1008.7221081600001</v>
      </c>
      <c r="Q58" s="580">
        <f t="shared" si="30"/>
        <v>40.856063040000002</v>
      </c>
      <c r="R58" s="580">
        <f t="shared" si="31"/>
        <v>0</v>
      </c>
      <c r="S58" s="580"/>
      <c r="T58" s="580"/>
      <c r="U58" s="580"/>
      <c r="V58" s="473">
        <f t="shared" si="14"/>
        <v>3867.2376912000004</v>
      </c>
      <c r="W58" s="580">
        <f t="shared" si="15"/>
        <v>0</v>
      </c>
      <c r="X58" s="580"/>
      <c r="Y58" s="581">
        <f t="shared" si="16"/>
        <v>3867.2376912000004</v>
      </c>
    </row>
    <row r="59" spans="1:25" s="432" customFormat="1" ht="12.75" customHeight="1" x14ac:dyDescent="0.2">
      <c r="A59" s="30"/>
      <c r="B59" s="30"/>
      <c r="C59" s="30" t="s">
        <v>319</v>
      </c>
      <c r="D59" s="426">
        <v>619</v>
      </c>
      <c r="E59" s="34" t="s">
        <v>366</v>
      </c>
      <c r="F59" s="34" t="s">
        <v>6</v>
      </c>
      <c r="G59" s="30" t="s">
        <v>454</v>
      </c>
      <c r="H59" s="30" t="s">
        <v>461</v>
      </c>
      <c r="I59" s="34" t="s">
        <v>775</v>
      </c>
      <c r="J59" s="34" t="s">
        <v>1477</v>
      </c>
      <c r="K59" s="580">
        <f>40.68*3.33%</f>
        <v>1.3546440000000002</v>
      </c>
      <c r="L59" s="580">
        <v>2080</v>
      </c>
      <c r="M59" s="580"/>
      <c r="N59" s="580">
        <f t="shared" si="28"/>
        <v>2817.6595200000002</v>
      </c>
      <c r="O59" s="580"/>
      <c r="P59" s="580">
        <f t="shared" si="29"/>
        <v>1008.7221081600001</v>
      </c>
      <c r="Q59" s="580">
        <f t="shared" si="30"/>
        <v>40.856063040000002</v>
      </c>
      <c r="R59" s="580">
        <f t="shared" si="31"/>
        <v>0</v>
      </c>
      <c r="S59" s="580"/>
      <c r="T59" s="580"/>
      <c r="U59" s="580"/>
      <c r="V59" s="473">
        <f t="shared" si="14"/>
        <v>3867.2376912000004</v>
      </c>
      <c r="W59" s="580">
        <f t="shared" si="15"/>
        <v>0</v>
      </c>
      <c r="X59" s="580"/>
      <c r="Y59" s="581">
        <f t="shared" si="16"/>
        <v>3867.2376912000004</v>
      </c>
    </row>
    <row r="60" spans="1:25" s="432" customFormat="1" ht="12.75" customHeight="1" x14ac:dyDescent="0.2">
      <c r="A60" s="30"/>
      <c r="B60" s="30"/>
      <c r="C60" s="30" t="s">
        <v>319</v>
      </c>
      <c r="D60" s="426">
        <v>619</v>
      </c>
      <c r="E60" s="34" t="s">
        <v>366</v>
      </c>
      <c r="F60" s="34" t="s">
        <v>6</v>
      </c>
      <c r="G60" s="30" t="s">
        <v>454</v>
      </c>
      <c r="H60" s="30" t="s">
        <v>461</v>
      </c>
      <c r="I60" s="34" t="s">
        <v>775</v>
      </c>
      <c r="J60" s="34" t="s">
        <v>151</v>
      </c>
      <c r="K60" s="580">
        <f>40.68*6.67%</f>
        <v>2.7133559999999997</v>
      </c>
      <c r="L60" s="580">
        <v>2080</v>
      </c>
      <c r="M60" s="580"/>
      <c r="N60" s="580">
        <f t="shared" si="28"/>
        <v>5643.7804799999994</v>
      </c>
      <c r="O60" s="580"/>
      <c r="P60" s="580">
        <f t="shared" si="29"/>
        <v>2020.4734118399997</v>
      </c>
      <c r="Q60" s="580">
        <f t="shared" si="30"/>
        <v>81.834816959999998</v>
      </c>
      <c r="R60" s="580">
        <f t="shared" si="31"/>
        <v>0</v>
      </c>
      <c r="S60" s="580"/>
      <c r="T60" s="580"/>
      <c r="U60" s="580"/>
      <c r="V60" s="473">
        <f t="shared" si="14"/>
        <v>7746.088708799999</v>
      </c>
      <c r="W60" s="580">
        <f t="shared" si="15"/>
        <v>0</v>
      </c>
      <c r="X60" s="580"/>
      <c r="Y60" s="581">
        <f t="shared" si="16"/>
        <v>7746.088708799999</v>
      </c>
    </row>
    <row r="61" spans="1:25" s="432" customFormat="1" ht="12.75" customHeight="1" x14ac:dyDescent="0.2">
      <c r="A61" s="30"/>
      <c r="B61" s="30"/>
      <c r="C61" s="30" t="s">
        <v>319</v>
      </c>
      <c r="D61" s="426">
        <v>619</v>
      </c>
      <c r="E61" s="34" t="s">
        <v>366</v>
      </c>
      <c r="F61" s="34" t="s">
        <v>6</v>
      </c>
      <c r="G61" s="30" t="s">
        <v>454</v>
      </c>
      <c r="H61" s="30" t="s">
        <v>461</v>
      </c>
      <c r="I61" s="34" t="s">
        <v>775</v>
      </c>
      <c r="J61" s="34" t="s">
        <v>145</v>
      </c>
      <c r="K61" s="580">
        <f>40.68*3.33%</f>
        <v>1.3546440000000002</v>
      </c>
      <c r="L61" s="580">
        <v>2080</v>
      </c>
      <c r="M61" s="580"/>
      <c r="N61" s="580">
        <f t="shared" si="28"/>
        <v>2817.6595200000002</v>
      </c>
      <c r="O61" s="580"/>
      <c r="P61" s="580">
        <f t="shared" si="29"/>
        <v>1008.7221081600001</v>
      </c>
      <c r="Q61" s="580">
        <f t="shared" si="30"/>
        <v>40.856063040000002</v>
      </c>
      <c r="R61" s="580">
        <f t="shared" si="31"/>
        <v>0</v>
      </c>
      <c r="S61" s="580"/>
      <c r="T61" s="580"/>
      <c r="U61" s="580"/>
      <c r="V61" s="473">
        <f t="shared" si="14"/>
        <v>3867.2376912000004</v>
      </c>
      <c r="W61" s="580">
        <f t="shared" si="15"/>
        <v>0</v>
      </c>
      <c r="X61" s="580"/>
      <c r="Y61" s="581">
        <f t="shared" si="16"/>
        <v>3867.2376912000004</v>
      </c>
    </row>
    <row r="62" spans="1:25" s="432" customFormat="1" ht="12.75" customHeight="1" x14ac:dyDescent="0.2">
      <c r="A62" s="30"/>
      <c r="B62" s="30"/>
      <c r="C62" s="30" t="s">
        <v>319</v>
      </c>
      <c r="D62" s="426">
        <v>619</v>
      </c>
      <c r="E62" s="34" t="s">
        <v>366</v>
      </c>
      <c r="F62" s="34" t="s">
        <v>6</v>
      </c>
      <c r="G62" s="30" t="s">
        <v>454</v>
      </c>
      <c r="H62" s="30" t="s">
        <v>461</v>
      </c>
      <c r="I62" s="34" t="s">
        <v>775</v>
      </c>
      <c r="J62" s="34" t="s">
        <v>147</v>
      </c>
      <c r="K62" s="580">
        <f>40.68*3.33%</f>
        <v>1.3546440000000002</v>
      </c>
      <c r="L62" s="580">
        <v>2080</v>
      </c>
      <c r="M62" s="580"/>
      <c r="N62" s="580">
        <f t="shared" si="28"/>
        <v>2817.6595200000002</v>
      </c>
      <c r="O62" s="580"/>
      <c r="P62" s="580">
        <f t="shared" si="29"/>
        <v>1008.7221081600001</v>
      </c>
      <c r="Q62" s="580">
        <f t="shared" si="30"/>
        <v>40.856063040000002</v>
      </c>
      <c r="R62" s="580">
        <f t="shared" si="31"/>
        <v>0</v>
      </c>
      <c r="S62" s="580"/>
      <c r="T62" s="580"/>
      <c r="U62" s="580"/>
      <c r="V62" s="473">
        <f t="shared" si="14"/>
        <v>3867.2376912000004</v>
      </c>
      <c r="W62" s="580">
        <f t="shared" si="15"/>
        <v>0</v>
      </c>
      <c r="X62" s="580"/>
      <c r="Y62" s="581">
        <f t="shared" si="16"/>
        <v>3867.2376912000004</v>
      </c>
    </row>
    <row r="63" spans="1:25" s="432" customFormat="1" ht="12.75" customHeight="1" x14ac:dyDescent="0.2">
      <c r="A63" s="30"/>
      <c r="B63" s="30"/>
      <c r="C63" s="30" t="s">
        <v>319</v>
      </c>
      <c r="D63" s="426">
        <v>619</v>
      </c>
      <c r="E63" s="34" t="s">
        <v>366</v>
      </c>
      <c r="F63" s="34" t="s">
        <v>6</v>
      </c>
      <c r="G63" s="30" t="s">
        <v>454</v>
      </c>
      <c r="H63" s="30" t="s">
        <v>461</v>
      </c>
      <c r="I63" s="34" t="s">
        <v>775</v>
      </c>
      <c r="J63" s="34" t="s">
        <v>149</v>
      </c>
      <c r="K63" s="580">
        <f>40.68*3.34%</f>
        <v>1.3587119999999999</v>
      </c>
      <c r="L63" s="580">
        <v>2080</v>
      </c>
      <c r="M63" s="580"/>
      <c r="N63" s="580">
        <f t="shared" si="28"/>
        <v>2826.1209599999997</v>
      </c>
      <c r="O63" s="580"/>
      <c r="P63" s="580">
        <f t="shared" si="29"/>
        <v>1011.7513036799999</v>
      </c>
      <c r="Q63" s="580">
        <f t="shared" si="30"/>
        <v>40.978753919999996</v>
      </c>
      <c r="R63" s="580">
        <f t="shared" si="31"/>
        <v>0</v>
      </c>
      <c r="S63" s="580"/>
      <c r="T63" s="580"/>
      <c r="U63" s="580"/>
      <c r="V63" s="473">
        <f t="shared" si="14"/>
        <v>3878.8510175999995</v>
      </c>
      <c r="W63" s="580">
        <f t="shared" si="15"/>
        <v>0</v>
      </c>
      <c r="X63" s="580"/>
      <c r="Y63" s="581">
        <f t="shared" si="16"/>
        <v>3878.8510175999995</v>
      </c>
    </row>
    <row r="64" spans="1:25" s="432" customFormat="1" ht="12.75" customHeight="1" x14ac:dyDescent="0.2">
      <c r="A64" s="30"/>
      <c r="B64" s="30"/>
      <c r="C64" s="30" t="s">
        <v>319</v>
      </c>
      <c r="D64" s="426">
        <v>619</v>
      </c>
      <c r="E64" s="34" t="s">
        <v>366</v>
      </c>
      <c r="F64" s="34" t="s">
        <v>6</v>
      </c>
      <c r="G64" s="30" t="s">
        <v>454</v>
      </c>
      <c r="H64" s="30" t="s">
        <v>461</v>
      </c>
      <c r="I64" s="34" t="s">
        <v>775</v>
      </c>
      <c r="J64" s="34" t="s">
        <v>152</v>
      </c>
      <c r="K64" s="580">
        <f>40.68*3.33%</f>
        <v>1.3546440000000002</v>
      </c>
      <c r="L64" s="580">
        <v>2080</v>
      </c>
      <c r="M64" s="580"/>
      <c r="N64" s="580">
        <f t="shared" si="28"/>
        <v>2817.6595200000002</v>
      </c>
      <c r="O64" s="580"/>
      <c r="P64" s="580">
        <f t="shared" si="29"/>
        <v>1008.7221081600001</v>
      </c>
      <c r="Q64" s="580">
        <f t="shared" si="30"/>
        <v>40.856063040000002</v>
      </c>
      <c r="R64" s="580">
        <f t="shared" si="31"/>
        <v>0</v>
      </c>
      <c r="S64" s="580"/>
      <c r="T64" s="580"/>
      <c r="U64" s="580"/>
      <c r="V64" s="473">
        <f t="shared" si="14"/>
        <v>3867.2376912000004</v>
      </c>
      <c r="W64" s="580">
        <f t="shared" si="15"/>
        <v>0</v>
      </c>
      <c r="X64" s="580"/>
      <c r="Y64" s="581">
        <f t="shared" si="16"/>
        <v>3867.2376912000004</v>
      </c>
    </row>
    <row r="65" spans="1:25" s="432" customFormat="1" ht="12.75" customHeight="1" x14ac:dyDescent="0.2">
      <c r="A65" s="30"/>
      <c r="B65" s="30"/>
      <c r="C65" s="30" t="s">
        <v>319</v>
      </c>
      <c r="D65" s="426">
        <v>619</v>
      </c>
      <c r="E65" s="34" t="s">
        <v>366</v>
      </c>
      <c r="F65" s="34" t="s">
        <v>6</v>
      </c>
      <c r="G65" s="30" t="s">
        <v>454</v>
      </c>
      <c r="H65" s="30" t="s">
        <v>461</v>
      </c>
      <c r="I65" s="34" t="s">
        <v>775</v>
      </c>
      <c r="J65" s="34" t="s">
        <v>154</v>
      </c>
      <c r="K65" s="580">
        <f>40.68*3.33%</f>
        <v>1.3546440000000002</v>
      </c>
      <c r="L65" s="580">
        <v>2080</v>
      </c>
      <c r="M65" s="580"/>
      <c r="N65" s="580">
        <f t="shared" si="28"/>
        <v>2817.6595200000002</v>
      </c>
      <c r="O65" s="580"/>
      <c r="P65" s="580">
        <f t="shared" si="29"/>
        <v>1008.7221081600001</v>
      </c>
      <c r="Q65" s="580">
        <f t="shared" si="30"/>
        <v>40.856063040000002</v>
      </c>
      <c r="R65" s="580">
        <f t="shared" si="31"/>
        <v>0</v>
      </c>
      <c r="S65" s="580"/>
      <c r="T65" s="580"/>
      <c r="U65" s="580"/>
      <c r="V65" s="473">
        <f t="shared" si="14"/>
        <v>3867.2376912000004</v>
      </c>
      <c r="W65" s="580">
        <f t="shared" si="15"/>
        <v>0</v>
      </c>
      <c r="X65" s="580"/>
      <c r="Y65" s="581">
        <f t="shared" si="16"/>
        <v>3867.2376912000004</v>
      </c>
    </row>
    <row r="66" spans="1:25" s="432" customFormat="1" ht="12.75" customHeight="1" x14ac:dyDescent="0.2">
      <c r="A66" s="30"/>
      <c r="B66" s="30"/>
      <c r="C66" s="30" t="s">
        <v>319</v>
      </c>
      <c r="D66" s="426">
        <v>619</v>
      </c>
      <c r="E66" s="34" t="s">
        <v>366</v>
      </c>
      <c r="F66" s="34" t="s">
        <v>6</v>
      </c>
      <c r="G66" s="30" t="s">
        <v>454</v>
      </c>
      <c r="H66" s="30" t="s">
        <v>461</v>
      </c>
      <c r="I66" s="34" t="s">
        <v>775</v>
      </c>
      <c r="J66" s="34" t="s">
        <v>159</v>
      </c>
      <c r="K66" s="580">
        <f>40.68*3.33%</f>
        <v>1.3546440000000002</v>
      </c>
      <c r="L66" s="580">
        <v>2080</v>
      </c>
      <c r="M66" s="580"/>
      <c r="N66" s="580">
        <f t="shared" si="28"/>
        <v>2817.6595200000002</v>
      </c>
      <c r="O66" s="580"/>
      <c r="P66" s="580">
        <f t="shared" si="29"/>
        <v>1008.7221081600001</v>
      </c>
      <c r="Q66" s="580">
        <f t="shared" si="30"/>
        <v>40.856063040000002</v>
      </c>
      <c r="R66" s="580">
        <f t="shared" si="31"/>
        <v>0</v>
      </c>
      <c r="S66" s="580"/>
      <c r="T66" s="580"/>
      <c r="U66" s="580"/>
      <c r="V66" s="473">
        <f t="shared" si="14"/>
        <v>3867.2376912000004</v>
      </c>
      <c r="W66" s="580">
        <f t="shared" si="15"/>
        <v>0</v>
      </c>
      <c r="X66" s="580"/>
      <c r="Y66" s="581">
        <f t="shared" si="16"/>
        <v>3867.2376912000004</v>
      </c>
    </row>
    <row r="67" spans="1:25" s="432" customFormat="1" ht="12.75" customHeight="1" x14ac:dyDescent="0.2">
      <c r="A67" s="30"/>
      <c r="B67" s="30"/>
      <c r="C67" s="30" t="s">
        <v>319</v>
      </c>
      <c r="D67" s="426">
        <v>619</v>
      </c>
      <c r="E67" s="34" t="s">
        <v>366</v>
      </c>
      <c r="F67" s="34" t="s">
        <v>6</v>
      </c>
      <c r="G67" s="30" t="s">
        <v>454</v>
      </c>
      <c r="H67" s="30" t="s">
        <v>461</v>
      </c>
      <c r="I67" s="34" t="s">
        <v>775</v>
      </c>
      <c r="J67" s="34" t="s">
        <v>163</v>
      </c>
      <c r="K67" s="580">
        <f>40.68*3.33%</f>
        <v>1.3546440000000002</v>
      </c>
      <c r="L67" s="580">
        <v>2080</v>
      </c>
      <c r="M67" s="580"/>
      <c r="N67" s="580">
        <f t="shared" si="28"/>
        <v>2817.6595200000002</v>
      </c>
      <c r="O67" s="580"/>
      <c r="P67" s="580">
        <f t="shared" si="29"/>
        <v>1008.7221081600001</v>
      </c>
      <c r="Q67" s="580">
        <f t="shared" si="30"/>
        <v>40.856063040000002</v>
      </c>
      <c r="R67" s="580">
        <f t="shared" si="31"/>
        <v>0</v>
      </c>
      <c r="S67" s="580"/>
      <c r="T67" s="580"/>
      <c r="U67" s="580"/>
      <c r="V67" s="473">
        <f t="shared" si="14"/>
        <v>3867.2376912000004</v>
      </c>
      <c r="W67" s="580">
        <f t="shared" si="15"/>
        <v>0</v>
      </c>
      <c r="X67" s="580"/>
      <c r="Y67" s="581">
        <f t="shared" si="16"/>
        <v>3867.2376912000004</v>
      </c>
    </row>
    <row r="68" spans="1:25" ht="12.75" customHeight="1" x14ac:dyDescent="0.2">
      <c r="A68" s="30">
        <v>286699</v>
      </c>
      <c r="B68" s="30"/>
      <c r="C68" s="30" t="s">
        <v>239</v>
      </c>
      <c r="D68" s="426">
        <v>618</v>
      </c>
      <c r="E68" s="34" t="s">
        <v>343</v>
      </c>
      <c r="F68" s="34" t="s">
        <v>6</v>
      </c>
      <c r="G68" s="34" t="s">
        <v>454</v>
      </c>
      <c r="H68" s="30" t="s">
        <v>461</v>
      </c>
      <c r="I68" s="34" t="s">
        <v>31</v>
      </c>
      <c r="J68" s="34" t="s">
        <v>692</v>
      </c>
      <c r="K68" s="580">
        <f>32.26*50%</f>
        <v>16.13</v>
      </c>
      <c r="L68" s="580">
        <v>2080</v>
      </c>
      <c r="M68" s="580"/>
      <c r="N68" s="580">
        <f t="shared" si="7"/>
        <v>33550.400000000001</v>
      </c>
      <c r="O68" s="580"/>
      <c r="P68" s="580">
        <f>(N68-(M68*K68))*$P$27</f>
        <v>12011.0432</v>
      </c>
      <c r="Q68" s="580">
        <f t="shared" si="8"/>
        <v>486.48080000000004</v>
      </c>
      <c r="R68" s="580">
        <f>0*$R$27</f>
        <v>0</v>
      </c>
      <c r="S68" s="580">
        <f>IF(H68="1",3242.52*2,0)</f>
        <v>6485.04</v>
      </c>
      <c r="T68" s="580">
        <f>IF(H68="1",527.28*2,0)</f>
        <v>1054.56</v>
      </c>
      <c r="U68" s="580">
        <v>0</v>
      </c>
      <c r="V68" s="473">
        <f t="shared" si="14"/>
        <v>53587.523999999998</v>
      </c>
      <c r="W68" s="580">
        <f t="shared" si="15"/>
        <v>0</v>
      </c>
      <c r="X68" s="580"/>
      <c r="Y68" s="581">
        <f t="shared" si="16"/>
        <v>53587.523999999998</v>
      </c>
    </row>
    <row r="69" spans="1:25" s="432" customFormat="1" ht="12.75" customHeight="1" x14ac:dyDescent="0.2">
      <c r="A69" s="30"/>
      <c r="B69" s="30"/>
      <c r="C69" s="30" t="s">
        <v>239</v>
      </c>
      <c r="D69" s="426">
        <v>618</v>
      </c>
      <c r="E69" s="34" t="s">
        <v>343</v>
      </c>
      <c r="F69" s="34" t="s">
        <v>6</v>
      </c>
      <c r="G69" s="34" t="s">
        <v>454</v>
      </c>
      <c r="H69" s="30" t="s">
        <v>461</v>
      </c>
      <c r="I69" s="34" t="s">
        <v>31</v>
      </c>
      <c r="J69" s="34" t="s">
        <v>117</v>
      </c>
      <c r="K69" s="580">
        <f>32.26*20%</f>
        <v>6.452</v>
      </c>
      <c r="L69" s="580">
        <v>2080</v>
      </c>
      <c r="M69" s="580"/>
      <c r="N69" s="580">
        <f t="shared" ref="N69:N71" si="32">IF(H69="1",(L69*K69)+(M69*K69),0)</f>
        <v>13420.16</v>
      </c>
      <c r="O69" s="580"/>
      <c r="P69" s="580">
        <f t="shared" ref="P69:P71" si="33">(N69-(M69*K69))*$P$27</f>
        <v>4804.4172799999997</v>
      </c>
      <c r="Q69" s="580">
        <f t="shared" ref="Q69:Q71" si="34">N69*$Q$27</f>
        <v>194.59232</v>
      </c>
      <c r="R69" s="580">
        <f t="shared" ref="R69:R71" si="35">0*$R$27</f>
        <v>0</v>
      </c>
      <c r="S69" s="580"/>
      <c r="T69" s="580"/>
      <c r="U69" s="580"/>
      <c r="V69" s="473">
        <f t="shared" si="14"/>
        <v>18419.169599999997</v>
      </c>
      <c r="W69" s="580">
        <f t="shared" si="15"/>
        <v>0</v>
      </c>
      <c r="X69" s="580"/>
      <c r="Y69" s="581">
        <f t="shared" si="16"/>
        <v>18419.169599999997</v>
      </c>
    </row>
    <row r="70" spans="1:25" s="432" customFormat="1" ht="12.75" customHeight="1" x14ac:dyDescent="0.2">
      <c r="A70" s="30"/>
      <c r="B70" s="30"/>
      <c r="C70" s="30" t="s">
        <v>239</v>
      </c>
      <c r="D70" s="426">
        <v>618</v>
      </c>
      <c r="E70" s="34" t="s">
        <v>343</v>
      </c>
      <c r="F70" s="34" t="s">
        <v>6</v>
      </c>
      <c r="G70" s="34" t="s">
        <v>454</v>
      </c>
      <c r="H70" s="30" t="s">
        <v>461</v>
      </c>
      <c r="I70" s="34" t="s">
        <v>31</v>
      </c>
      <c r="J70" s="34" t="s">
        <v>63</v>
      </c>
      <c r="K70" s="580">
        <f>32.26*15%</f>
        <v>4.8389999999999995</v>
      </c>
      <c r="L70" s="580">
        <v>2080</v>
      </c>
      <c r="M70" s="580"/>
      <c r="N70" s="580">
        <f t="shared" si="32"/>
        <v>10065.119999999999</v>
      </c>
      <c r="O70" s="580"/>
      <c r="P70" s="580">
        <f t="shared" si="33"/>
        <v>3603.3129599999993</v>
      </c>
      <c r="Q70" s="580">
        <f t="shared" si="34"/>
        <v>145.94423999999998</v>
      </c>
      <c r="R70" s="580">
        <f t="shared" si="35"/>
        <v>0</v>
      </c>
      <c r="S70" s="580"/>
      <c r="T70" s="580"/>
      <c r="U70" s="580"/>
      <c r="V70" s="473">
        <f t="shared" si="14"/>
        <v>13814.377199999999</v>
      </c>
      <c r="W70" s="580">
        <f t="shared" si="15"/>
        <v>0</v>
      </c>
      <c r="X70" s="580"/>
      <c r="Y70" s="581">
        <f t="shared" si="16"/>
        <v>13814.377199999999</v>
      </c>
    </row>
    <row r="71" spans="1:25" s="432" customFormat="1" ht="12.75" customHeight="1" x14ac:dyDescent="0.2">
      <c r="A71" s="30"/>
      <c r="B71" s="30"/>
      <c r="C71" s="30" t="s">
        <v>239</v>
      </c>
      <c r="D71" s="426">
        <v>618</v>
      </c>
      <c r="E71" s="34" t="s">
        <v>343</v>
      </c>
      <c r="F71" s="34" t="s">
        <v>6</v>
      </c>
      <c r="G71" s="34" t="s">
        <v>454</v>
      </c>
      <c r="H71" s="30" t="s">
        <v>461</v>
      </c>
      <c r="I71" s="34" t="s">
        <v>31</v>
      </c>
      <c r="J71" s="34" t="s">
        <v>64</v>
      </c>
      <c r="K71" s="580">
        <f>32.26*15%</f>
        <v>4.8389999999999995</v>
      </c>
      <c r="L71" s="580">
        <v>2080</v>
      </c>
      <c r="M71" s="580"/>
      <c r="N71" s="580">
        <f t="shared" si="32"/>
        <v>10065.119999999999</v>
      </c>
      <c r="O71" s="580"/>
      <c r="P71" s="580">
        <f t="shared" si="33"/>
        <v>3603.3129599999993</v>
      </c>
      <c r="Q71" s="580">
        <f t="shared" si="34"/>
        <v>145.94423999999998</v>
      </c>
      <c r="R71" s="580">
        <f t="shared" si="35"/>
        <v>0</v>
      </c>
      <c r="S71" s="580"/>
      <c r="T71" s="580"/>
      <c r="U71" s="580"/>
      <c r="V71" s="473">
        <f t="shared" si="14"/>
        <v>13814.377199999999</v>
      </c>
      <c r="W71" s="580">
        <f t="shared" si="15"/>
        <v>0</v>
      </c>
      <c r="X71" s="580"/>
      <c r="Y71" s="581">
        <f t="shared" si="16"/>
        <v>13814.377199999999</v>
      </c>
    </row>
    <row r="72" spans="1:25" ht="12.75" customHeight="1" x14ac:dyDescent="0.2">
      <c r="A72" s="30">
        <v>33733</v>
      </c>
      <c r="B72" s="30"/>
      <c r="C72" s="30" t="s">
        <v>320</v>
      </c>
      <c r="D72" s="426">
        <v>615</v>
      </c>
      <c r="E72" s="34" t="s">
        <v>328</v>
      </c>
      <c r="F72" s="34" t="s">
        <v>6</v>
      </c>
      <c r="G72" s="30" t="s">
        <v>454</v>
      </c>
      <c r="H72" s="30" t="s">
        <v>461</v>
      </c>
      <c r="I72" s="34" t="s">
        <v>775</v>
      </c>
      <c r="J72" s="34" t="s">
        <v>136</v>
      </c>
      <c r="K72" s="580">
        <f>28.87*25%</f>
        <v>7.2175000000000002</v>
      </c>
      <c r="L72" s="580">
        <v>2080</v>
      </c>
      <c r="M72" s="580"/>
      <c r="N72" s="580">
        <f t="shared" si="7"/>
        <v>15012.4</v>
      </c>
      <c r="O72" s="580"/>
      <c r="P72" s="580">
        <f>(N72-(M72*K72))*$P$27</f>
        <v>5374.4391999999998</v>
      </c>
      <c r="Q72" s="580">
        <f t="shared" si="8"/>
        <v>217.6798</v>
      </c>
      <c r="R72" s="580">
        <f>0*$R$27</f>
        <v>0</v>
      </c>
      <c r="S72" s="580">
        <f>IF(H72="1",3242.52*2,0)</f>
        <v>6485.04</v>
      </c>
      <c r="T72" s="580">
        <f>IF(H72="1",361.92*2,0)</f>
        <v>723.84</v>
      </c>
      <c r="U72" s="580">
        <v>0</v>
      </c>
      <c r="V72" s="473">
        <f t="shared" si="14"/>
        <v>27813.399000000001</v>
      </c>
      <c r="W72" s="580">
        <f t="shared" si="15"/>
        <v>0</v>
      </c>
      <c r="X72" s="580"/>
      <c r="Y72" s="581">
        <f t="shared" si="16"/>
        <v>27813.399000000001</v>
      </c>
    </row>
    <row r="73" spans="1:25" s="432" customFormat="1" ht="12.75" customHeight="1" x14ac:dyDescent="0.2">
      <c r="A73" s="30"/>
      <c r="B73" s="30"/>
      <c r="C73" s="30" t="s">
        <v>320</v>
      </c>
      <c r="D73" s="426">
        <v>615</v>
      </c>
      <c r="E73" s="34" t="s">
        <v>328</v>
      </c>
      <c r="F73" s="34" t="s">
        <v>6</v>
      </c>
      <c r="G73" s="30" t="s">
        <v>454</v>
      </c>
      <c r="H73" s="30" t="s">
        <v>461</v>
      </c>
      <c r="I73" s="34" t="s">
        <v>775</v>
      </c>
      <c r="J73" s="34" t="s">
        <v>134</v>
      </c>
      <c r="K73" s="580">
        <f t="shared" ref="K73:K75" si="36">28.87*25%</f>
        <v>7.2175000000000002</v>
      </c>
      <c r="L73" s="580">
        <v>2080</v>
      </c>
      <c r="M73" s="580"/>
      <c r="N73" s="580">
        <f t="shared" ref="N73:N75" si="37">IF(H73="1",(L73*K73)+(M73*K73),0)</f>
        <v>15012.4</v>
      </c>
      <c r="O73" s="580"/>
      <c r="P73" s="580">
        <f t="shared" ref="P73:P75" si="38">(N73-(M73*K73))*$P$27</f>
        <v>5374.4391999999998</v>
      </c>
      <c r="Q73" s="580">
        <f t="shared" ref="Q73:Q75" si="39">N73*$Q$27</f>
        <v>217.6798</v>
      </c>
      <c r="R73" s="580">
        <f t="shared" ref="R73:R75" si="40">0*$R$27</f>
        <v>0</v>
      </c>
      <c r="S73" s="580"/>
      <c r="T73" s="580"/>
      <c r="U73" s="580"/>
      <c r="V73" s="473">
        <f t="shared" si="14"/>
        <v>20604.519</v>
      </c>
      <c r="W73" s="580">
        <f t="shared" si="15"/>
        <v>0</v>
      </c>
      <c r="X73" s="580"/>
      <c r="Y73" s="581">
        <f t="shared" si="16"/>
        <v>20604.519</v>
      </c>
    </row>
    <row r="74" spans="1:25" s="432" customFormat="1" ht="12.75" customHeight="1" x14ac:dyDescent="0.2">
      <c r="A74" s="30"/>
      <c r="B74" s="30"/>
      <c r="C74" s="30" t="s">
        <v>320</v>
      </c>
      <c r="D74" s="426">
        <v>615</v>
      </c>
      <c r="E74" s="34" t="s">
        <v>328</v>
      </c>
      <c r="F74" s="34" t="s">
        <v>6</v>
      </c>
      <c r="G74" s="30" t="s">
        <v>454</v>
      </c>
      <c r="H74" s="30" t="s">
        <v>461</v>
      </c>
      <c r="I74" s="34" t="s">
        <v>775</v>
      </c>
      <c r="J74" s="34" t="s">
        <v>137</v>
      </c>
      <c r="K74" s="580">
        <f t="shared" si="36"/>
        <v>7.2175000000000002</v>
      </c>
      <c r="L74" s="580">
        <v>2080</v>
      </c>
      <c r="M74" s="580"/>
      <c r="N74" s="580">
        <f t="shared" si="37"/>
        <v>15012.4</v>
      </c>
      <c r="O74" s="580"/>
      <c r="P74" s="580">
        <f t="shared" si="38"/>
        <v>5374.4391999999998</v>
      </c>
      <c r="Q74" s="580">
        <f t="shared" si="39"/>
        <v>217.6798</v>
      </c>
      <c r="R74" s="580">
        <f t="shared" si="40"/>
        <v>0</v>
      </c>
      <c r="S74" s="580"/>
      <c r="T74" s="580"/>
      <c r="U74" s="580"/>
      <c r="V74" s="473">
        <f t="shared" si="14"/>
        <v>20604.519</v>
      </c>
      <c r="W74" s="580">
        <f t="shared" si="15"/>
        <v>0</v>
      </c>
      <c r="X74" s="580"/>
      <c r="Y74" s="581">
        <f t="shared" si="16"/>
        <v>20604.519</v>
      </c>
    </row>
    <row r="75" spans="1:25" s="432" customFormat="1" ht="12.75" customHeight="1" x14ac:dyDescent="0.2">
      <c r="A75" s="30"/>
      <c r="B75" s="30"/>
      <c r="C75" s="30" t="s">
        <v>320</v>
      </c>
      <c r="D75" s="426">
        <v>615</v>
      </c>
      <c r="E75" s="34" t="s">
        <v>328</v>
      </c>
      <c r="F75" s="34" t="s">
        <v>6</v>
      </c>
      <c r="G75" s="30" t="s">
        <v>454</v>
      </c>
      <c r="H75" s="30" t="s">
        <v>461</v>
      </c>
      <c r="I75" s="34" t="s">
        <v>775</v>
      </c>
      <c r="J75" s="34" t="s">
        <v>135</v>
      </c>
      <c r="K75" s="580">
        <f t="shared" si="36"/>
        <v>7.2175000000000002</v>
      </c>
      <c r="L75" s="580">
        <v>2080</v>
      </c>
      <c r="M75" s="580"/>
      <c r="N75" s="580">
        <f t="shared" si="37"/>
        <v>15012.4</v>
      </c>
      <c r="O75" s="580"/>
      <c r="P75" s="580">
        <f t="shared" si="38"/>
        <v>5374.4391999999998</v>
      </c>
      <c r="Q75" s="580">
        <f t="shared" si="39"/>
        <v>217.6798</v>
      </c>
      <c r="R75" s="580">
        <f t="shared" si="40"/>
        <v>0</v>
      </c>
      <c r="S75" s="580"/>
      <c r="T75" s="580"/>
      <c r="U75" s="580"/>
      <c r="V75" s="473">
        <f t="shared" si="14"/>
        <v>20604.519</v>
      </c>
      <c r="W75" s="580">
        <f t="shared" si="15"/>
        <v>0</v>
      </c>
      <c r="X75" s="580"/>
      <c r="Y75" s="581">
        <f t="shared" si="16"/>
        <v>20604.519</v>
      </c>
    </row>
    <row r="76" spans="1:25" ht="12.75" customHeight="1" x14ac:dyDescent="0.2">
      <c r="A76" s="30">
        <v>120497</v>
      </c>
      <c r="B76" s="30"/>
      <c r="C76" s="30" t="s">
        <v>297</v>
      </c>
      <c r="D76" s="426">
        <v>617</v>
      </c>
      <c r="E76" s="34" t="s">
        <v>361</v>
      </c>
      <c r="F76" s="34" t="s">
        <v>6</v>
      </c>
      <c r="G76" s="30" t="s">
        <v>454</v>
      </c>
      <c r="H76" s="30" t="s">
        <v>461</v>
      </c>
      <c r="I76" s="34" t="s">
        <v>34</v>
      </c>
      <c r="J76" s="34" t="s">
        <v>796</v>
      </c>
      <c r="K76" s="580">
        <f>29.58*60%</f>
        <v>17.747999999999998</v>
      </c>
      <c r="L76" s="580">
        <v>2080</v>
      </c>
      <c r="M76" s="580"/>
      <c r="N76" s="580">
        <f t="shared" si="7"/>
        <v>36915.839999999997</v>
      </c>
      <c r="O76" s="580"/>
      <c r="P76" s="580">
        <f>(N76-(M76*K76))*$P$27</f>
        <v>13215.870719999999</v>
      </c>
      <c r="Q76" s="580">
        <f t="shared" si="8"/>
        <v>535.27967999999998</v>
      </c>
      <c r="R76" s="580">
        <f>0*$R$27</f>
        <v>0</v>
      </c>
      <c r="S76" s="580">
        <f>IF(H76="1",4947.84*2,0)</f>
        <v>9895.68</v>
      </c>
      <c r="T76" s="580">
        <f>IF(H76="1",240*2,0)</f>
        <v>480</v>
      </c>
      <c r="U76" s="580">
        <f>IF(H76="1",123.12*2,0)</f>
        <v>246.24</v>
      </c>
      <c r="V76" s="473">
        <f t="shared" si="14"/>
        <v>61288.910399999993</v>
      </c>
      <c r="W76" s="580">
        <f t="shared" si="15"/>
        <v>0</v>
      </c>
      <c r="X76" s="580"/>
      <c r="Y76" s="581">
        <f t="shared" si="16"/>
        <v>61288.910399999993</v>
      </c>
    </row>
    <row r="77" spans="1:25" s="432" customFormat="1" ht="12.75" customHeight="1" x14ac:dyDescent="0.2">
      <c r="A77" s="30"/>
      <c r="B77" s="30"/>
      <c r="C77" s="30" t="s">
        <v>297</v>
      </c>
      <c r="D77" s="426">
        <v>617</v>
      </c>
      <c r="E77" s="34" t="s">
        <v>361</v>
      </c>
      <c r="F77" s="34" t="s">
        <v>6</v>
      </c>
      <c r="G77" s="30" t="s">
        <v>454</v>
      </c>
      <c r="H77" s="30" t="s">
        <v>461</v>
      </c>
      <c r="I77" s="34" t="s">
        <v>34</v>
      </c>
      <c r="J77" s="34" t="s">
        <v>150</v>
      </c>
      <c r="K77" s="580">
        <f>29.58*15%</f>
        <v>4.4369999999999994</v>
      </c>
      <c r="L77" s="580">
        <v>2080</v>
      </c>
      <c r="M77" s="580"/>
      <c r="N77" s="580">
        <f t="shared" ref="N77:N78" si="41">IF(H77="1",(L77*K77)+(M77*K77),0)</f>
        <v>9228.9599999999991</v>
      </c>
      <c r="O77" s="580"/>
      <c r="P77" s="580">
        <f t="shared" ref="P77:P78" si="42">(N77-(M77*K77))*$P$27</f>
        <v>3303.9676799999997</v>
      </c>
      <c r="Q77" s="580">
        <f t="shared" ref="Q77:Q78" si="43">N77*$Q$27</f>
        <v>133.81992</v>
      </c>
      <c r="R77" s="580">
        <f t="shared" ref="R77:R78" si="44">0*$R$27</f>
        <v>0</v>
      </c>
      <c r="S77" s="580"/>
      <c r="T77" s="580"/>
      <c r="U77" s="580"/>
      <c r="V77" s="473">
        <f t="shared" si="14"/>
        <v>12666.747599999999</v>
      </c>
      <c r="W77" s="580">
        <f t="shared" si="15"/>
        <v>0</v>
      </c>
      <c r="X77" s="580"/>
      <c r="Y77" s="581">
        <f t="shared" si="16"/>
        <v>12666.747599999999</v>
      </c>
    </row>
    <row r="78" spans="1:25" s="432" customFormat="1" ht="12.75" customHeight="1" x14ac:dyDescent="0.2">
      <c r="A78" s="30"/>
      <c r="B78" s="30"/>
      <c r="C78" s="30" t="s">
        <v>297</v>
      </c>
      <c r="D78" s="426">
        <v>617</v>
      </c>
      <c r="E78" s="34" t="s">
        <v>361</v>
      </c>
      <c r="F78" s="34" t="s">
        <v>6</v>
      </c>
      <c r="G78" s="30" t="s">
        <v>454</v>
      </c>
      <c r="H78" s="30" t="s">
        <v>461</v>
      </c>
      <c r="I78" s="34" t="s">
        <v>34</v>
      </c>
      <c r="J78" s="34" t="s">
        <v>121</v>
      </c>
      <c r="K78" s="580">
        <f>29.58*25%</f>
        <v>7.3949999999999996</v>
      </c>
      <c r="L78" s="580">
        <v>2080</v>
      </c>
      <c r="M78" s="580"/>
      <c r="N78" s="580">
        <f t="shared" si="41"/>
        <v>15381.599999999999</v>
      </c>
      <c r="O78" s="580"/>
      <c r="P78" s="580">
        <f t="shared" si="42"/>
        <v>5506.612799999999</v>
      </c>
      <c r="Q78" s="580">
        <f t="shared" si="43"/>
        <v>223.03319999999999</v>
      </c>
      <c r="R78" s="580">
        <f t="shared" si="44"/>
        <v>0</v>
      </c>
      <c r="S78" s="580"/>
      <c r="T78" s="580"/>
      <c r="U78" s="580"/>
      <c r="V78" s="473">
        <f t="shared" si="14"/>
        <v>21111.245999999999</v>
      </c>
      <c r="W78" s="580">
        <f t="shared" si="15"/>
        <v>0</v>
      </c>
      <c r="X78" s="580"/>
      <c r="Y78" s="581">
        <f t="shared" si="16"/>
        <v>21111.245999999999</v>
      </c>
    </row>
    <row r="79" spans="1:25" ht="12.75" customHeight="1" x14ac:dyDescent="0.2">
      <c r="A79" s="30">
        <v>114460</v>
      </c>
      <c r="B79" s="30"/>
      <c r="C79" s="30" t="s">
        <v>273</v>
      </c>
      <c r="D79" s="426">
        <v>314</v>
      </c>
      <c r="E79" s="30" t="s">
        <v>367</v>
      </c>
      <c r="F79" s="34" t="s">
        <v>6</v>
      </c>
      <c r="G79" s="30" t="s">
        <v>454</v>
      </c>
      <c r="H79" s="30" t="s">
        <v>461</v>
      </c>
      <c r="I79" s="30" t="s">
        <v>685</v>
      </c>
      <c r="J79" s="34" t="s">
        <v>114</v>
      </c>
      <c r="K79" s="580">
        <f>39.07*23.08%</f>
        <v>9.0173559999999995</v>
      </c>
      <c r="L79" s="580">
        <v>2080</v>
      </c>
      <c r="M79" s="580"/>
      <c r="N79" s="580">
        <f t="shared" si="7"/>
        <v>18756.100479999997</v>
      </c>
      <c r="O79" s="580"/>
      <c r="P79" s="580">
        <f>(N79-(M79*K79))*$P$27</f>
        <v>6714.6839718399988</v>
      </c>
      <c r="Q79" s="580">
        <f t="shared" si="8"/>
        <v>271.96345695999997</v>
      </c>
      <c r="R79" s="580">
        <v>0</v>
      </c>
      <c r="S79" s="580">
        <f>IF(H79="1",3242.52*2,0)</f>
        <v>6485.04</v>
      </c>
      <c r="T79" s="580">
        <f>IF(H79="1",276.36*2,0)</f>
        <v>552.72</v>
      </c>
      <c r="U79" s="580">
        <f>IF(H79="1",162*2,0)</f>
        <v>324</v>
      </c>
      <c r="V79" s="473">
        <f t="shared" si="14"/>
        <v>33104.507908799991</v>
      </c>
      <c r="W79" s="580">
        <f t="shared" si="15"/>
        <v>0</v>
      </c>
      <c r="X79" s="580"/>
      <c r="Y79" s="581">
        <f t="shared" si="16"/>
        <v>33104.507908799991</v>
      </c>
    </row>
    <row r="80" spans="1:25" s="432" customFormat="1" ht="12.75" customHeight="1" x14ac:dyDescent="0.2">
      <c r="A80" s="30"/>
      <c r="B80" s="30"/>
      <c r="C80" s="30" t="s">
        <v>273</v>
      </c>
      <c r="D80" s="426">
        <v>314</v>
      </c>
      <c r="E80" s="30" t="s">
        <v>367</v>
      </c>
      <c r="F80" s="34" t="s">
        <v>6</v>
      </c>
      <c r="G80" s="30" t="s">
        <v>454</v>
      </c>
      <c r="H80" s="30" t="s">
        <v>461</v>
      </c>
      <c r="I80" s="30" t="s">
        <v>685</v>
      </c>
      <c r="J80" s="34" t="s">
        <v>1477</v>
      </c>
      <c r="K80" s="580">
        <f>39.07*15.38%</f>
        <v>6.0089660000000009</v>
      </c>
      <c r="L80" s="580">
        <v>2080</v>
      </c>
      <c r="M80" s="580"/>
      <c r="N80" s="580">
        <f t="shared" ref="N80:N88" si="45">IF(H80="1",(L80*K80)+(M80*K80),0)</f>
        <v>12498.649280000001</v>
      </c>
      <c r="O80" s="580"/>
      <c r="P80" s="580">
        <f t="shared" ref="P80:P88" si="46">(N80-(M80*K80))*$P$27</f>
        <v>4474.5164422400003</v>
      </c>
      <c r="Q80" s="580">
        <f t="shared" ref="Q80:Q88" si="47">N80*$Q$27</f>
        <v>181.23041456000004</v>
      </c>
      <c r="R80" s="580">
        <v>0</v>
      </c>
      <c r="S80" s="580"/>
      <c r="T80" s="580"/>
      <c r="U80" s="580"/>
      <c r="V80" s="473">
        <f t="shared" si="14"/>
        <v>17154.396136800002</v>
      </c>
      <c r="W80" s="580">
        <f t="shared" si="15"/>
        <v>0</v>
      </c>
      <c r="X80" s="580"/>
      <c r="Y80" s="581">
        <f t="shared" si="16"/>
        <v>17154.396136800002</v>
      </c>
    </row>
    <row r="81" spans="1:25" s="432" customFormat="1" ht="12.75" customHeight="1" x14ac:dyDescent="0.2">
      <c r="A81" s="30"/>
      <c r="B81" s="30"/>
      <c r="C81" s="30" t="s">
        <v>273</v>
      </c>
      <c r="D81" s="426">
        <v>314</v>
      </c>
      <c r="E81" s="30" t="s">
        <v>367</v>
      </c>
      <c r="F81" s="34" t="s">
        <v>6</v>
      </c>
      <c r="G81" s="30" t="s">
        <v>454</v>
      </c>
      <c r="H81" s="30" t="s">
        <v>461</v>
      </c>
      <c r="I81" s="30" t="s">
        <v>685</v>
      </c>
      <c r="J81" s="34" t="s">
        <v>692</v>
      </c>
      <c r="K81" s="580">
        <f>39.07*11.54%</f>
        <v>4.5086779999999997</v>
      </c>
      <c r="L81" s="580">
        <v>2080</v>
      </c>
      <c r="M81" s="580"/>
      <c r="N81" s="580">
        <f t="shared" si="45"/>
        <v>9378.0502399999987</v>
      </c>
      <c r="O81" s="580"/>
      <c r="P81" s="580">
        <f t="shared" si="46"/>
        <v>3357.3419859199994</v>
      </c>
      <c r="Q81" s="580">
        <f t="shared" si="47"/>
        <v>135.98172847999999</v>
      </c>
      <c r="R81" s="580">
        <v>0</v>
      </c>
      <c r="S81" s="580"/>
      <c r="T81" s="580"/>
      <c r="U81" s="580"/>
      <c r="V81" s="473">
        <f t="shared" si="14"/>
        <v>12871.373954399996</v>
      </c>
      <c r="W81" s="580">
        <f t="shared" si="15"/>
        <v>0</v>
      </c>
      <c r="X81" s="580"/>
      <c r="Y81" s="581">
        <f t="shared" si="16"/>
        <v>12871.373954399996</v>
      </c>
    </row>
    <row r="82" spans="1:25" s="432" customFormat="1" ht="12.75" customHeight="1" x14ac:dyDescent="0.2">
      <c r="A82" s="30"/>
      <c r="B82" s="30"/>
      <c r="C82" s="30" t="s">
        <v>273</v>
      </c>
      <c r="D82" s="426">
        <v>314</v>
      </c>
      <c r="E82" s="30" t="s">
        <v>367</v>
      </c>
      <c r="F82" s="34" t="s">
        <v>6</v>
      </c>
      <c r="G82" s="30" t="s">
        <v>454</v>
      </c>
      <c r="H82" s="30" t="s">
        <v>461</v>
      </c>
      <c r="I82" s="30" t="s">
        <v>685</v>
      </c>
      <c r="J82" s="659" t="s">
        <v>129</v>
      </c>
      <c r="K82" s="580">
        <f>39.07*11.54%</f>
        <v>4.5086779999999997</v>
      </c>
      <c r="L82" s="580">
        <v>2080</v>
      </c>
      <c r="M82" s="580"/>
      <c r="N82" s="580">
        <f t="shared" si="45"/>
        <v>9378.0502399999987</v>
      </c>
      <c r="O82" s="580"/>
      <c r="P82" s="580">
        <f t="shared" si="46"/>
        <v>3357.3419859199994</v>
      </c>
      <c r="Q82" s="580">
        <f t="shared" si="47"/>
        <v>135.98172847999999</v>
      </c>
      <c r="R82" s="580">
        <v>0</v>
      </c>
      <c r="S82" s="580"/>
      <c r="T82" s="580"/>
      <c r="U82" s="580"/>
      <c r="V82" s="473">
        <f t="shared" si="14"/>
        <v>12871.373954399996</v>
      </c>
      <c r="W82" s="580">
        <f t="shared" si="15"/>
        <v>0</v>
      </c>
      <c r="X82" s="580"/>
      <c r="Y82" s="581">
        <f t="shared" si="16"/>
        <v>12871.373954399996</v>
      </c>
    </row>
    <row r="83" spans="1:25" s="432" customFormat="1" ht="12.75" customHeight="1" x14ac:dyDescent="0.2">
      <c r="A83" s="30"/>
      <c r="B83" s="30"/>
      <c r="C83" s="30" t="s">
        <v>273</v>
      </c>
      <c r="D83" s="426">
        <v>314</v>
      </c>
      <c r="E83" s="30" t="s">
        <v>367</v>
      </c>
      <c r="F83" s="34" t="s">
        <v>6</v>
      </c>
      <c r="G83" s="30" t="s">
        <v>454</v>
      </c>
      <c r="H83" s="30" t="s">
        <v>461</v>
      </c>
      <c r="I83" s="30" t="s">
        <v>685</v>
      </c>
      <c r="J83" s="659" t="s">
        <v>128</v>
      </c>
      <c r="K83" s="580">
        <f>39.07*9.62%</f>
        <v>3.7585339999999996</v>
      </c>
      <c r="L83" s="580">
        <v>2080</v>
      </c>
      <c r="M83" s="580"/>
      <c r="N83" s="580">
        <f t="shared" si="45"/>
        <v>7817.7507199999991</v>
      </c>
      <c r="O83" s="580"/>
      <c r="P83" s="580">
        <f t="shared" si="46"/>
        <v>2798.7547577599994</v>
      </c>
      <c r="Q83" s="580">
        <f t="shared" si="47"/>
        <v>113.35738543999999</v>
      </c>
      <c r="R83" s="580">
        <v>0</v>
      </c>
      <c r="S83" s="580"/>
      <c r="T83" s="580"/>
      <c r="U83" s="580"/>
      <c r="V83" s="473">
        <f t="shared" si="14"/>
        <v>10729.862863199998</v>
      </c>
      <c r="W83" s="580">
        <f t="shared" si="15"/>
        <v>0</v>
      </c>
      <c r="X83" s="580"/>
      <c r="Y83" s="581">
        <f t="shared" si="16"/>
        <v>10729.862863199998</v>
      </c>
    </row>
    <row r="84" spans="1:25" s="432" customFormat="1" ht="12.75" customHeight="1" x14ac:dyDescent="0.2">
      <c r="A84" s="30"/>
      <c r="B84" s="30"/>
      <c r="C84" s="30" t="s">
        <v>273</v>
      </c>
      <c r="D84" s="426">
        <v>314</v>
      </c>
      <c r="E84" s="30" t="s">
        <v>367</v>
      </c>
      <c r="F84" s="34" t="s">
        <v>6</v>
      </c>
      <c r="G84" s="30" t="s">
        <v>454</v>
      </c>
      <c r="H84" s="30" t="s">
        <v>461</v>
      </c>
      <c r="I84" s="30" t="s">
        <v>685</v>
      </c>
      <c r="J84" s="659" t="s">
        <v>117</v>
      </c>
      <c r="K84" s="580">
        <f>39.07*7.69%</f>
        <v>3.0044830000000005</v>
      </c>
      <c r="L84" s="580">
        <v>2080</v>
      </c>
      <c r="M84" s="580"/>
      <c r="N84" s="580">
        <f t="shared" si="45"/>
        <v>6249.3246400000007</v>
      </c>
      <c r="O84" s="580"/>
      <c r="P84" s="580">
        <f t="shared" si="46"/>
        <v>2237.2582211200001</v>
      </c>
      <c r="Q84" s="580">
        <f t="shared" si="47"/>
        <v>90.615207280000021</v>
      </c>
      <c r="R84" s="580">
        <v>0</v>
      </c>
      <c r="S84" s="580"/>
      <c r="T84" s="580"/>
      <c r="U84" s="580"/>
      <c r="V84" s="473">
        <f t="shared" si="14"/>
        <v>8577.1980684000009</v>
      </c>
      <c r="W84" s="580">
        <f t="shared" si="15"/>
        <v>0</v>
      </c>
      <c r="X84" s="580"/>
      <c r="Y84" s="581">
        <f t="shared" si="16"/>
        <v>8577.1980684000009</v>
      </c>
    </row>
    <row r="85" spans="1:25" s="432" customFormat="1" ht="12.75" customHeight="1" x14ac:dyDescent="0.2">
      <c r="A85" s="30"/>
      <c r="B85" s="30"/>
      <c r="C85" s="30" t="s">
        <v>273</v>
      </c>
      <c r="D85" s="426">
        <v>314</v>
      </c>
      <c r="E85" s="30" t="s">
        <v>367</v>
      </c>
      <c r="F85" s="34" t="s">
        <v>6</v>
      </c>
      <c r="G85" s="30" t="s">
        <v>454</v>
      </c>
      <c r="H85" s="30" t="s">
        <v>461</v>
      </c>
      <c r="I85" s="30" t="s">
        <v>685</v>
      </c>
      <c r="J85" s="34" t="s">
        <v>124</v>
      </c>
      <c r="K85" s="580">
        <f>39.07*5.77%</f>
        <v>2.2543389999999999</v>
      </c>
      <c r="L85" s="580">
        <v>2080</v>
      </c>
      <c r="M85" s="580"/>
      <c r="N85" s="580">
        <f t="shared" si="45"/>
        <v>4689.0251199999993</v>
      </c>
      <c r="O85" s="580"/>
      <c r="P85" s="580">
        <f t="shared" si="46"/>
        <v>1678.6709929599997</v>
      </c>
      <c r="Q85" s="580">
        <f t="shared" si="47"/>
        <v>67.990864239999993</v>
      </c>
      <c r="R85" s="580">
        <v>0</v>
      </c>
      <c r="S85" s="580"/>
      <c r="T85" s="580"/>
      <c r="U85" s="580"/>
      <c r="V85" s="473">
        <f t="shared" si="14"/>
        <v>6435.6869771999982</v>
      </c>
      <c r="W85" s="580">
        <f t="shared" si="15"/>
        <v>0</v>
      </c>
      <c r="X85" s="580"/>
      <c r="Y85" s="581">
        <f t="shared" si="16"/>
        <v>6435.6869771999982</v>
      </c>
    </row>
    <row r="86" spans="1:25" s="432" customFormat="1" ht="12.75" customHeight="1" x14ac:dyDescent="0.2">
      <c r="A86" s="30"/>
      <c r="B86" s="30"/>
      <c r="C86" s="30" t="s">
        <v>273</v>
      </c>
      <c r="D86" s="426">
        <v>314</v>
      </c>
      <c r="E86" s="30" t="s">
        <v>367</v>
      </c>
      <c r="F86" s="34" t="s">
        <v>6</v>
      </c>
      <c r="G86" s="30" t="s">
        <v>454</v>
      </c>
      <c r="H86" s="30" t="s">
        <v>461</v>
      </c>
      <c r="I86" s="30" t="s">
        <v>685</v>
      </c>
      <c r="J86" s="34" t="s">
        <v>159</v>
      </c>
      <c r="K86" s="580">
        <f>39.07*5.77%</f>
        <v>2.2543389999999999</v>
      </c>
      <c r="L86" s="580">
        <v>2080</v>
      </c>
      <c r="M86" s="580"/>
      <c r="N86" s="580">
        <f t="shared" si="45"/>
        <v>4689.0251199999993</v>
      </c>
      <c r="O86" s="580"/>
      <c r="P86" s="580">
        <f t="shared" si="46"/>
        <v>1678.6709929599997</v>
      </c>
      <c r="Q86" s="580">
        <f t="shared" si="47"/>
        <v>67.990864239999993</v>
      </c>
      <c r="R86" s="580">
        <v>0</v>
      </c>
      <c r="S86" s="580"/>
      <c r="T86" s="580"/>
      <c r="U86" s="580"/>
      <c r="V86" s="473">
        <f t="shared" si="14"/>
        <v>6435.6869771999982</v>
      </c>
      <c r="W86" s="580">
        <f t="shared" si="15"/>
        <v>0</v>
      </c>
      <c r="X86" s="580"/>
      <c r="Y86" s="581">
        <f t="shared" si="16"/>
        <v>6435.6869771999982</v>
      </c>
    </row>
    <row r="87" spans="1:25" s="432" customFormat="1" ht="12.75" customHeight="1" x14ac:dyDescent="0.2">
      <c r="A87" s="30"/>
      <c r="B87" s="30"/>
      <c r="C87" s="30" t="s">
        <v>273</v>
      </c>
      <c r="D87" s="426">
        <v>314</v>
      </c>
      <c r="E87" s="30" t="s">
        <v>367</v>
      </c>
      <c r="F87" s="34" t="s">
        <v>6</v>
      </c>
      <c r="G87" s="30" t="s">
        <v>454</v>
      </c>
      <c r="H87" s="30" t="s">
        <v>461</v>
      </c>
      <c r="I87" s="30" t="s">
        <v>685</v>
      </c>
      <c r="J87" s="34" t="s">
        <v>1136</v>
      </c>
      <c r="K87" s="580">
        <f>39.07*5.77%</f>
        <v>2.2543389999999999</v>
      </c>
      <c r="L87" s="580">
        <v>2080</v>
      </c>
      <c r="M87" s="580"/>
      <c r="N87" s="580">
        <f t="shared" si="45"/>
        <v>4689.0251199999993</v>
      </c>
      <c r="O87" s="580"/>
      <c r="P87" s="580">
        <f t="shared" si="46"/>
        <v>1678.6709929599997</v>
      </c>
      <c r="Q87" s="580">
        <f t="shared" si="47"/>
        <v>67.990864239999993</v>
      </c>
      <c r="R87" s="580">
        <v>0</v>
      </c>
      <c r="S87" s="580"/>
      <c r="T87" s="580"/>
      <c r="U87" s="580"/>
      <c r="V87" s="473">
        <f t="shared" si="14"/>
        <v>6435.6869771999982</v>
      </c>
      <c r="W87" s="580">
        <f t="shared" si="15"/>
        <v>0</v>
      </c>
      <c r="X87" s="580"/>
      <c r="Y87" s="581">
        <f t="shared" si="16"/>
        <v>6435.6869771999982</v>
      </c>
    </row>
    <row r="88" spans="1:25" s="432" customFormat="1" ht="12.75" customHeight="1" x14ac:dyDescent="0.2">
      <c r="A88" s="30"/>
      <c r="B88" s="30"/>
      <c r="C88" s="30" t="s">
        <v>273</v>
      </c>
      <c r="D88" s="426">
        <v>314</v>
      </c>
      <c r="E88" s="30" t="s">
        <v>367</v>
      </c>
      <c r="F88" s="34" t="s">
        <v>6</v>
      </c>
      <c r="G88" s="30" t="s">
        <v>454</v>
      </c>
      <c r="H88" s="30" t="s">
        <v>461</v>
      </c>
      <c r="I88" s="30" t="s">
        <v>685</v>
      </c>
      <c r="J88" s="34" t="s">
        <v>162</v>
      </c>
      <c r="K88" s="580">
        <f>39.07*3.84%</f>
        <v>1.5002879999999998</v>
      </c>
      <c r="L88" s="580">
        <v>2080</v>
      </c>
      <c r="M88" s="580"/>
      <c r="N88" s="580">
        <f t="shared" si="45"/>
        <v>3120.5990399999996</v>
      </c>
      <c r="O88" s="580"/>
      <c r="P88" s="580">
        <f t="shared" si="46"/>
        <v>1117.1744563199998</v>
      </c>
      <c r="Q88" s="580">
        <f t="shared" si="47"/>
        <v>45.248686079999999</v>
      </c>
      <c r="R88" s="580">
        <v>0</v>
      </c>
      <c r="S88" s="580"/>
      <c r="T88" s="580"/>
      <c r="U88" s="580"/>
      <c r="V88" s="473">
        <f t="shared" si="14"/>
        <v>4283.0221823999991</v>
      </c>
      <c r="W88" s="580">
        <f t="shared" si="15"/>
        <v>0</v>
      </c>
      <c r="X88" s="580"/>
      <c r="Y88" s="581">
        <f t="shared" si="16"/>
        <v>4283.0221823999991</v>
      </c>
    </row>
    <row r="89" spans="1:25" ht="12.75" customHeight="1" x14ac:dyDescent="0.2">
      <c r="A89" s="30">
        <v>202734</v>
      </c>
      <c r="B89" s="30"/>
      <c r="C89" s="30" t="s">
        <v>243</v>
      </c>
      <c r="D89" s="426">
        <v>620</v>
      </c>
      <c r="E89" s="30" t="s">
        <v>348</v>
      </c>
      <c r="F89" s="34" t="s">
        <v>6</v>
      </c>
      <c r="G89" s="30" t="s">
        <v>454</v>
      </c>
      <c r="H89" s="30" t="s">
        <v>461</v>
      </c>
      <c r="I89" s="30" t="s">
        <v>30</v>
      </c>
      <c r="J89" s="34" t="s">
        <v>133</v>
      </c>
      <c r="K89" s="580">
        <f>40.36*8%</f>
        <v>3.2288000000000001</v>
      </c>
      <c r="L89" s="580">
        <v>2080</v>
      </c>
      <c r="M89" s="580"/>
      <c r="N89" s="580">
        <f>IF(H89="1",(L89*K89)+(M89*K89),0)</f>
        <v>6715.9040000000005</v>
      </c>
      <c r="O89" s="580"/>
      <c r="P89" s="580">
        <f>(N89-(M89*K89))*$P$27</f>
        <v>2404.2936319999999</v>
      </c>
      <c r="Q89" s="580">
        <f>N89*$Q$27</f>
        <v>97.380608000000009</v>
      </c>
      <c r="R89" s="580">
        <v>0</v>
      </c>
      <c r="S89" s="580">
        <f>IF(H89="1",2828.52*2,0)</f>
        <v>5657.04</v>
      </c>
      <c r="T89" s="580">
        <f>IF(H89="1",127.2*2,0)</f>
        <v>254.4</v>
      </c>
      <c r="U89" s="580">
        <v>0</v>
      </c>
      <c r="V89" s="473">
        <f t="shared" si="14"/>
        <v>15129.018239999999</v>
      </c>
      <c r="W89" s="580">
        <f t="shared" si="15"/>
        <v>0</v>
      </c>
      <c r="X89" s="580"/>
      <c r="Y89" s="581">
        <f t="shared" si="16"/>
        <v>15129.018239999999</v>
      </c>
    </row>
    <row r="90" spans="1:25" s="432" customFormat="1" ht="12.75" customHeight="1" x14ac:dyDescent="0.2">
      <c r="A90" s="30"/>
      <c r="B90" s="30"/>
      <c r="C90" s="30" t="s">
        <v>243</v>
      </c>
      <c r="D90" s="426">
        <v>620</v>
      </c>
      <c r="E90" s="30" t="s">
        <v>348</v>
      </c>
      <c r="F90" s="34" t="s">
        <v>6</v>
      </c>
      <c r="G90" s="30" t="s">
        <v>454</v>
      </c>
      <c r="H90" s="30" t="s">
        <v>461</v>
      </c>
      <c r="I90" s="30" t="s">
        <v>30</v>
      </c>
      <c r="J90" s="34" t="s">
        <v>124</v>
      </c>
      <c r="K90" s="580">
        <f t="shared" ref="K90:K97" si="48">40.36*8%</f>
        <v>3.2288000000000001</v>
      </c>
      <c r="L90" s="580">
        <v>2080</v>
      </c>
      <c r="M90" s="580"/>
      <c r="N90" s="580">
        <f t="shared" ref="N90:N97" si="49">IF(H90="1",(L90*K90)+(M90*K90),0)</f>
        <v>6715.9040000000005</v>
      </c>
      <c r="O90" s="580"/>
      <c r="P90" s="580">
        <f t="shared" ref="P90:P97" si="50">(N90-(M90*K90))*$P$27</f>
        <v>2404.2936319999999</v>
      </c>
      <c r="Q90" s="580">
        <f t="shared" ref="Q90:Q97" si="51">N90*$Q$27</f>
        <v>97.380608000000009</v>
      </c>
      <c r="R90" s="580">
        <v>0</v>
      </c>
      <c r="S90" s="580"/>
      <c r="T90" s="580"/>
      <c r="U90" s="580"/>
      <c r="V90" s="473">
        <f t="shared" ref="V90:V97" si="52">SUM(N90:U90)</f>
        <v>9217.5782399999989</v>
      </c>
      <c r="W90" s="580">
        <f t="shared" ref="W90:W97" si="53">IF(P90&lt;&gt;"",V90*$W$27,0)</f>
        <v>0</v>
      </c>
      <c r="X90" s="580"/>
      <c r="Y90" s="581">
        <f t="shared" ref="Y90:Y97" si="54">X90+W90+V90</f>
        <v>9217.5782399999989</v>
      </c>
    </row>
    <row r="91" spans="1:25" s="432" customFormat="1" ht="12.75" customHeight="1" x14ac:dyDescent="0.2">
      <c r="A91" s="30"/>
      <c r="B91" s="30"/>
      <c r="C91" s="30" t="s">
        <v>243</v>
      </c>
      <c r="D91" s="426">
        <v>620</v>
      </c>
      <c r="E91" s="30" t="s">
        <v>348</v>
      </c>
      <c r="F91" s="34" t="s">
        <v>6</v>
      </c>
      <c r="G91" s="30" t="s">
        <v>454</v>
      </c>
      <c r="H91" s="30" t="s">
        <v>461</v>
      </c>
      <c r="I91" s="30" t="s">
        <v>30</v>
      </c>
      <c r="J91" s="34" t="s">
        <v>114</v>
      </c>
      <c r="K91" s="580">
        <f>40.36*40%</f>
        <v>16.144000000000002</v>
      </c>
      <c r="L91" s="580">
        <v>2080</v>
      </c>
      <c r="M91" s="580"/>
      <c r="N91" s="580">
        <f t="shared" si="49"/>
        <v>33579.520000000004</v>
      </c>
      <c r="O91" s="580"/>
      <c r="P91" s="580">
        <f t="shared" si="50"/>
        <v>12021.46816</v>
      </c>
      <c r="Q91" s="580">
        <f t="shared" si="51"/>
        <v>486.90304000000009</v>
      </c>
      <c r="R91" s="580">
        <v>0</v>
      </c>
      <c r="S91" s="580"/>
      <c r="T91" s="580"/>
      <c r="U91" s="580"/>
      <c r="V91" s="473">
        <f t="shared" si="52"/>
        <v>46087.891200000005</v>
      </c>
      <c r="W91" s="580">
        <f t="shared" si="53"/>
        <v>0</v>
      </c>
      <c r="X91" s="580"/>
      <c r="Y91" s="581">
        <f t="shared" si="54"/>
        <v>46087.891200000005</v>
      </c>
    </row>
    <row r="92" spans="1:25" s="432" customFormat="1" ht="12.75" customHeight="1" x14ac:dyDescent="0.2">
      <c r="A92" s="30"/>
      <c r="B92" s="30"/>
      <c r="C92" s="30" t="s">
        <v>243</v>
      </c>
      <c r="D92" s="426">
        <v>620</v>
      </c>
      <c r="E92" s="30" t="s">
        <v>348</v>
      </c>
      <c r="F92" s="34" t="s">
        <v>6</v>
      </c>
      <c r="G92" s="30" t="s">
        <v>454</v>
      </c>
      <c r="H92" s="30" t="s">
        <v>461</v>
      </c>
      <c r="I92" s="30" t="s">
        <v>30</v>
      </c>
      <c r="J92" s="34" t="s">
        <v>796</v>
      </c>
      <c r="K92" s="580">
        <f>40.36*2%</f>
        <v>0.80720000000000003</v>
      </c>
      <c r="L92" s="580">
        <v>2080</v>
      </c>
      <c r="M92" s="580"/>
      <c r="N92" s="580">
        <f t="shared" si="49"/>
        <v>1678.9760000000001</v>
      </c>
      <c r="O92" s="580"/>
      <c r="P92" s="580">
        <f t="shared" si="50"/>
        <v>601.07340799999997</v>
      </c>
      <c r="Q92" s="580">
        <f t="shared" si="51"/>
        <v>24.345152000000002</v>
      </c>
      <c r="R92" s="580">
        <v>0</v>
      </c>
      <c r="S92" s="580"/>
      <c r="T92" s="580"/>
      <c r="U92" s="580"/>
      <c r="V92" s="473">
        <f t="shared" si="52"/>
        <v>2304.3945599999997</v>
      </c>
      <c r="W92" s="580">
        <f t="shared" si="53"/>
        <v>0</v>
      </c>
      <c r="X92" s="580"/>
      <c r="Y92" s="581">
        <f t="shared" si="54"/>
        <v>2304.3945599999997</v>
      </c>
    </row>
    <row r="93" spans="1:25" s="432" customFormat="1" ht="12.75" customHeight="1" x14ac:dyDescent="0.2">
      <c r="A93" s="30"/>
      <c r="B93" s="30"/>
      <c r="C93" s="30" t="s">
        <v>243</v>
      </c>
      <c r="D93" s="426">
        <v>620</v>
      </c>
      <c r="E93" s="30" t="s">
        <v>348</v>
      </c>
      <c r="F93" s="34" t="s">
        <v>6</v>
      </c>
      <c r="G93" s="30" t="s">
        <v>454</v>
      </c>
      <c r="H93" s="30" t="s">
        <v>461</v>
      </c>
      <c r="I93" s="30" t="s">
        <v>30</v>
      </c>
      <c r="J93" s="34" t="s">
        <v>167</v>
      </c>
      <c r="K93" s="580">
        <f>40.36*20%</f>
        <v>8.072000000000001</v>
      </c>
      <c r="L93" s="580">
        <v>2080</v>
      </c>
      <c r="M93" s="580"/>
      <c r="N93" s="580">
        <f t="shared" si="49"/>
        <v>16789.760000000002</v>
      </c>
      <c r="O93" s="580"/>
      <c r="P93" s="580">
        <f t="shared" si="50"/>
        <v>6010.7340800000002</v>
      </c>
      <c r="Q93" s="580">
        <f t="shared" si="51"/>
        <v>243.45152000000004</v>
      </c>
      <c r="R93" s="580">
        <v>0</v>
      </c>
      <c r="S93" s="580"/>
      <c r="T93" s="580"/>
      <c r="U93" s="580"/>
      <c r="V93" s="473">
        <f t="shared" si="52"/>
        <v>23043.945600000003</v>
      </c>
      <c r="W93" s="580">
        <f t="shared" si="53"/>
        <v>0</v>
      </c>
      <c r="X93" s="580"/>
      <c r="Y93" s="581">
        <f t="shared" si="54"/>
        <v>23043.945600000003</v>
      </c>
    </row>
    <row r="94" spans="1:25" s="432" customFormat="1" ht="12.75" customHeight="1" x14ac:dyDescent="0.2">
      <c r="A94" s="30"/>
      <c r="B94" s="30"/>
      <c r="C94" s="30" t="s">
        <v>243</v>
      </c>
      <c r="D94" s="426">
        <v>620</v>
      </c>
      <c r="E94" s="30" t="s">
        <v>348</v>
      </c>
      <c r="F94" s="34" t="s">
        <v>6</v>
      </c>
      <c r="G94" s="30" t="s">
        <v>454</v>
      </c>
      <c r="H94" s="30" t="s">
        <v>461</v>
      </c>
      <c r="I94" s="30" t="s">
        <v>30</v>
      </c>
      <c r="J94" s="34" t="s">
        <v>120</v>
      </c>
      <c r="K94" s="580">
        <f>40.36*2%</f>
        <v>0.80720000000000003</v>
      </c>
      <c r="L94" s="580">
        <v>2080</v>
      </c>
      <c r="M94" s="580"/>
      <c r="N94" s="580">
        <f t="shared" si="49"/>
        <v>1678.9760000000001</v>
      </c>
      <c r="O94" s="580"/>
      <c r="P94" s="580">
        <f t="shared" si="50"/>
        <v>601.07340799999997</v>
      </c>
      <c r="Q94" s="580">
        <f t="shared" si="51"/>
        <v>24.345152000000002</v>
      </c>
      <c r="R94" s="580">
        <v>0</v>
      </c>
      <c r="S94" s="580"/>
      <c r="T94" s="580"/>
      <c r="U94" s="580"/>
      <c r="V94" s="473">
        <f t="shared" si="52"/>
        <v>2304.3945599999997</v>
      </c>
      <c r="W94" s="580">
        <f t="shared" si="53"/>
        <v>0</v>
      </c>
      <c r="X94" s="580"/>
      <c r="Y94" s="581">
        <f t="shared" si="54"/>
        <v>2304.3945599999997</v>
      </c>
    </row>
    <row r="95" spans="1:25" s="432" customFormat="1" ht="12.75" customHeight="1" x14ac:dyDescent="0.2">
      <c r="A95" s="30"/>
      <c r="B95" s="30"/>
      <c r="C95" s="30" t="s">
        <v>243</v>
      </c>
      <c r="D95" s="426">
        <v>620</v>
      </c>
      <c r="E95" s="30" t="s">
        <v>348</v>
      </c>
      <c r="F95" s="34" t="s">
        <v>6</v>
      </c>
      <c r="G95" s="30" t="s">
        <v>454</v>
      </c>
      <c r="H95" s="30" t="s">
        <v>461</v>
      </c>
      <c r="I95" s="30" t="s">
        <v>30</v>
      </c>
      <c r="J95" s="34" t="s">
        <v>126</v>
      </c>
      <c r="K95" s="580">
        <f>40.36*6%</f>
        <v>2.4215999999999998</v>
      </c>
      <c r="L95" s="580">
        <v>2080</v>
      </c>
      <c r="M95" s="580"/>
      <c r="N95" s="580">
        <f t="shared" si="49"/>
        <v>5036.9279999999999</v>
      </c>
      <c r="O95" s="580"/>
      <c r="P95" s="580">
        <f t="shared" si="50"/>
        <v>1803.2202239999999</v>
      </c>
      <c r="Q95" s="580">
        <f t="shared" si="51"/>
        <v>73.035455999999996</v>
      </c>
      <c r="R95" s="580">
        <v>0</v>
      </c>
      <c r="S95" s="580"/>
      <c r="T95" s="580"/>
      <c r="U95" s="580"/>
      <c r="V95" s="473">
        <f t="shared" si="52"/>
        <v>6913.1836799999992</v>
      </c>
      <c r="W95" s="580">
        <f t="shared" si="53"/>
        <v>0</v>
      </c>
      <c r="X95" s="580"/>
      <c r="Y95" s="581">
        <f t="shared" si="54"/>
        <v>6913.1836799999992</v>
      </c>
    </row>
    <row r="96" spans="1:25" s="432" customFormat="1" ht="12.75" customHeight="1" x14ac:dyDescent="0.2">
      <c r="A96" s="30"/>
      <c r="B96" s="30"/>
      <c r="C96" s="30" t="s">
        <v>243</v>
      </c>
      <c r="D96" s="426">
        <v>620</v>
      </c>
      <c r="E96" s="30" t="s">
        <v>348</v>
      </c>
      <c r="F96" s="34" t="s">
        <v>6</v>
      </c>
      <c r="G96" s="30" t="s">
        <v>454</v>
      </c>
      <c r="H96" s="30" t="s">
        <v>461</v>
      </c>
      <c r="I96" s="30" t="s">
        <v>30</v>
      </c>
      <c r="J96" s="34" t="s">
        <v>130</v>
      </c>
      <c r="K96" s="580">
        <f>40.36*6%</f>
        <v>2.4215999999999998</v>
      </c>
      <c r="L96" s="580">
        <v>2080</v>
      </c>
      <c r="M96" s="580"/>
      <c r="N96" s="580">
        <f t="shared" si="49"/>
        <v>5036.9279999999999</v>
      </c>
      <c r="O96" s="580"/>
      <c r="P96" s="580">
        <f t="shared" si="50"/>
        <v>1803.2202239999999</v>
      </c>
      <c r="Q96" s="580">
        <f t="shared" si="51"/>
        <v>73.035455999999996</v>
      </c>
      <c r="R96" s="580">
        <v>0</v>
      </c>
      <c r="S96" s="580"/>
      <c r="T96" s="580"/>
      <c r="U96" s="580"/>
      <c r="V96" s="473">
        <f t="shared" si="52"/>
        <v>6913.1836799999992</v>
      </c>
      <c r="W96" s="580">
        <f t="shared" si="53"/>
        <v>0</v>
      </c>
      <c r="X96" s="580"/>
      <c r="Y96" s="581">
        <f t="shared" si="54"/>
        <v>6913.1836799999992</v>
      </c>
    </row>
    <row r="97" spans="1:25" s="432" customFormat="1" ht="12.75" customHeight="1" x14ac:dyDescent="0.2">
      <c r="A97" s="30"/>
      <c r="B97" s="30"/>
      <c r="C97" s="30" t="s">
        <v>243</v>
      </c>
      <c r="D97" s="426">
        <v>620</v>
      </c>
      <c r="E97" s="30" t="s">
        <v>348</v>
      </c>
      <c r="F97" s="34" t="s">
        <v>6</v>
      </c>
      <c r="G97" s="30" t="s">
        <v>454</v>
      </c>
      <c r="H97" s="30" t="s">
        <v>461</v>
      </c>
      <c r="I97" s="30" t="s">
        <v>30</v>
      </c>
      <c r="J97" s="34" t="s">
        <v>692</v>
      </c>
      <c r="K97" s="580">
        <f t="shared" si="48"/>
        <v>3.2288000000000001</v>
      </c>
      <c r="L97" s="580">
        <v>2080</v>
      </c>
      <c r="M97" s="580"/>
      <c r="N97" s="580">
        <f t="shared" si="49"/>
        <v>6715.9040000000005</v>
      </c>
      <c r="O97" s="580"/>
      <c r="P97" s="580">
        <f t="shared" si="50"/>
        <v>2404.2936319999999</v>
      </c>
      <c r="Q97" s="580">
        <f t="shared" si="51"/>
        <v>97.380608000000009</v>
      </c>
      <c r="R97" s="580">
        <v>0</v>
      </c>
      <c r="S97" s="580"/>
      <c r="T97" s="580"/>
      <c r="U97" s="580"/>
      <c r="V97" s="473">
        <f t="shared" si="52"/>
        <v>9217.5782399999989</v>
      </c>
      <c r="W97" s="580">
        <f t="shared" si="53"/>
        <v>0</v>
      </c>
      <c r="X97" s="580"/>
      <c r="Y97" s="581">
        <f t="shared" si="54"/>
        <v>9217.5782399999989</v>
      </c>
    </row>
    <row r="98" spans="1:25" ht="12.75" customHeight="1" x14ac:dyDescent="0.2">
      <c r="A98" s="30">
        <v>144651</v>
      </c>
      <c r="B98" s="30"/>
      <c r="C98" s="30" t="s">
        <v>240</v>
      </c>
      <c r="D98" s="426">
        <v>619</v>
      </c>
      <c r="E98" s="30" t="s">
        <v>344</v>
      </c>
      <c r="F98" s="34" t="s">
        <v>6</v>
      </c>
      <c r="G98" s="30" t="s">
        <v>454</v>
      </c>
      <c r="H98" s="30" t="s">
        <v>461</v>
      </c>
      <c r="I98" s="34" t="s">
        <v>31</v>
      </c>
      <c r="J98" s="34" t="s">
        <v>692</v>
      </c>
      <c r="K98" s="580">
        <f>35.89*67%</f>
        <v>24.046300000000002</v>
      </c>
      <c r="L98" s="580">
        <v>2080</v>
      </c>
      <c r="M98" s="580"/>
      <c r="N98" s="580">
        <f>IF(H98="1",(L98*K98)+(M98*K98),0)</f>
        <v>50016.304000000004</v>
      </c>
      <c r="O98" s="580"/>
      <c r="P98" s="580">
        <f>(N98-(M98*K98))*$P$27</f>
        <v>17905.836832000001</v>
      </c>
      <c r="Q98" s="580">
        <f>N98*$Q$27</f>
        <v>725.2364080000001</v>
      </c>
      <c r="R98" s="580">
        <v>0</v>
      </c>
      <c r="S98" s="580">
        <f>IF(H98="1",2828.52*2,0)</f>
        <v>5657.04</v>
      </c>
      <c r="T98" s="580">
        <f>IF(H98="1",361.92*2,0)</f>
        <v>723.84</v>
      </c>
      <c r="U98" s="580">
        <v>0</v>
      </c>
      <c r="V98" s="473">
        <f t="shared" si="14"/>
        <v>75028.257239999992</v>
      </c>
      <c r="W98" s="580">
        <f t="shared" si="15"/>
        <v>0</v>
      </c>
      <c r="X98" s="580"/>
      <c r="Y98" s="581">
        <f t="shared" si="16"/>
        <v>75028.257239999992</v>
      </c>
    </row>
    <row r="99" spans="1:25" s="432" customFormat="1" ht="12.75" customHeight="1" x14ac:dyDescent="0.2">
      <c r="A99" s="30"/>
      <c r="B99" s="30"/>
      <c r="C99" s="30" t="s">
        <v>240</v>
      </c>
      <c r="D99" s="426">
        <v>619</v>
      </c>
      <c r="E99" s="30" t="s">
        <v>344</v>
      </c>
      <c r="F99" s="34" t="s">
        <v>6</v>
      </c>
      <c r="G99" s="30" t="s">
        <v>454</v>
      </c>
      <c r="H99" s="30" t="s">
        <v>461</v>
      </c>
      <c r="I99" s="34" t="s">
        <v>31</v>
      </c>
      <c r="J99" s="34" t="s">
        <v>117</v>
      </c>
      <c r="K99" s="580">
        <f>35.89*10%</f>
        <v>3.5890000000000004</v>
      </c>
      <c r="L99" s="580">
        <v>2080</v>
      </c>
      <c r="M99" s="580"/>
      <c r="N99" s="580">
        <f t="shared" ref="N99:N103" si="55">IF(H99="1",(L99*K99)+(M99*K99),0)</f>
        <v>7465.1200000000008</v>
      </c>
      <c r="O99" s="580"/>
      <c r="P99" s="580">
        <f t="shared" ref="P99:P103" si="56">(N99-(M99*K99))*$P$27</f>
        <v>2672.51296</v>
      </c>
      <c r="Q99" s="580">
        <f t="shared" ref="Q99:Q103" si="57">N99*$Q$27</f>
        <v>108.24424000000002</v>
      </c>
      <c r="R99" s="580">
        <v>0</v>
      </c>
      <c r="S99" s="580"/>
      <c r="T99" s="580"/>
      <c r="U99" s="580"/>
      <c r="V99" s="473">
        <f t="shared" si="14"/>
        <v>10245.877200000001</v>
      </c>
      <c r="W99" s="580">
        <f t="shared" si="15"/>
        <v>0</v>
      </c>
      <c r="X99" s="580"/>
      <c r="Y99" s="581">
        <f t="shared" si="16"/>
        <v>10245.877200000001</v>
      </c>
    </row>
    <row r="100" spans="1:25" s="432" customFormat="1" ht="12.75" customHeight="1" x14ac:dyDescent="0.2">
      <c r="A100" s="30"/>
      <c r="B100" s="30"/>
      <c r="C100" s="30" t="s">
        <v>240</v>
      </c>
      <c r="D100" s="426">
        <v>619</v>
      </c>
      <c r="E100" s="30" t="s">
        <v>344</v>
      </c>
      <c r="F100" s="34" t="s">
        <v>6</v>
      </c>
      <c r="G100" s="30" t="s">
        <v>454</v>
      </c>
      <c r="H100" s="30" t="s">
        <v>461</v>
      </c>
      <c r="I100" s="34" t="s">
        <v>31</v>
      </c>
      <c r="J100" s="34" t="s">
        <v>114</v>
      </c>
      <c r="K100" s="580">
        <f>35.89*10%</f>
        <v>3.5890000000000004</v>
      </c>
      <c r="L100" s="580">
        <v>2080</v>
      </c>
      <c r="M100" s="580"/>
      <c r="N100" s="580">
        <f t="shared" si="55"/>
        <v>7465.1200000000008</v>
      </c>
      <c r="O100" s="580"/>
      <c r="P100" s="580">
        <f t="shared" si="56"/>
        <v>2672.51296</v>
      </c>
      <c r="Q100" s="580">
        <f t="shared" si="57"/>
        <v>108.24424000000002</v>
      </c>
      <c r="R100" s="580">
        <v>0</v>
      </c>
      <c r="S100" s="580"/>
      <c r="T100" s="580"/>
      <c r="U100" s="580"/>
      <c r="V100" s="473">
        <f t="shared" si="14"/>
        <v>10245.877200000001</v>
      </c>
      <c r="W100" s="580">
        <f t="shared" si="15"/>
        <v>0</v>
      </c>
      <c r="X100" s="580"/>
      <c r="Y100" s="581">
        <f t="shared" si="16"/>
        <v>10245.877200000001</v>
      </c>
    </row>
    <row r="101" spans="1:25" s="432" customFormat="1" ht="12.75" customHeight="1" x14ac:dyDescent="0.2">
      <c r="A101" s="30"/>
      <c r="B101" s="30"/>
      <c r="C101" s="30" t="s">
        <v>240</v>
      </c>
      <c r="D101" s="426">
        <v>619</v>
      </c>
      <c r="E101" s="30" t="s">
        <v>344</v>
      </c>
      <c r="F101" s="34" t="s">
        <v>6</v>
      </c>
      <c r="G101" s="30" t="s">
        <v>454</v>
      </c>
      <c r="H101" s="30" t="s">
        <v>461</v>
      </c>
      <c r="I101" s="34" t="s">
        <v>31</v>
      </c>
      <c r="J101" s="34" t="s">
        <v>135</v>
      </c>
      <c r="K101" s="580">
        <f>35.89*5%</f>
        <v>1.7945000000000002</v>
      </c>
      <c r="L101" s="580">
        <v>2080</v>
      </c>
      <c r="M101" s="580"/>
      <c r="N101" s="580">
        <f t="shared" si="55"/>
        <v>3732.5600000000004</v>
      </c>
      <c r="O101" s="580"/>
      <c r="P101" s="580">
        <f t="shared" si="56"/>
        <v>1336.25648</v>
      </c>
      <c r="Q101" s="580">
        <f t="shared" si="57"/>
        <v>54.12212000000001</v>
      </c>
      <c r="R101" s="580">
        <v>0</v>
      </c>
      <c r="S101" s="580"/>
      <c r="T101" s="580"/>
      <c r="U101" s="580"/>
      <c r="V101" s="473">
        <f t="shared" si="14"/>
        <v>5122.9386000000004</v>
      </c>
      <c r="W101" s="580">
        <f t="shared" si="15"/>
        <v>0</v>
      </c>
      <c r="X101" s="580"/>
      <c r="Y101" s="581">
        <f t="shared" si="16"/>
        <v>5122.9386000000004</v>
      </c>
    </row>
    <row r="102" spans="1:25" s="432" customFormat="1" ht="12.75" customHeight="1" x14ac:dyDescent="0.2">
      <c r="A102" s="30"/>
      <c r="B102" s="30"/>
      <c r="C102" s="30" t="s">
        <v>240</v>
      </c>
      <c r="D102" s="426">
        <v>619</v>
      </c>
      <c r="E102" s="30" t="s">
        <v>344</v>
      </c>
      <c r="F102" s="34" t="s">
        <v>6</v>
      </c>
      <c r="G102" s="30" t="s">
        <v>454</v>
      </c>
      <c r="H102" s="30" t="s">
        <v>461</v>
      </c>
      <c r="I102" s="34" t="s">
        <v>31</v>
      </c>
      <c r="J102" s="34" t="s">
        <v>133</v>
      </c>
      <c r="K102" s="580">
        <f>35.89*5%</f>
        <v>1.7945000000000002</v>
      </c>
      <c r="L102" s="580">
        <v>2080</v>
      </c>
      <c r="M102" s="580"/>
      <c r="N102" s="580">
        <f t="shared" si="55"/>
        <v>3732.5600000000004</v>
      </c>
      <c r="O102" s="580"/>
      <c r="P102" s="580">
        <f t="shared" si="56"/>
        <v>1336.25648</v>
      </c>
      <c r="Q102" s="580">
        <f t="shared" si="57"/>
        <v>54.12212000000001</v>
      </c>
      <c r="R102" s="580">
        <v>0</v>
      </c>
      <c r="S102" s="580"/>
      <c r="T102" s="580"/>
      <c r="U102" s="580"/>
      <c r="V102" s="473">
        <f t="shared" si="14"/>
        <v>5122.9386000000004</v>
      </c>
      <c r="W102" s="580">
        <f t="shared" si="15"/>
        <v>0</v>
      </c>
      <c r="X102" s="580"/>
      <c r="Y102" s="581">
        <f t="shared" si="16"/>
        <v>5122.9386000000004</v>
      </c>
    </row>
    <row r="103" spans="1:25" s="432" customFormat="1" ht="12.75" customHeight="1" x14ac:dyDescent="0.2">
      <c r="A103" s="30"/>
      <c r="B103" s="30"/>
      <c r="C103" s="30" t="s">
        <v>240</v>
      </c>
      <c r="D103" s="426">
        <v>619</v>
      </c>
      <c r="E103" s="30" t="s">
        <v>344</v>
      </c>
      <c r="F103" s="34" t="s">
        <v>6</v>
      </c>
      <c r="G103" s="30" t="s">
        <v>454</v>
      </c>
      <c r="H103" s="30" t="s">
        <v>461</v>
      </c>
      <c r="I103" s="34" t="s">
        <v>31</v>
      </c>
      <c r="J103" s="34" t="s">
        <v>160</v>
      </c>
      <c r="K103" s="580">
        <f>35.89*3%</f>
        <v>1.0767</v>
      </c>
      <c r="L103" s="580">
        <v>2080</v>
      </c>
      <c r="M103" s="580"/>
      <c r="N103" s="580">
        <f t="shared" si="55"/>
        <v>2239.5360000000001</v>
      </c>
      <c r="O103" s="580"/>
      <c r="P103" s="580">
        <f t="shared" si="56"/>
        <v>801.75388799999996</v>
      </c>
      <c r="Q103" s="580">
        <f t="shared" si="57"/>
        <v>32.473272000000001</v>
      </c>
      <c r="R103" s="580">
        <v>0</v>
      </c>
      <c r="S103" s="580"/>
      <c r="T103" s="580"/>
      <c r="U103" s="580"/>
      <c r="V103" s="473">
        <f t="shared" si="14"/>
        <v>3073.7631600000004</v>
      </c>
      <c r="W103" s="580">
        <f t="shared" si="15"/>
        <v>0</v>
      </c>
      <c r="X103" s="580"/>
      <c r="Y103" s="581">
        <f t="shared" si="16"/>
        <v>3073.7631600000004</v>
      </c>
    </row>
    <row r="104" spans="1:25" x14ac:dyDescent="0.2">
      <c r="A104" s="30">
        <v>28280</v>
      </c>
      <c r="B104" s="30"/>
      <c r="C104" s="30" t="s">
        <v>227</v>
      </c>
      <c r="D104" s="426">
        <v>615</v>
      </c>
      <c r="E104" s="30" t="s">
        <v>331</v>
      </c>
      <c r="F104" s="34" t="s">
        <v>453</v>
      </c>
      <c r="G104" s="30" t="s">
        <v>454</v>
      </c>
      <c r="H104" s="583" t="s">
        <v>461</v>
      </c>
      <c r="I104" s="30" t="s">
        <v>29</v>
      </c>
      <c r="J104" s="34" t="s">
        <v>692</v>
      </c>
      <c r="K104" s="580">
        <v>35.15</v>
      </c>
      <c r="L104" s="580">
        <v>2080</v>
      </c>
      <c r="M104" s="580"/>
      <c r="N104" s="580">
        <f>IF(H104="1",(L104*K104)+(M104*K104),0)</f>
        <v>73112</v>
      </c>
      <c r="O104" s="580"/>
      <c r="P104" s="580">
        <f>(N104-(M104*K104))*$P$27</f>
        <v>26174.095999999998</v>
      </c>
      <c r="Q104" s="580">
        <f>N104*$Q$27</f>
        <v>1060.124</v>
      </c>
      <c r="R104" s="580">
        <v>0</v>
      </c>
      <c r="S104" s="580">
        <f>IF(H104="1",2828.52*2,0)</f>
        <v>5657.04</v>
      </c>
      <c r="T104" s="580">
        <f>IF(H104="1",36*2,0)</f>
        <v>72</v>
      </c>
      <c r="U104" s="580">
        <f>IF(H104="1",162*2,0)</f>
        <v>324</v>
      </c>
      <c r="V104" s="473">
        <f t="shared" si="14"/>
        <v>106399.25999999998</v>
      </c>
      <c r="W104" s="580">
        <f t="shared" si="15"/>
        <v>0</v>
      </c>
      <c r="X104" s="580"/>
      <c r="Y104" s="581">
        <f t="shared" si="16"/>
        <v>106399.25999999998</v>
      </c>
    </row>
    <row r="105" spans="1:25" ht="12.75" customHeight="1" x14ac:dyDescent="0.2">
      <c r="A105" s="30">
        <v>148433</v>
      </c>
      <c r="B105" s="30"/>
      <c r="C105" s="30" t="s">
        <v>264</v>
      </c>
      <c r="D105" s="426">
        <v>611</v>
      </c>
      <c r="E105" s="30" t="s">
        <v>365</v>
      </c>
      <c r="F105" s="34" t="s">
        <v>6</v>
      </c>
      <c r="G105" s="30" t="s">
        <v>454</v>
      </c>
      <c r="H105" s="30" t="s">
        <v>461</v>
      </c>
      <c r="I105" s="30" t="s">
        <v>37</v>
      </c>
      <c r="J105" s="34" t="s">
        <v>692</v>
      </c>
      <c r="K105" s="580">
        <f>24.46*33%</f>
        <v>8.0718000000000014</v>
      </c>
      <c r="L105" s="580">
        <v>2080</v>
      </c>
      <c r="M105" s="580"/>
      <c r="N105" s="580">
        <f>IF(H105="1",(L105*K105)+(M105*K105),0)</f>
        <v>16789.344000000005</v>
      </c>
      <c r="O105" s="580"/>
      <c r="P105" s="580">
        <f>(N105-(M105*K105))*$P$27</f>
        <v>6010.5851520000015</v>
      </c>
      <c r="Q105" s="580">
        <f>N105*$Q$27</f>
        <v>243.44548800000007</v>
      </c>
      <c r="R105" s="580">
        <v>0</v>
      </c>
      <c r="S105" s="580">
        <f>IF(H105="1",2828.52*2,0)</f>
        <v>5657.04</v>
      </c>
      <c r="T105" s="580">
        <f>IF(H105="1",154.92*2,0)</f>
        <v>309.83999999999997</v>
      </c>
      <c r="U105" s="580">
        <v>0</v>
      </c>
      <c r="V105" s="473">
        <f t="shared" si="14"/>
        <v>29010.254640000006</v>
      </c>
      <c r="W105" s="580">
        <f t="shared" si="15"/>
        <v>0</v>
      </c>
      <c r="X105" s="580"/>
      <c r="Y105" s="581">
        <f t="shared" si="16"/>
        <v>29010.254640000006</v>
      </c>
    </row>
    <row r="106" spans="1:25" s="432" customFormat="1" ht="12.75" customHeight="1" x14ac:dyDescent="0.2">
      <c r="A106" s="30"/>
      <c r="B106" s="30"/>
      <c r="C106" s="30" t="s">
        <v>264</v>
      </c>
      <c r="D106" s="426">
        <v>611</v>
      </c>
      <c r="E106" s="30" t="s">
        <v>365</v>
      </c>
      <c r="F106" s="34" t="s">
        <v>6</v>
      </c>
      <c r="G106" s="30" t="s">
        <v>454</v>
      </c>
      <c r="H106" s="30" t="s">
        <v>461</v>
      </c>
      <c r="I106" s="30" t="s">
        <v>37</v>
      </c>
      <c r="J106" s="659" t="s">
        <v>116</v>
      </c>
      <c r="K106" s="580">
        <f>24.46*32%</f>
        <v>7.8272000000000004</v>
      </c>
      <c r="L106" s="580">
        <v>2080</v>
      </c>
      <c r="M106" s="580"/>
      <c r="N106" s="580">
        <f t="shared" ref="N106:N108" si="58">IF(H106="1",(L106*K106)+(M106*K106),0)</f>
        <v>16280.576000000001</v>
      </c>
      <c r="O106" s="580"/>
      <c r="P106" s="580">
        <f t="shared" ref="P106:P108" si="59">(N106-(M106*K106))*$P$27</f>
        <v>5828.4462080000003</v>
      </c>
      <c r="Q106" s="580">
        <f t="shared" ref="Q106:Q108" si="60">N106*$Q$27</f>
        <v>236.06835200000003</v>
      </c>
      <c r="R106" s="580">
        <v>0</v>
      </c>
      <c r="S106" s="580"/>
      <c r="T106" s="580"/>
      <c r="U106" s="580"/>
      <c r="V106" s="473">
        <f t="shared" si="14"/>
        <v>22345.090560000001</v>
      </c>
      <c r="W106" s="580">
        <f t="shared" si="15"/>
        <v>0</v>
      </c>
      <c r="X106" s="580"/>
      <c r="Y106" s="581">
        <f t="shared" si="16"/>
        <v>22345.090560000001</v>
      </c>
    </row>
    <row r="107" spans="1:25" s="432" customFormat="1" ht="12.75" customHeight="1" x14ac:dyDescent="0.2">
      <c r="A107" s="30"/>
      <c r="B107" s="30"/>
      <c r="C107" s="30" t="s">
        <v>264</v>
      </c>
      <c r="D107" s="426">
        <v>611</v>
      </c>
      <c r="E107" s="30" t="s">
        <v>365</v>
      </c>
      <c r="F107" s="34" t="s">
        <v>6</v>
      </c>
      <c r="G107" s="30" t="s">
        <v>454</v>
      </c>
      <c r="H107" s="30" t="s">
        <v>461</v>
      </c>
      <c r="I107" s="30" t="s">
        <v>37</v>
      </c>
      <c r="J107" s="659" t="s">
        <v>143</v>
      </c>
      <c r="K107" s="580">
        <f>24.46*32%</f>
        <v>7.8272000000000004</v>
      </c>
      <c r="L107" s="580">
        <v>2080</v>
      </c>
      <c r="M107" s="580"/>
      <c r="N107" s="580">
        <f t="shared" si="58"/>
        <v>16280.576000000001</v>
      </c>
      <c r="O107" s="580"/>
      <c r="P107" s="580">
        <f t="shared" si="59"/>
        <v>5828.4462080000003</v>
      </c>
      <c r="Q107" s="580">
        <f t="shared" si="60"/>
        <v>236.06835200000003</v>
      </c>
      <c r="R107" s="580">
        <v>0</v>
      </c>
      <c r="S107" s="580"/>
      <c r="T107" s="580"/>
      <c r="U107" s="580"/>
      <c r="V107" s="473">
        <f t="shared" si="14"/>
        <v>22345.090560000001</v>
      </c>
      <c r="W107" s="580">
        <f t="shared" si="15"/>
        <v>0</v>
      </c>
      <c r="X107" s="580"/>
      <c r="Y107" s="581">
        <f t="shared" si="16"/>
        <v>22345.090560000001</v>
      </c>
    </row>
    <row r="108" spans="1:25" s="432" customFormat="1" ht="12.75" customHeight="1" x14ac:dyDescent="0.2">
      <c r="A108" s="30"/>
      <c r="B108" s="30"/>
      <c r="C108" s="30" t="s">
        <v>264</v>
      </c>
      <c r="D108" s="426">
        <v>611</v>
      </c>
      <c r="E108" s="30" t="s">
        <v>365</v>
      </c>
      <c r="F108" s="34" t="s">
        <v>6</v>
      </c>
      <c r="G108" s="30" t="s">
        <v>454</v>
      </c>
      <c r="H108" s="30" t="s">
        <v>461</v>
      </c>
      <c r="I108" s="30" t="s">
        <v>37</v>
      </c>
      <c r="J108" s="34" t="s">
        <v>124</v>
      </c>
      <c r="K108" s="580">
        <f>24.46*3%</f>
        <v>0.73380000000000001</v>
      </c>
      <c r="L108" s="580">
        <v>2080</v>
      </c>
      <c r="M108" s="580"/>
      <c r="N108" s="580">
        <f t="shared" si="58"/>
        <v>1526.3040000000001</v>
      </c>
      <c r="O108" s="580"/>
      <c r="P108" s="580">
        <f t="shared" si="59"/>
        <v>546.416832</v>
      </c>
      <c r="Q108" s="580">
        <f t="shared" si="60"/>
        <v>22.131408000000004</v>
      </c>
      <c r="R108" s="580">
        <v>0</v>
      </c>
      <c r="S108" s="580"/>
      <c r="T108" s="580"/>
      <c r="U108" s="580"/>
      <c r="V108" s="473">
        <f t="shared" si="14"/>
        <v>2094.8522400000002</v>
      </c>
      <c r="W108" s="580">
        <f t="shared" si="15"/>
        <v>0</v>
      </c>
      <c r="X108" s="580"/>
      <c r="Y108" s="581">
        <f t="shared" si="16"/>
        <v>2094.8522400000002</v>
      </c>
    </row>
    <row r="109" spans="1:25" ht="12.75" customHeight="1" x14ac:dyDescent="0.2">
      <c r="A109" s="30">
        <v>264418</v>
      </c>
      <c r="B109" s="30"/>
      <c r="C109" s="30" t="s">
        <v>233</v>
      </c>
      <c r="D109" s="426">
        <v>310</v>
      </c>
      <c r="E109" s="30" t="s">
        <v>339</v>
      </c>
      <c r="F109" s="34" t="s">
        <v>6</v>
      </c>
      <c r="G109" s="30" t="s">
        <v>454</v>
      </c>
      <c r="H109" s="30" t="s">
        <v>461</v>
      </c>
      <c r="I109" s="34" t="s">
        <v>36</v>
      </c>
      <c r="J109" s="34" t="s">
        <v>692</v>
      </c>
      <c r="K109" s="731">
        <f>20.52*1.105</f>
        <v>22.674599999999998</v>
      </c>
      <c r="L109" s="580">
        <v>2080</v>
      </c>
      <c r="M109" s="580"/>
      <c r="N109" s="580">
        <f t="shared" ref="N109:N113" si="61">IF(H109="1",(L109*K109)+(M109*K109),0)</f>
        <v>47163.167999999998</v>
      </c>
      <c r="O109" s="580"/>
      <c r="P109" s="580">
        <f t="shared" ref="P109:P113" si="62">(N109-(M109*K109))*$P$27</f>
        <v>16884.414143999998</v>
      </c>
      <c r="Q109" s="580">
        <f t="shared" ref="Q109:Q113" si="63">N109*$Q$27</f>
        <v>683.86593600000003</v>
      </c>
      <c r="R109" s="580">
        <v>0</v>
      </c>
      <c r="S109" s="580">
        <f>IF(H109="1",3242.52*2,0)</f>
        <v>6485.04</v>
      </c>
      <c r="T109" s="580">
        <f>IF(H109="1",527.28*2,0)</f>
        <v>1054.56</v>
      </c>
      <c r="U109" s="580">
        <f>IF(H109="1",162*2,0)</f>
        <v>324</v>
      </c>
      <c r="V109" s="473">
        <f t="shared" si="14"/>
        <v>72595.048079999993</v>
      </c>
      <c r="W109" s="580">
        <f t="shared" si="15"/>
        <v>0</v>
      </c>
      <c r="X109" s="580"/>
      <c r="Y109" s="581">
        <f t="shared" si="16"/>
        <v>72595.048079999993</v>
      </c>
    </row>
    <row r="110" spans="1:25" ht="12.75" customHeight="1" x14ac:dyDescent="0.2">
      <c r="A110" s="30">
        <v>287140</v>
      </c>
      <c r="B110" s="30"/>
      <c r="C110" s="30" t="s">
        <v>277</v>
      </c>
      <c r="D110" s="426">
        <v>308</v>
      </c>
      <c r="E110" s="30" t="s">
        <v>369</v>
      </c>
      <c r="F110" s="34" t="s">
        <v>6</v>
      </c>
      <c r="G110" s="30" t="s">
        <v>454</v>
      </c>
      <c r="H110" s="30" t="s">
        <v>461</v>
      </c>
      <c r="I110" s="34" t="s">
        <v>38</v>
      </c>
      <c r="J110" s="34" t="s">
        <v>128</v>
      </c>
      <c r="K110" s="731">
        <f>19.69*1.105</f>
        <v>21.757450000000002</v>
      </c>
      <c r="L110" s="580">
        <v>2080</v>
      </c>
      <c r="M110" s="580"/>
      <c r="N110" s="580">
        <f t="shared" si="61"/>
        <v>45255.496000000006</v>
      </c>
      <c r="O110" s="580"/>
      <c r="P110" s="580">
        <f t="shared" si="62"/>
        <v>16201.467568000002</v>
      </c>
      <c r="Q110" s="580">
        <f t="shared" si="63"/>
        <v>656.20469200000014</v>
      </c>
      <c r="R110" s="580">
        <v>0</v>
      </c>
      <c r="S110" s="580">
        <f>IF(H110="1",((1067.04*2)+775),0)</f>
        <v>2909.08</v>
      </c>
      <c r="T110" s="580">
        <f>IF(H110="1",154.92*2,0)</f>
        <v>309.83999999999997</v>
      </c>
      <c r="U110" s="580">
        <f>IF(H110="1",16.2*2,0)</f>
        <v>32.4</v>
      </c>
      <c r="V110" s="473">
        <f t="shared" si="14"/>
        <v>65364.488260000006</v>
      </c>
      <c r="W110" s="580">
        <f t="shared" si="15"/>
        <v>0</v>
      </c>
      <c r="X110" s="580"/>
      <c r="Y110" s="581">
        <f t="shared" si="16"/>
        <v>65364.488260000006</v>
      </c>
    </row>
    <row r="111" spans="1:25" ht="12.75" customHeight="1" x14ac:dyDescent="0.2">
      <c r="A111" s="30">
        <v>236292</v>
      </c>
      <c r="B111" s="30"/>
      <c r="C111" s="30" t="s">
        <v>216</v>
      </c>
      <c r="D111" s="426">
        <v>613</v>
      </c>
      <c r="E111" s="30" t="s">
        <v>326</v>
      </c>
      <c r="F111" s="34" t="s">
        <v>6</v>
      </c>
      <c r="G111" s="30" t="s">
        <v>454</v>
      </c>
      <c r="H111" s="30" t="s">
        <v>461</v>
      </c>
      <c r="I111" s="34" t="s">
        <v>28</v>
      </c>
      <c r="J111" s="34" t="s">
        <v>155</v>
      </c>
      <c r="K111" s="731">
        <f>20.84*1.105*11.5%</f>
        <v>2.6482429999999999</v>
      </c>
      <c r="L111" s="580">
        <v>2080</v>
      </c>
      <c r="M111" s="580"/>
      <c r="N111" s="580">
        <f t="shared" si="61"/>
        <v>5508.3454400000001</v>
      </c>
      <c r="O111" s="580"/>
      <c r="P111" s="580">
        <f t="shared" si="62"/>
        <v>1971.9876675199998</v>
      </c>
      <c r="Q111" s="580">
        <f t="shared" si="63"/>
        <v>79.871008880000005</v>
      </c>
      <c r="R111" s="580">
        <v>0</v>
      </c>
      <c r="S111" s="580">
        <f>IF(H111="1",2828.52*2,0)</f>
        <v>5657.04</v>
      </c>
      <c r="T111" s="580">
        <f>IF(H111="1",279*2,0)</f>
        <v>558</v>
      </c>
      <c r="U111" s="580">
        <v>0</v>
      </c>
      <c r="V111" s="473">
        <f t="shared" si="14"/>
        <v>13775.244116400001</v>
      </c>
      <c r="W111" s="580">
        <f t="shared" si="15"/>
        <v>0</v>
      </c>
      <c r="X111" s="580"/>
      <c r="Y111" s="581">
        <f t="shared" si="16"/>
        <v>13775.244116400001</v>
      </c>
    </row>
    <row r="112" spans="1:25" ht="12.75" customHeight="1" x14ac:dyDescent="0.2">
      <c r="A112" s="30"/>
      <c r="B112" s="30"/>
      <c r="C112" s="30" t="s">
        <v>216</v>
      </c>
      <c r="D112" s="426">
        <v>613</v>
      </c>
      <c r="E112" s="30" t="s">
        <v>326</v>
      </c>
      <c r="F112" s="34" t="s">
        <v>6</v>
      </c>
      <c r="G112" s="30" t="s">
        <v>454</v>
      </c>
      <c r="H112" s="30" t="s">
        <v>461</v>
      </c>
      <c r="I112" s="34" t="s">
        <v>28</v>
      </c>
      <c r="J112" s="34" t="s">
        <v>133</v>
      </c>
      <c r="K112" s="731">
        <f>20.84*1.105*15%</f>
        <v>3.4542299999999995</v>
      </c>
      <c r="L112" s="580">
        <v>2080</v>
      </c>
      <c r="M112" s="580"/>
      <c r="N112" s="580">
        <f t="shared" si="61"/>
        <v>7184.7983999999988</v>
      </c>
      <c r="O112" s="580"/>
      <c r="P112" s="580">
        <f t="shared" si="62"/>
        <v>2572.1578271999992</v>
      </c>
      <c r="Q112" s="580">
        <f t="shared" si="63"/>
        <v>104.17957679999999</v>
      </c>
      <c r="R112" s="580">
        <v>0</v>
      </c>
      <c r="S112" s="580"/>
      <c r="T112" s="580"/>
      <c r="U112" s="580"/>
      <c r="V112" s="473">
        <f t="shared" si="14"/>
        <v>9861.1358039999977</v>
      </c>
      <c r="W112" s="580">
        <f t="shared" si="15"/>
        <v>0</v>
      </c>
      <c r="X112" s="580"/>
      <c r="Y112" s="581">
        <f t="shared" si="16"/>
        <v>9861.1358039999977</v>
      </c>
    </row>
    <row r="113" spans="1:26" ht="12.75" customHeight="1" x14ac:dyDescent="0.2">
      <c r="A113" s="30"/>
      <c r="B113" s="30"/>
      <c r="C113" s="30" t="s">
        <v>216</v>
      </c>
      <c r="D113" s="426">
        <v>613</v>
      </c>
      <c r="E113" s="30" t="s">
        <v>326</v>
      </c>
      <c r="F113" s="34" t="s">
        <v>6</v>
      </c>
      <c r="G113" s="30" t="s">
        <v>454</v>
      </c>
      <c r="H113" s="30" t="s">
        <v>461</v>
      </c>
      <c r="I113" s="34" t="s">
        <v>28</v>
      </c>
      <c r="J113" s="34" t="s">
        <v>128</v>
      </c>
      <c r="K113" s="731">
        <f>20.84*1.105*72.5%</f>
        <v>16.695444999999999</v>
      </c>
      <c r="L113" s="580">
        <v>2080</v>
      </c>
      <c r="M113" s="580"/>
      <c r="N113" s="580">
        <f t="shared" si="61"/>
        <v>34726.525600000001</v>
      </c>
      <c r="O113" s="580"/>
      <c r="P113" s="580">
        <f t="shared" si="62"/>
        <v>12432.096164799999</v>
      </c>
      <c r="Q113" s="580">
        <f t="shared" si="63"/>
        <v>503.53462120000006</v>
      </c>
      <c r="R113" s="580">
        <v>0</v>
      </c>
      <c r="S113" s="580"/>
      <c r="T113" s="580"/>
      <c r="U113" s="580"/>
      <c r="V113" s="473">
        <f t="shared" si="14"/>
        <v>47662.156386000002</v>
      </c>
      <c r="W113" s="580">
        <f t="shared" si="15"/>
        <v>0</v>
      </c>
      <c r="X113" s="580"/>
      <c r="Y113" s="581">
        <f t="shared" si="16"/>
        <v>47662.156386000002</v>
      </c>
    </row>
    <row r="114" spans="1:26" s="432" customFormat="1" ht="12.75" customHeight="1" x14ac:dyDescent="0.2">
      <c r="A114" s="30"/>
      <c r="B114" s="30"/>
      <c r="C114" s="30" t="s">
        <v>216</v>
      </c>
      <c r="D114" s="426">
        <v>613</v>
      </c>
      <c r="E114" s="30" t="s">
        <v>326</v>
      </c>
      <c r="F114" s="34" t="s">
        <v>6</v>
      </c>
      <c r="G114" s="30" t="s">
        <v>454</v>
      </c>
      <c r="H114" s="30" t="s">
        <v>461</v>
      </c>
      <c r="I114" s="34" t="s">
        <v>28</v>
      </c>
      <c r="J114" s="34" t="s">
        <v>692</v>
      </c>
      <c r="K114" s="731">
        <f>20.84*1.105*1%</f>
        <v>0.23028199999999999</v>
      </c>
      <c r="L114" s="580">
        <v>2080</v>
      </c>
      <c r="M114" s="580"/>
      <c r="N114" s="580">
        <f t="shared" ref="N114" si="64">IF(H114="1",(L114*K114)+(M114*K114),0)</f>
        <v>478.98656</v>
      </c>
      <c r="O114" s="580"/>
      <c r="P114" s="580">
        <f t="shared" ref="P114" si="65">(N114-(M114*K114))*$P$27</f>
        <v>171.47718848</v>
      </c>
      <c r="Q114" s="580">
        <f t="shared" ref="Q114" si="66">N114*$Q$27</f>
        <v>6.9453051200000004</v>
      </c>
      <c r="R114" s="580">
        <v>0</v>
      </c>
      <c r="S114" s="580"/>
      <c r="T114" s="580"/>
      <c r="U114" s="580"/>
      <c r="V114" s="473">
        <f t="shared" ref="V114" si="67">SUM(N114:U114)</f>
        <v>657.40905360000011</v>
      </c>
      <c r="W114" s="580">
        <f t="shared" ref="W114" si="68">IF(P114&lt;&gt;"",V114*$W$27,0)</f>
        <v>0</v>
      </c>
      <c r="X114" s="580"/>
      <c r="Y114" s="581">
        <f t="shared" ref="Y114" si="69">X114+W114+V114</f>
        <v>657.40905360000011</v>
      </c>
    </row>
    <row r="115" spans="1:26" s="432" customFormat="1" ht="12.75" customHeight="1" x14ac:dyDescent="0.2">
      <c r="A115" s="30">
        <v>149151</v>
      </c>
      <c r="B115" s="30"/>
      <c r="C115" s="30" t="s">
        <v>231</v>
      </c>
      <c r="D115" s="426" t="s">
        <v>336</v>
      </c>
      <c r="E115" s="30" t="s">
        <v>337</v>
      </c>
      <c r="F115" s="34" t="s">
        <v>6</v>
      </c>
      <c r="G115" s="30" t="s">
        <v>454</v>
      </c>
      <c r="H115" s="30" t="s">
        <v>461</v>
      </c>
      <c r="I115" s="30" t="s">
        <v>684</v>
      </c>
      <c r="J115" s="34" t="s">
        <v>692</v>
      </c>
      <c r="K115" s="580">
        <v>14.98</v>
      </c>
      <c r="L115" s="580">
        <v>2080</v>
      </c>
      <c r="M115" s="580"/>
      <c r="N115" s="580">
        <f t="shared" ref="N115:N148" si="70">IF(H115="1",(L115*K115)+(M115*K115),0)</f>
        <v>31158.400000000001</v>
      </c>
      <c r="O115" s="580"/>
      <c r="P115" s="580">
        <f t="shared" ref="P115:P148" si="71">(N115-(M115*K115))*$P$27</f>
        <v>11154.707200000001</v>
      </c>
      <c r="Q115" s="580">
        <f t="shared" ref="Q115:Q148" si="72">N115*$Q$27</f>
        <v>451.79680000000002</v>
      </c>
      <c r="R115" s="580">
        <v>0</v>
      </c>
      <c r="S115" s="580">
        <v>0</v>
      </c>
      <c r="T115" s="580">
        <f>IF(H115="1",311.88*2,0)</f>
        <v>623.76</v>
      </c>
      <c r="U115" s="580">
        <f>IF(H115="1",16.2*2,0)</f>
        <v>32.4</v>
      </c>
      <c r="V115" s="473">
        <f t="shared" ref="V115" si="73">SUM(N115:U115)</f>
        <v>43421.063999999998</v>
      </c>
      <c r="W115" s="580">
        <f t="shared" ref="W115" si="74">IF(P115&lt;&gt;"",V115*$W$27,0)</f>
        <v>0</v>
      </c>
      <c r="X115" s="580"/>
      <c r="Y115" s="581">
        <f t="shared" ref="Y115" si="75">X115+W115+V115</f>
        <v>43421.063999999998</v>
      </c>
    </row>
    <row r="116" spans="1:26" ht="12.75" customHeight="1" x14ac:dyDescent="0.2">
      <c r="A116" s="30">
        <v>203753</v>
      </c>
      <c r="B116" s="30"/>
      <c r="C116" s="30" t="s">
        <v>298</v>
      </c>
      <c r="D116" s="426">
        <v>615</v>
      </c>
      <c r="E116" s="30" t="s">
        <v>354</v>
      </c>
      <c r="F116" s="34" t="s">
        <v>6</v>
      </c>
      <c r="G116" s="30" t="s">
        <v>454</v>
      </c>
      <c r="H116" s="30" t="s">
        <v>461</v>
      </c>
      <c r="I116" s="34" t="s">
        <v>39</v>
      </c>
      <c r="J116" s="34" t="s">
        <v>114</v>
      </c>
      <c r="K116" s="580">
        <f>22.74*85%</f>
        <v>19.328999999999997</v>
      </c>
      <c r="L116" s="580">
        <v>2080</v>
      </c>
      <c r="M116" s="580"/>
      <c r="N116" s="580">
        <f t="shared" si="70"/>
        <v>40204.319999999992</v>
      </c>
      <c r="O116" s="580"/>
      <c r="P116" s="580">
        <f t="shared" si="71"/>
        <v>14393.146559999997</v>
      </c>
      <c r="Q116" s="580">
        <f t="shared" si="72"/>
        <v>582.96263999999996</v>
      </c>
      <c r="R116" s="580">
        <v>0</v>
      </c>
      <c r="S116" s="580">
        <f>IF(H116="1",2828.52*2,0)</f>
        <v>5657.04</v>
      </c>
      <c r="T116" s="580">
        <f>IF(H116="1",387.12*2,0)</f>
        <v>774.24</v>
      </c>
      <c r="U116" s="580">
        <v>0</v>
      </c>
      <c r="V116" s="473">
        <f t="shared" ref="V116" si="76">SUM(N116:U116)</f>
        <v>61611.709199999983</v>
      </c>
      <c r="W116" s="580">
        <f t="shared" ref="W116" si="77">IF(P116&lt;&gt;"",V116*$W$27,0)</f>
        <v>0</v>
      </c>
      <c r="X116" s="580"/>
      <c r="Y116" s="581">
        <f t="shared" ref="Y116" si="78">X116+W116+V116</f>
        <v>61611.709199999983</v>
      </c>
      <c r="Z116" s="432"/>
    </row>
    <row r="117" spans="1:26" s="432" customFormat="1" ht="12.75" customHeight="1" x14ac:dyDescent="0.2">
      <c r="A117" s="30"/>
      <c r="B117" s="30"/>
      <c r="C117" s="30" t="s">
        <v>298</v>
      </c>
      <c r="D117" s="426">
        <v>615</v>
      </c>
      <c r="E117" s="30" t="s">
        <v>354</v>
      </c>
      <c r="F117" s="34" t="s">
        <v>6</v>
      </c>
      <c r="G117" s="30" t="s">
        <v>454</v>
      </c>
      <c r="H117" s="30" t="s">
        <v>461</v>
      </c>
      <c r="I117" s="34" t="s">
        <v>39</v>
      </c>
      <c r="J117" s="34" t="s">
        <v>117</v>
      </c>
      <c r="K117" s="580">
        <f>22.74*10%</f>
        <v>2.274</v>
      </c>
      <c r="L117" s="580">
        <v>2080</v>
      </c>
      <c r="M117" s="580"/>
      <c r="N117" s="580">
        <f t="shared" si="70"/>
        <v>4729.92</v>
      </c>
      <c r="O117" s="580"/>
      <c r="P117" s="580">
        <f t="shared" si="71"/>
        <v>1693.3113599999999</v>
      </c>
      <c r="Q117" s="580">
        <f t="shared" si="72"/>
        <v>68.583840000000009</v>
      </c>
      <c r="R117" s="580">
        <v>0</v>
      </c>
      <c r="S117" s="580"/>
      <c r="T117" s="580"/>
      <c r="U117" s="580"/>
      <c r="V117" s="473">
        <f t="shared" ref="V117" si="79">SUM(N117:U117)</f>
        <v>6491.8152</v>
      </c>
      <c r="W117" s="580">
        <f t="shared" ref="W117" si="80">IF(P117&lt;&gt;"",V117*$W$27,0)</f>
        <v>0</v>
      </c>
      <c r="X117" s="580"/>
      <c r="Y117" s="581">
        <f t="shared" ref="Y117" si="81">X117+W117+V117</f>
        <v>6491.8152</v>
      </c>
    </row>
    <row r="118" spans="1:26" s="432" customFormat="1" ht="12.75" customHeight="1" x14ac:dyDescent="0.2">
      <c r="A118" s="30"/>
      <c r="B118" s="30"/>
      <c r="C118" s="30" t="s">
        <v>298</v>
      </c>
      <c r="D118" s="426">
        <v>615</v>
      </c>
      <c r="E118" s="30" t="s">
        <v>354</v>
      </c>
      <c r="F118" s="34" t="s">
        <v>6</v>
      </c>
      <c r="G118" s="30" t="s">
        <v>454</v>
      </c>
      <c r="H118" s="30" t="s">
        <v>461</v>
      </c>
      <c r="I118" s="34" t="s">
        <v>39</v>
      </c>
      <c r="J118" s="34" t="s">
        <v>692</v>
      </c>
      <c r="K118" s="580">
        <f>22.74*5%</f>
        <v>1.137</v>
      </c>
      <c r="L118" s="580">
        <v>2080</v>
      </c>
      <c r="M118" s="580"/>
      <c r="N118" s="580">
        <f t="shared" si="70"/>
        <v>2364.96</v>
      </c>
      <c r="O118" s="580"/>
      <c r="P118" s="580">
        <f t="shared" si="71"/>
        <v>846.65567999999996</v>
      </c>
      <c r="Q118" s="580">
        <f t="shared" si="72"/>
        <v>34.291920000000005</v>
      </c>
      <c r="R118" s="580">
        <v>0</v>
      </c>
      <c r="S118" s="580"/>
      <c r="T118" s="580"/>
      <c r="U118" s="580"/>
      <c r="V118" s="473">
        <f t="shared" ref="V118" si="82">SUM(N118:U118)</f>
        <v>3245.9076</v>
      </c>
      <c r="W118" s="580">
        <f t="shared" ref="W118" si="83">IF(P118&lt;&gt;"",V118*$W$27,0)</f>
        <v>0</v>
      </c>
      <c r="X118" s="580"/>
      <c r="Y118" s="581">
        <f t="shared" ref="Y118" si="84">X118+W118+V118</f>
        <v>3245.9076</v>
      </c>
    </row>
    <row r="119" spans="1:26" s="432" customFormat="1" ht="12.75" customHeight="1" x14ac:dyDescent="0.2">
      <c r="A119" s="30">
        <v>269463</v>
      </c>
      <c r="B119" s="30"/>
      <c r="C119" s="30" t="s">
        <v>278</v>
      </c>
      <c r="D119" s="426">
        <v>619</v>
      </c>
      <c r="E119" s="30" t="s">
        <v>360</v>
      </c>
      <c r="F119" s="34" t="s">
        <v>6</v>
      </c>
      <c r="G119" s="30" t="s">
        <v>454</v>
      </c>
      <c r="H119" s="30" t="s">
        <v>461</v>
      </c>
      <c r="I119" s="34" t="s">
        <v>38</v>
      </c>
      <c r="J119" s="34" t="s">
        <v>133</v>
      </c>
      <c r="K119" s="580">
        <f>25.8*35%</f>
        <v>9.0299999999999994</v>
      </c>
      <c r="L119" s="580">
        <v>2080</v>
      </c>
      <c r="M119" s="580"/>
      <c r="N119" s="580">
        <f t="shared" si="70"/>
        <v>18782.399999999998</v>
      </c>
      <c r="O119" s="580"/>
      <c r="P119" s="580">
        <f t="shared" si="71"/>
        <v>6724.0991999999987</v>
      </c>
      <c r="Q119" s="580">
        <f t="shared" si="72"/>
        <v>272.34479999999996</v>
      </c>
      <c r="R119" s="580">
        <v>0</v>
      </c>
      <c r="S119" s="580">
        <f>IF(H119="1",2828.52*2,0)</f>
        <v>5657.04</v>
      </c>
      <c r="T119" s="580">
        <f>IF(H119="1",115.8*2,0)</f>
        <v>231.6</v>
      </c>
      <c r="U119" s="580">
        <f>IF(H119="1",16.2*2,0)</f>
        <v>32.4</v>
      </c>
      <c r="V119" s="473">
        <f t="shared" ref="V119" si="85">SUM(N119:U119)</f>
        <v>31699.883999999998</v>
      </c>
      <c r="W119" s="580">
        <f t="shared" ref="W119" si="86">IF(P119&lt;&gt;"",V119*$W$27,0)</f>
        <v>0</v>
      </c>
      <c r="X119" s="580"/>
      <c r="Y119" s="581">
        <f t="shared" ref="Y119" si="87">X119+W119+V119</f>
        <v>31699.883999999998</v>
      </c>
    </row>
    <row r="120" spans="1:26" s="432" customFormat="1" ht="12.75" customHeight="1" x14ac:dyDescent="0.2">
      <c r="A120" s="30"/>
      <c r="B120" s="30"/>
      <c r="C120" s="30" t="s">
        <v>278</v>
      </c>
      <c r="D120" s="426">
        <v>619</v>
      </c>
      <c r="E120" s="30" t="s">
        <v>360</v>
      </c>
      <c r="F120" s="34" t="s">
        <v>6</v>
      </c>
      <c r="G120" s="30" t="s">
        <v>454</v>
      </c>
      <c r="H120" s="30" t="s">
        <v>461</v>
      </c>
      <c r="I120" s="34" t="s">
        <v>38</v>
      </c>
      <c r="J120" s="34" t="s">
        <v>131</v>
      </c>
      <c r="K120" s="580">
        <f>25.8*5%</f>
        <v>1.29</v>
      </c>
      <c r="L120" s="580">
        <v>2080</v>
      </c>
      <c r="M120" s="580"/>
      <c r="N120" s="580">
        <f t="shared" si="70"/>
        <v>2683.2000000000003</v>
      </c>
      <c r="O120" s="580"/>
      <c r="P120" s="580">
        <f t="shared" si="71"/>
        <v>960.58560000000011</v>
      </c>
      <c r="Q120" s="580">
        <f t="shared" si="72"/>
        <v>38.906400000000005</v>
      </c>
      <c r="R120" s="580">
        <v>0</v>
      </c>
      <c r="S120" s="580"/>
      <c r="T120" s="580"/>
      <c r="U120" s="580"/>
      <c r="V120" s="473">
        <f t="shared" ref="V120" si="88">SUM(N120:U120)</f>
        <v>3682.692</v>
      </c>
      <c r="W120" s="580">
        <f t="shared" ref="W120" si="89">IF(P120&lt;&gt;"",V120*$W$27,0)</f>
        <v>0</v>
      </c>
      <c r="X120" s="580"/>
      <c r="Y120" s="581">
        <f t="shared" ref="Y120" si="90">X120+W120+V120</f>
        <v>3682.692</v>
      </c>
    </row>
    <row r="121" spans="1:26" s="432" customFormat="1" ht="12.75" customHeight="1" x14ac:dyDescent="0.2">
      <c r="A121" s="30"/>
      <c r="B121" s="30"/>
      <c r="C121" s="30" t="s">
        <v>278</v>
      </c>
      <c r="D121" s="426">
        <v>619</v>
      </c>
      <c r="E121" s="30" t="s">
        <v>360</v>
      </c>
      <c r="F121" s="34" t="s">
        <v>6</v>
      </c>
      <c r="G121" s="30" t="s">
        <v>454</v>
      </c>
      <c r="H121" s="30" t="s">
        <v>461</v>
      </c>
      <c r="I121" s="34" t="s">
        <v>38</v>
      </c>
      <c r="J121" s="34" t="s">
        <v>140</v>
      </c>
      <c r="K121" s="580">
        <f t="shared" ref="K121:K122" si="91">25.8*5%</f>
        <v>1.29</v>
      </c>
      <c r="L121" s="580">
        <v>2080</v>
      </c>
      <c r="M121" s="580"/>
      <c r="N121" s="580">
        <f t="shared" si="70"/>
        <v>2683.2000000000003</v>
      </c>
      <c r="O121" s="580"/>
      <c r="P121" s="580">
        <f t="shared" si="71"/>
        <v>960.58560000000011</v>
      </c>
      <c r="Q121" s="580">
        <f t="shared" si="72"/>
        <v>38.906400000000005</v>
      </c>
      <c r="R121" s="580">
        <v>0</v>
      </c>
      <c r="S121" s="580"/>
      <c r="T121" s="580"/>
      <c r="U121" s="580"/>
      <c r="V121" s="473">
        <f t="shared" ref="V121" si="92">SUM(N121:U121)</f>
        <v>3682.692</v>
      </c>
      <c r="W121" s="580">
        <f t="shared" ref="W121" si="93">IF(P121&lt;&gt;"",V121*$W$27,0)</f>
        <v>0</v>
      </c>
      <c r="X121" s="580"/>
      <c r="Y121" s="581">
        <f t="shared" ref="Y121" si="94">X121+W121+V121</f>
        <v>3682.692</v>
      </c>
    </row>
    <row r="122" spans="1:26" ht="12.75" customHeight="1" x14ac:dyDescent="0.2">
      <c r="A122" s="30"/>
      <c r="B122" s="30"/>
      <c r="C122" s="30" t="s">
        <v>278</v>
      </c>
      <c r="D122" s="426">
        <v>619</v>
      </c>
      <c r="E122" s="30" t="s">
        <v>360</v>
      </c>
      <c r="F122" s="34" t="s">
        <v>6</v>
      </c>
      <c r="G122" s="30" t="s">
        <v>454</v>
      </c>
      <c r="H122" s="30" t="s">
        <v>461</v>
      </c>
      <c r="I122" s="34" t="s">
        <v>38</v>
      </c>
      <c r="J122" s="34" t="s">
        <v>129</v>
      </c>
      <c r="K122" s="580">
        <f t="shared" si="91"/>
        <v>1.29</v>
      </c>
      <c r="L122" s="580">
        <v>2080</v>
      </c>
      <c r="M122" s="580"/>
      <c r="N122" s="580">
        <f t="shared" si="70"/>
        <v>2683.2000000000003</v>
      </c>
      <c r="O122" s="580"/>
      <c r="P122" s="580">
        <f t="shared" si="71"/>
        <v>960.58560000000011</v>
      </c>
      <c r="Q122" s="580">
        <f t="shared" si="72"/>
        <v>38.906400000000005</v>
      </c>
      <c r="R122" s="580">
        <v>0</v>
      </c>
      <c r="S122" s="580"/>
      <c r="T122" s="580"/>
      <c r="U122" s="580"/>
      <c r="V122" s="473">
        <f t="shared" ref="V122" si="95">SUM(N122:U122)</f>
        <v>3682.692</v>
      </c>
      <c r="W122" s="580">
        <f t="shared" ref="W122" si="96">IF(P122&lt;&gt;"",V122*$W$27,0)</f>
        <v>0</v>
      </c>
      <c r="X122" s="580"/>
      <c r="Y122" s="581">
        <f t="shared" ref="Y122" si="97">X122+W122+V122</f>
        <v>3682.692</v>
      </c>
      <c r="Z122" s="432"/>
    </row>
    <row r="123" spans="1:26" ht="12.75" customHeight="1" x14ac:dyDescent="0.2">
      <c r="A123" s="30"/>
      <c r="B123" s="30"/>
      <c r="C123" s="30" t="s">
        <v>278</v>
      </c>
      <c r="D123" s="426">
        <v>619</v>
      </c>
      <c r="E123" s="30" t="s">
        <v>360</v>
      </c>
      <c r="F123" s="34" t="s">
        <v>6</v>
      </c>
      <c r="G123" s="30" t="s">
        <v>454</v>
      </c>
      <c r="H123" s="30" t="s">
        <v>461</v>
      </c>
      <c r="I123" s="34" t="s">
        <v>38</v>
      </c>
      <c r="J123" s="34" t="s">
        <v>1136</v>
      </c>
      <c r="K123" s="580">
        <f t="shared" ref="K123" si="98">25.8*35%</f>
        <v>9.0299999999999994</v>
      </c>
      <c r="L123" s="580">
        <v>2080</v>
      </c>
      <c r="M123" s="580"/>
      <c r="N123" s="580">
        <f t="shared" si="70"/>
        <v>18782.399999999998</v>
      </c>
      <c r="O123" s="580"/>
      <c r="P123" s="580">
        <f t="shared" si="71"/>
        <v>6724.0991999999987</v>
      </c>
      <c r="Q123" s="580">
        <f t="shared" si="72"/>
        <v>272.34479999999996</v>
      </c>
      <c r="R123" s="580">
        <v>0</v>
      </c>
      <c r="S123" s="580"/>
      <c r="T123" s="580"/>
      <c r="U123" s="580"/>
      <c r="V123" s="473">
        <f t="shared" ref="V123" si="99">SUM(N123:U123)</f>
        <v>25778.843999999997</v>
      </c>
      <c r="W123" s="580">
        <f t="shared" ref="W123" si="100">IF(P123&lt;&gt;"",V123*$W$27,0)</f>
        <v>0</v>
      </c>
      <c r="X123" s="580"/>
      <c r="Y123" s="581">
        <f t="shared" ref="Y123" si="101">X123+W123+V123</f>
        <v>25778.843999999997</v>
      </c>
      <c r="Z123" s="432"/>
    </row>
    <row r="124" spans="1:26" s="432" customFormat="1" ht="12.75" customHeight="1" x14ac:dyDescent="0.2">
      <c r="A124" s="30"/>
      <c r="B124" s="30"/>
      <c r="C124" s="30" t="s">
        <v>278</v>
      </c>
      <c r="D124" s="426">
        <v>619</v>
      </c>
      <c r="E124" s="30" t="s">
        <v>360</v>
      </c>
      <c r="F124" s="34" t="s">
        <v>6</v>
      </c>
      <c r="G124" s="30" t="s">
        <v>454</v>
      </c>
      <c r="H124" s="30" t="s">
        <v>461</v>
      </c>
      <c r="I124" s="34" t="s">
        <v>38</v>
      </c>
      <c r="J124" s="34" t="s">
        <v>144</v>
      </c>
      <c r="K124" s="580">
        <f>25.8*15%</f>
        <v>3.87</v>
      </c>
      <c r="L124" s="580">
        <v>2080</v>
      </c>
      <c r="M124" s="580"/>
      <c r="N124" s="580">
        <f t="shared" si="70"/>
        <v>8049.6</v>
      </c>
      <c r="O124" s="580"/>
      <c r="P124" s="580">
        <f t="shared" si="71"/>
        <v>2881.7568000000001</v>
      </c>
      <c r="Q124" s="580">
        <f t="shared" si="72"/>
        <v>116.71920000000001</v>
      </c>
      <c r="R124" s="580">
        <v>0</v>
      </c>
      <c r="S124" s="580"/>
      <c r="T124" s="580"/>
      <c r="U124" s="580"/>
      <c r="V124" s="473">
        <f t="shared" ref="V124" si="102">SUM(N124:U124)</f>
        <v>11048.076000000001</v>
      </c>
      <c r="W124" s="580">
        <f t="shared" ref="W124" si="103">IF(P124&lt;&gt;"",V124*$W$27,0)</f>
        <v>0</v>
      </c>
      <c r="X124" s="580"/>
      <c r="Y124" s="581">
        <f t="shared" ref="Y124" si="104">X124+W124+V124</f>
        <v>11048.076000000001</v>
      </c>
    </row>
    <row r="125" spans="1:26" ht="12.75" customHeight="1" x14ac:dyDescent="0.2">
      <c r="A125" s="30">
        <v>8333</v>
      </c>
      <c r="B125" s="30"/>
      <c r="C125" s="30" t="s">
        <v>244</v>
      </c>
      <c r="D125" s="426" t="s">
        <v>333</v>
      </c>
      <c r="E125" s="34" t="s">
        <v>1413</v>
      </c>
      <c r="F125" s="30" t="s">
        <v>453</v>
      </c>
      <c r="G125" s="30" t="s">
        <v>454</v>
      </c>
      <c r="H125" s="30" t="s">
        <v>461</v>
      </c>
      <c r="I125" s="34" t="s">
        <v>30</v>
      </c>
      <c r="J125" s="34" t="s">
        <v>692</v>
      </c>
      <c r="K125" s="580">
        <v>65</v>
      </c>
      <c r="L125" s="580">
        <v>2080</v>
      </c>
      <c r="M125" s="580"/>
      <c r="N125" s="580">
        <f t="shared" si="70"/>
        <v>135200</v>
      </c>
      <c r="O125" s="580"/>
      <c r="P125" s="580">
        <f t="shared" si="71"/>
        <v>48401.599999999999</v>
      </c>
      <c r="Q125" s="580">
        <f t="shared" si="72"/>
        <v>1960.4</v>
      </c>
      <c r="R125" s="580">
        <v>0</v>
      </c>
      <c r="S125" s="580">
        <f>IF(H125="1",5166.6*2,0)</f>
        <v>10333.200000000001</v>
      </c>
      <c r="T125" s="580">
        <f>IF(H125="1",387.12*2,0)</f>
        <v>774.24</v>
      </c>
      <c r="U125" s="580">
        <v>0</v>
      </c>
      <c r="V125" s="473">
        <f t="shared" ref="V125" si="105">SUM(N125:U125)</f>
        <v>196669.44</v>
      </c>
      <c r="W125" s="580">
        <f t="shared" ref="W125" si="106">IF(P125&lt;&gt;"",V125*$W$27,0)</f>
        <v>0</v>
      </c>
      <c r="X125" s="580"/>
      <c r="Y125" s="581">
        <f t="shared" ref="Y125" si="107">X125+W125+V125</f>
        <v>196669.44</v>
      </c>
      <c r="Z125" s="432"/>
    </row>
    <row r="126" spans="1:26" s="432" customFormat="1" ht="12.75" customHeight="1" x14ac:dyDescent="0.2">
      <c r="A126" s="30">
        <v>278931</v>
      </c>
      <c r="B126" s="30"/>
      <c r="C126" s="30" t="s">
        <v>279</v>
      </c>
      <c r="D126" s="426">
        <v>607</v>
      </c>
      <c r="E126" s="30" t="s">
        <v>370</v>
      </c>
      <c r="F126" s="34" t="s">
        <v>6</v>
      </c>
      <c r="G126" s="30" t="s">
        <v>454</v>
      </c>
      <c r="H126" s="30" t="s">
        <v>461</v>
      </c>
      <c r="I126" s="34" t="s">
        <v>38</v>
      </c>
      <c r="J126" s="34" t="s">
        <v>128</v>
      </c>
      <c r="K126" s="580">
        <f>15*95%</f>
        <v>14.25</v>
      </c>
      <c r="L126" s="580">
        <v>2080</v>
      </c>
      <c r="M126" s="580"/>
      <c r="N126" s="580">
        <f t="shared" si="70"/>
        <v>29640</v>
      </c>
      <c r="O126" s="580"/>
      <c r="P126" s="580">
        <f t="shared" si="71"/>
        <v>10611.119999999999</v>
      </c>
      <c r="Q126" s="580">
        <f t="shared" si="72"/>
        <v>429.78000000000003</v>
      </c>
      <c r="R126" s="580">
        <v>0</v>
      </c>
      <c r="S126" s="580">
        <f>IF(H126="1",3242.52*2,0)</f>
        <v>6485.04</v>
      </c>
      <c r="T126" s="580">
        <f>IF(H126="1",361.92*2,0)</f>
        <v>723.84</v>
      </c>
      <c r="U126" s="580">
        <f>IF(H126="1",152.28*2,0)</f>
        <v>304.56</v>
      </c>
      <c r="V126" s="473">
        <f t="shared" ref="V126" si="108">SUM(N126:U126)</f>
        <v>48194.339999999989</v>
      </c>
      <c r="W126" s="580">
        <f t="shared" ref="W126" si="109">IF(P126&lt;&gt;"",V126*$W$27,0)</f>
        <v>0</v>
      </c>
      <c r="X126" s="580"/>
      <c r="Y126" s="581">
        <f t="shared" ref="Y126" si="110">X126+W126+V126</f>
        <v>48194.339999999989</v>
      </c>
    </row>
    <row r="127" spans="1:26" s="432" customFormat="1" ht="12.75" customHeight="1" x14ac:dyDescent="0.2">
      <c r="A127" s="30"/>
      <c r="B127" s="30"/>
      <c r="C127" s="30" t="s">
        <v>279</v>
      </c>
      <c r="D127" s="426">
        <v>607</v>
      </c>
      <c r="E127" s="30" t="s">
        <v>370</v>
      </c>
      <c r="F127" s="34" t="s">
        <v>6</v>
      </c>
      <c r="G127" s="30" t="s">
        <v>454</v>
      </c>
      <c r="H127" s="30" t="s">
        <v>461</v>
      </c>
      <c r="I127" s="34" t="s">
        <v>38</v>
      </c>
      <c r="J127" s="34" t="s">
        <v>1136</v>
      </c>
      <c r="K127" s="580">
        <f>15*5%</f>
        <v>0.75</v>
      </c>
      <c r="L127" s="580">
        <v>2080</v>
      </c>
      <c r="M127" s="580"/>
      <c r="N127" s="580">
        <f t="shared" si="70"/>
        <v>1560</v>
      </c>
      <c r="O127" s="580"/>
      <c r="P127" s="580">
        <f t="shared" si="71"/>
        <v>558.48</v>
      </c>
      <c r="Q127" s="580">
        <f t="shared" si="72"/>
        <v>22.62</v>
      </c>
      <c r="R127" s="580">
        <v>0</v>
      </c>
      <c r="S127" s="580"/>
      <c r="T127" s="580"/>
      <c r="U127" s="580"/>
      <c r="V127" s="473">
        <f t="shared" ref="V127" si="111">SUM(N127:U127)</f>
        <v>2141.1</v>
      </c>
      <c r="W127" s="580">
        <f t="shared" ref="W127" si="112">IF(P127&lt;&gt;"",V127*$W$27,0)</f>
        <v>0</v>
      </c>
      <c r="X127" s="580"/>
      <c r="Y127" s="581">
        <f t="shared" ref="Y127" si="113">X127+W127+V127</f>
        <v>2141.1</v>
      </c>
    </row>
    <row r="128" spans="1:26" s="432" customFormat="1" ht="12.75" customHeight="1" x14ac:dyDescent="0.2">
      <c r="A128" s="30">
        <v>270720</v>
      </c>
      <c r="B128" s="30"/>
      <c r="C128" s="30" t="s">
        <v>280</v>
      </c>
      <c r="D128" s="426">
        <v>615</v>
      </c>
      <c r="E128" s="30" t="s">
        <v>354</v>
      </c>
      <c r="F128" s="34" t="s">
        <v>6</v>
      </c>
      <c r="G128" s="30" t="s">
        <v>454</v>
      </c>
      <c r="H128" s="30" t="s">
        <v>461</v>
      </c>
      <c r="I128" s="34" t="s">
        <v>38</v>
      </c>
      <c r="J128" s="34" t="s">
        <v>131</v>
      </c>
      <c r="K128" s="580">
        <f>25.53*10%</f>
        <v>2.5530000000000004</v>
      </c>
      <c r="L128" s="580">
        <v>2080</v>
      </c>
      <c r="M128" s="580"/>
      <c r="N128" s="580">
        <f t="shared" si="70"/>
        <v>5310.2400000000007</v>
      </c>
      <c r="O128" s="580"/>
      <c r="P128" s="580">
        <f t="shared" si="71"/>
        <v>1901.0659200000002</v>
      </c>
      <c r="Q128" s="580">
        <f t="shared" si="72"/>
        <v>76.998480000000015</v>
      </c>
      <c r="R128" s="580">
        <v>0</v>
      </c>
      <c r="S128" s="580">
        <f>IF(H128="1",2828.52*2,0)</f>
        <v>5657.04</v>
      </c>
      <c r="T128" s="580">
        <v>0</v>
      </c>
      <c r="U128" s="580">
        <f>IF(H128="1",162*2,0)</f>
        <v>324</v>
      </c>
      <c r="V128" s="473">
        <f t="shared" ref="V128" si="114">SUM(N128:U128)</f>
        <v>13269.344400000002</v>
      </c>
      <c r="W128" s="580">
        <f t="shared" ref="W128" si="115">IF(P128&lt;&gt;"",V128*$W$27,0)</f>
        <v>0</v>
      </c>
      <c r="X128" s="580"/>
      <c r="Y128" s="581">
        <f t="shared" ref="Y128" si="116">X128+W128+V128</f>
        <v>13269.344400000002</v>
      </c>
    </row>
    <row r="129" spans="1:26" s="432" customFormat="1" ht="12.75" customHeight="1" x14ac:dyDescent="0.2">
      <c r="A129" s="30"/>
      <c r="B129" s="30"/>
      <c r="C129" s="30" t="s">
        <v>280</v>
      </c>
      <c r="D129" s="426">
        <v>615</v>
      </c>
      <c r="E129" s="30" t="s">
        <v>354</v>
      </c>
      <c r="F129" s="34" t="s">
        <v>6</v>
      </c>
      <c r="G129" s="30" t="s">
        <v>454</v>
      </c>
      <c r="H129" s="30" t="s">
        <v>461</v>
      </c>
      <c r="I129" s="34" t="s">
        <v>38</v>
      </c>
      <c r="J129" s="34" t="s">
        <v>140</v>
      </c>
      <c r="K129" s="580">
        <f>25.53*20%</f>
        <v>5.1060000000000008</v>
      </c>
      <c r="L129" s="580">
        <v>2080</v>
      </c>
      <c r="M129" s="580"/>
      <c r="N129" s="580">
        <f t="shared" si="70"/>
        <v>10620.480000000001</v>
      </c>
      <c r="O129" s="580"/>
      <c r="P129" s="580">
        <f t="shared" si="71"/>
        <v>3802.1318400000005</v>
      </c>
      <c r="Q129" s="580">
        <f t="shared" si="72"/>
        <v>153.99696000000003</v>
      </c>
      <c r="R129" s="580">
        <v>0</v>
      </c>
      <c r="S129" s="580"/>
      <c r="T129" s="580"/>
      <c r="U129" s="580"/>
      <c r="V129" s="473">
        <f t="shared" ref="V129" si="117">SUM(N129:U129)</f>
        <v>14576.608800000002</v>
      </c>
      <c r="W129" s="580">
        <f t="shared" ref="W129" si="118">IF(P129&lt;&gt;"",V129*$W$27,0)</f>
        <v>0</v>
      </c>
      <c r="X129" s="580"/>
      <c r="Y129" s="581">
        <f t="shared" ref="Y129" si="119">X129+W129+V129</f>
        <v>14576.608800000002</v>
      </c>
    </row>
    <row r="130" spans="1:26" ht="12.75" customHeight="1" x14ac:dyDescent="0.2">
      <c r="A130" s="30"/>
      <c r="B130" s="30"/>
      <c r="C130" s="30" t="s">
        <v>280</v>
      </c>
      <c r="D130" s="426">
        <v>615</v>
      </c>
      <c r="E130" s="30" t="s">
        <v>354</v>
      </c>
      <c r="F130" s="34" t="s">
        <v>6</v>
      </c>
      <c r="G130" s="30" t="s">
        <v>454</v>
      </c>
      <c r="H130" s="30" t="s">
        <v>461</v>
      </c>
      <c r="I130" s="34" t="s">
        <v>38</v>
      </c>
      <c r="J130" s="34" t="s">
        <v>128</v>
      </c>
      <c r="K130" s="580">
        <f t="shared" ref="K130:K131" si="120">25.53*20%</f>
        <v>5.1060000000000008</v>
      </c>
      <c r="L130" s="580">
        <v>2080</v>
      </c>
      <c r="M130" s="580"/>
      <c r="N130" s="580">
        <f t="shared" si="70"/>
        <v>10620.480000000001</v>
      </c>
      <c r="O130" s="580"/>
      <c r="P130" s="580">
        <f t="shared" si="71"/>
        <v>3802.1318400000005</v>
      </c>
      <c r="Q130" s="580">
        <f t="shared" si="72"/>
        <v>153.99696000000003</v>
      </c>
      <c r="R130" s="580">
        <v>0</v>
      </c>
      <c r="S130" s="580"/>
      <c r="T130" s="580"/>
      <c r="U130" s="580"/>
      <c r="V130" s="473">
        <f t="shared" ref="V130" si="121">SUM(N130:U130)</f>
        <v>14576.608800000002</v>
      </c>
      <c r="W130" s="580">
        <f t="shared" ref="W130" si="122">IF(P130&lt;&gt;"",V130*$W$27,0)</f>
        <v>0</v>
      </c>
      <c r="X130" s="580"/>
      <c r="Y130" s="581">
        <f t="shared" ref="Y130" si="123">X130+W130+V130</f>
        <v>14576.608800000002</v>
      </c>
      <c r="Z130" s="432"/>
    </row>
    <row r="131" spans="1:26" s="432" customFormat="1" ht="12.75" customHeight="1" x14ac:dyDescent="0.2">
      <c r="A131" s="30"/>
      <c r="B131" s="30"/>
      <c r="C131" s="30" t="s">
        <v>280</v>
      </c>
      <c r="D131" s="426">
        <v>615</v>
      </c>
      <c r="E131" s="30" t="s">
        <v>354</v>
      </c>
      <c r="F131" s="34" t="s">
        <v>6</v>
      </c>
      <c r="G131" s="30" t="s">
        <v>454</v>
      </c>
      <c r="H131" s="30" t="s">
        <v>461</v>
      </c>
      <c r="I131" s="34" t="s">
        <v>38</v>
      </c>
      <c r="J131" s="34" t="s">
        <v>1478</v>
      </c>
      <c r="K131" s="580">
        <f t="shared" si="120"/>
        <v>5.1060000000000008</v>
      </c>
      <c r="L131" s="580">
        <v>2080</v>
      </c>
      <c r="M131" s="580"/>
      <c r="N131" s="580">
        <f t="shared" si="70"/>
        <v>10620.480000000001</v>
      </c>
      <c r="O131" s="580"/>
      <c r="P131" s="580">
        <f t="shared" si="71"/>
        <v>3802.1318400000005</v>
      </c>
      <c r="Q131" s="580">
        <f t="shared" si="72"/>
        <v>153.99696000000003</v>
      </c>
      <c r="R131" s="580">
        <v>0</v>
      </c>
      <c r="S131" s="580"/>
      <c r="T131" s="580"/>
      <c r="U131" s="580"/>
      <c r="V131" s="473">
        <f t="shared" ref="V131" si="124">SUM(N131:U131)</f>
        <v>14576.608800000002</v>
      </c>
      <c r="W131" s="580">
        <f t="shared" ref="W131" si="125">IF(P131&lt;&gt;"",V131*$W$27,0)</f>
        <v>0</v>
      </c>
      <c r="X131" s="580"/>
      <c r="Y131" s="581">
        <f t="shared" ref="Y131" si="126">X131+W131+V131</f>
        <v>14576.608800000002</v>
      </c>
    </row>
    <row r="132" spans="1:26" s="432" customFormat="1" ht="12.75" customHeight="1" x14ac:dyDescent="0.2">
      <c r="A132" s="30"/>
      <c r="B132" s="30"/>
      <c r="C132" s="30" t="s">
        <v>280</v>
      </c>
      <c r="D132" s="426">
        <v>615</v>
      </c>
      <c r="E132" s="30" t="s">
        <v>354</v>
      </c>
      <c r="F132" s="34" t="s">
        <v>6</v>
      </c>
      <c r="G132" s="30" t="s">
        <v>454</v>
      </c>
      <c r="H132" s="30" t="s">
        <v>461</v>
      </c>
      <c r="I132" s="34" t="s">
        <v>38</v>
      </c>
      <c r="J132" s="34" t="s">
        <v>129</v>
      </c>
      <c r="K132" s="580">
        <f>25.53*30%</f>
        <v>7.6589999999999998</v>
      </c>
      <c r="L132" s="580">
        <v>2080</v>
      </c>
      <c r="M132" s="580"/>
      <c r="N132" s="580">
        <f t="shared" si="70"/>
        <v>15930.72</v>
      </c>
      <c r="O132" s="580"/>
      <c r="P132" s="580">
        <f t="shared" si="71"/>
        <v>5703.1977599999991</v>
      </c>
      <c r="Q132" s="580">
        <f t="shared" si="72"/>
        <v>230.99544</v>
      </c>
      <c r="R132" s="580">
        <v>0</v>
      </c>
      <c r="S132" s="580"/>
      <c r="T132" s="580"/>
      <c r="U132" s="580"/>
      <c r="V132" s="473">
        <f t="shared" ref="V132" si="127">SUM(N132:U132)</f>
        <v>21864.913199999995</v>
      </c>
      <c r="W132" s="580">
        <f t="shared" ref="W132" si="128">IF(P132&lt;&gt;"",V132*$W$27,0)</f>
        <v>0</v>
      </c>
      <c r="X132" s="580"/>
      <c r="Y132" s="581">
        <f t="shared" ref="Y132" si="129">X132+W132+V132</f>
        <v>21864.913199999995</v>
      </c>
    </row>
    <row r="133" spans="1:26" ht="12.75" customHeight="1" x14ac:dyDescent="0.2">
      <c r="A133" s="30">
        <v>201110</v>
      </c>
      <c r="B133" s="30"/>
      <c r="C133" s="30" t="s">
        <v>217</v>
      </c>
      <c r="D133" s="426">
        <v>613</v>
      </c>
      <c r="E133" s="30" t="s">
        <v>326</v>
      </c>
      <c r="F133" s="30" t="s">
        <v>6</v>
      </c>
      <c r="G133" s="30" t="s">
        <v>454</v>
      </c>
      <c r="H133" s="30" t="s">
        <v>461</v>
      </c>
      <c r="I133" s="34" t="s">
        <v>28</v>
      </c>
      <c r="J133" s="34" t="s">
        <v>692</v>
      </c>
      <c r="K133" s="731">
        <f>27.66*1.105*16%</f>
        <v>4.890288</v>
      </c>
      <c r="L133" s="580">
        <v>2080</v>
      </c>
      <c r="M133" s="580"/>
      <c r="N133" s="580">
        <f t="shared" si="70"/>
        <v>10171.79904</v>
      </c>
      <c r="O133" s="580"/>
      <c r="P133" s="580">
        <f t="shared" si="71"/>
        <v>3641.50405632</v>
      </c>
      <c r="Q133" s="580">
        <f t="shared" si="72"/>
        <v>147.49108608</v>
      </c>
      <c r="R133" s="580">
        <v>0</v>
      </c>
      <c r="S133" s="580">
        <f>IF(H133="1",3242.52*2,0)</f>
        <v>6485.04</v>
      </c>
      <c r="T133" s="580">
        <f>IF(H133="1",276.36*2,0)</f>
        <v>552.72</v>
      </c>
      <c r="U133" s="580">
        <v>0</v>
      </c>
      <c r="V133" s="473">
        <f t="shared" ref="V133" si="130">SUM(N133:U133)</f>
        <v>20998.554182399999</v>
      </c>
      <c r="W133" s="580">
        <f t="shared" ref="W133" si="131">IF(P133&lt;&gt;"",V133*$W$27,0)</f>
        <v>0</v>
      </c>
      <c r="X133" s="580"/>
      <c r="Y133" s="581">
        <f t="shared" ref="Y133" si="132">X133+W133+V133</f>
        <v>20998.554182399999</v>
      </c>
      <c r="Z133" s="432"/>
    </row>
    <row r="134" spans="1:26" ht="12.75" customHeight="1" x14ac:dyDescent="0.2">
      <c r="A134" s="30"/>
      <c r="B134" s="30"/>
      <c r="C134" s="30" t="s">
        <v>217</v>
      </c>
      <c r="D134" s="426">
        <v>613</v>
      </c>
      <c r="E134" s="30" t="s">
        <v>326</v>
      </c>
      <c r="F134" s="30" t="s">
        <v>6</v>
      </c>
      <c r="G134" s="30" t="s">
        <v>454</v>
      </c>
      <c r="H134" s="30" t="s">
        <v>461</v>
      </c>
      <c r="I134" s="34" t="s">
        <v>28</v>
      </c>
      <c r="J134" s="34" t="s">
        <v>116</v>
      </c>
      <c r="K134" s="731">
        <f>27.66*1.105*80%</f>
        <v>24.451440000000002</v>
      </c>
      <c r="L134" s="580">
        <v>2080</v>
      </c>
      <c r="M134" s="580"/>
      <c r="N134" s="580">
        <f t="shared" si="70"/>
        <v>50858.995200000005</v>
      </c>
      <c r="O134" s="580"/>
      <c r="P134" s="580">
        <f t="shared" si="71"/>
        <v>18207.520281600002</v>
      </c>
      <c r="Q134" s="580">
        <f t="shared" si="72"/>
        <v>737.45543040000007</v>
      </c>
      <c r="R134" s="580">
        <v>0</v>
      </c>
      <c r="S134" s="580"/>
      <c r="T134" s="580"/>
      <c r="U134" s="580"/>
      <c r="V134" s="473">
        <f t="shared" ref="V134" si="133">SUM(N134:U134)</f>
        <v>69803.970912000019</v>
      </c>
      <c r="W134" s="580">
        <f t="shared" ref="W134" si="134">IF(P134&lt;&gt;"",V134*$W$27,0)</f>
        <v>0</v>
      </c>
      <c r="X134" s="580"/>
      <c r="Y134" s="581">
        <f t="shared" ref="Y134" si="135">X134+W134+V134</f>
        <v>69803.970912000019</v>
      </c>
      <c r="Z134" s="432"/>
    </row>
    <row r="135" spans="1:26" s="432" customFormat="1" ht="12.75" customHeight="1" x14ac:dyDescent="0.2">
      <c r="A135" s="30"/>
      <c r="B135" s="30"/>
      <c r="C135" s="30" t="s">
        <v>217</v>
      </c>
      <c r="D135" s="426">
        <v>613</v>
      </c>
      <c r="E135" s="30" t="s">
        <v>326</v>
      </c>
      <c r="F135" s="30" t="s">
        <v>6</v>
      </c>
      <c r="G135" s="30" t="s">
        <v>454</v>
      </c>
      <c r="H135" s="30" t="s">
        <v>461</v>
      </c>
      <c r="I135" s="34" t="s">
        <v>28</v>
      </c>
      <c r="J135" s="34" t="s">
        <v>143</v>
      </c>
      <c r="K135" s="731">
        <f>27.66*1.105*4%</f>
        <v>1.222572</v>
      </c>
      <c r="L135" s="580">
        <v>2080</v>
      </c>
      <c r="M135" s="580"/>
      <c r="N135" s="580">
        <f t="shared" si="70"/>
        <v>2542.94976</v>
      </c>
      <c r="O135" s="580"/>
      <c r="P135" s="580">
        <f t="shared" si="71"/>
        <v>910.37601408</v>
      </c>
      <c r="Q135" s="580">
        <f t="shared" si="72"/>
        <v>36.872771520000001</v>
      </c>
      <c r="R135" s="580">
        <v>0</v>
      </c>
      <c r="S135" s="580"/>
      <c r="T135" s="580"/>
      <c r="U135" s="580"/>
      <c r="V135" s="473">
        <f t="shared" ref="V135" si="136">SUM(N135:U135)</f>
        <v>3490.1985455999998</v>
      </c>
      <c r="W135" s="580">
        <f t="shared" ref="W135" si="137">IF(P135&lt;&gt;"",V135*$W$27,0)</f>
        <v>0</v>
      </c>
      <c r="X135" s="580"/>
      <c r="Y135" s="581">
        <f t="shared" ref="Y135" si="138">X135+W135+V135</f>
        <v>3490.1985455999998</v>
      </c>
    </row>
    <row r="136" spans="1:26" ht="12.75" customHeight="1" x14ac:dyDescent="0.2">
      <c r="A136" s="30">
        <v>222884</v>
      </c>
      <c r="B136" s="30"/>
      <c r="C136" s="30" t="s">
        <v>234</v>
      </c>
      <c r="D136" s="426">
        <v>313</v>
      </c>
      <c r="E136" s="30" t="s">
        <v>340</v>
      </c>
      <c r="F136" s="30" t="s">
        <v>6</v>
      </c>
      <c r="G136" s="30" t="s">
        <v>454</v>
      </c>
      <c r="H136" s="30" t="s">
        <v>461</v>
      </c>
      <c r="I136" s="34" t="s">
        <v>36</v>
      </c>
      <c r="J136" s="34" t="s">
        <v>692</v>
      </c>
      <c r="K136" s="580">
        <v>29.41</v>
      </c>
      <c r="L136" s="580">
        <v>2080</v>
      </c>
      <c r="M136" s="580"/>
      <c r="N136" s="580">
        <f t="shared" si="70"/>
        <v>61172.800000000003</v>
      </c>
      <c r="O136" s="580"/>
      <c r="P136" s="580">
        <f t="shared" si="71"/>
        <v>21899.862400000002</v>
      </c>
      <c r="Q136" s="580">
        <f t="shared" si="72"/>
        <v>887.00560000000007</v>
      </c>
      <c r="R136" s="580">
        <v>0</v>
      </c>
      <c r="S136" s="580">
        <f>IF(H136="1",2828.52*2,0)</f>
        <v>5657.04</v>
      </c>
      <c r="T136" s="580">
        <f>IF(H136="1",154.92*2,0)</f>
        <v>309.83999999999997</v>
      </c>
      <c r="U136" s="580">
        <f>IF(H136="1",162*2,0)</f>
        <v>324</v>
      </c>
      <c r="V136" s="473">
        <f t="shared" ref="V136" si="139">SUM(N136:U136)</f>
        <v>90250.547999999995</v>
      </c>
      <c r="W136" s="580">
        <f t="shared" ref="W136" si="140">IF(P136&lt;&gt;"",V136*$W$27,0)</f>
        <v>0</v>
      </c>
      <c r="X136" s="580"/>
      <c r="Y136" s="581">
        <f t="shared" ref="Y136" si="141">X136+W136+V136</f>
        <v>90250.547999999995</v>
      </c>
      <c r="Z136" s="432"/>
    </row>
    <row r="137" spans="1:26" s="432" customFormat="1" ht="12.75" customHeight="1" x14ac:dyDescent="0.2">
      <c r="A137" s="30">
        <v>281849</v>
      </c>
      <c r="B137" s="30"/>
      <c r="C137" s="30" t="s">
        <v>299</v>
      </c>
      <c r="D137" s="426">
        <v>615</v>
      </c>
      <c r="E137" s="30" t="s">
        <v>354</v>
      </c>
      <c r="F137" s="30" t="s">
        <v>6</v>
      </c>
      <c r="G137" s="30" t="s">
        <v>454</v>
      </c>
      <c r="H137" s="30" t="s">
        <v>461</v>
      </c>
      <c r="I137" s="34" t="s">
        <v>39</v>
      </c>
      <c r="J137" s="34" t="s">
        <v>114</v>
      </c>
      <c r="K137" s="580">
        <f>20.22*10%</f>
        <v>2.0219999999999998</v>
      </c>
      <c r="L137" s="580">
        <v>2080</v>
      </c>
      <c r="M137" s="580"/>
      <c r="N137" s="580">
        <f t="shared" si="70"/>
        <v>4205.7599999999993</v>
      </c>
      <c r="O137" s="580"/>
      <c r="P137" s="580">
        <f t="shared" si="71"/>
        <v>1505.6620799999996</v>
      </c>
      <c r="Q137" s="580">
        <f t="shared" si="72"/>
        <v>60.983519999999992</v>
      </c>
      <c r="R137" s="580">
        <v>0</v>
      </c>
      <c r="S137" s="580">
        <f>IF(H137="1",1844.52*2,0)</f>
        <v>3689.04</v>
      </c>
      <c r="T137" s="580">
        <f>IF(H137="1",127.2*2,0)</f>
        <v>254.4</v>
      </c>
      <c r="U137" s="580">
        <f>IF(H137="1",16.2*2,0)</f>
        <v>32.4</v>
      </c>
      <c r="V137" s="473">
        <f t="shared" ref="V137" si="142">SUM(N137:U137)</f>
        <v>9748.2455999999984</v>
      </c>
      <c r="W137" s="580">
        <f t="shared" ref="W137" si="143">IF(P137&lt;&gt;"",V137*$W$27,0)</f>
        <v>0</v>
      </c>
      <c r="X137" s="580"/>
      <c r="Y137" s="581">
        <f t="shared" ref="Y137" si="144">X137+W137+V137</f>
        <v>9748.2455999999984</v>
      </c>
    </row>
    <row r="138" spans="1:26" s="432" customFormat="1" ht="12.75" customHeight="1" x14ac:dyDescent="0.2">
      <c r="A138" s="30"/>
      <c r="B138" s="30"/>
      <c r="C138" s="30" t="s">
        <v>299</v>
      </c>
      <c r="D138" s="426">
        <v>615</v>
      </c>
      <c r="E138" s="30" t="s">
        <v>354</v>
      </c>
      <c r="F138" s="30" t="s">
        <v>6</v>
      </c>
      <c r="G138" s="30" t="s">
        <v>454</v>
      </c>
      <c r="H138" s="30" t="s">
        <v>461</v>
      </c>
      <c r="I138" s="34" t="s">
        <v>39</v>
      </c>
      <c r="J138" s="34" t="s">
        <v>117</v>
      </c>
      <c r="K138" s="580">
        <f>20.22*90%</f>
        <v>18.198</v>
      </c>
      <c r="L138" s="580">
        <v>2080</v>
      </c>
      <c r="M138" s="580"/>
      <c r="N138" s="580">
        <f t="shared" si="70"/>
        <v>37851.840000000004</v>
      </c>
      <c r="O138" s="580"/>
      <c r="P138" s="580">
        <f t="shared" si="71"/>
        <v>13550.958720000001</v>
      </c>
      <c r="Q138" s="580">
        <f t="shared" si="72"/>
        <v>548.8516800000001</v>
      </c>
      <c r="R138" s="580">
        <v>0</v>
      </c>
      <c r="S138" s="580"/>
      <c r="T138" s="580"/>
      <c r="U138" s="580"/>
      <c r="V138" s="473">
        <f t="shared" ref="V138" si="145">SUM(N138:U138)</f>
        <v>51951.650400000006</v>
      </c>
      <c r="W138" s="580">
        <f t="shared" ref="W138" si="146">IF(P138&lt;&gt;"",V138*$W$27,0)</f>
        <v>0</v>
      </c>
      <c r="X138" s="580"/>
      <c r="Y138" s="581">
        <f t="shared" ref="Y138" si="147">X138+W138+V138</f>
        <v>51951.650400000006</v>
      </c>
    </row>
    <row r="139" spans="1:26" x14ac:dyDescent="0.2">
      <c r="A139" s="30">
        <v>188804</v>
      </c>
      <c r="B139" s="30"/>
      <c r="C139" s="30" t="s">
        <v>300</v>
      </c>
      <c r="D139" s="426">
        <v>615</v>
      </c>
      <c r="E139" s="30" t="s">
        <v>354</v>
      </c>
      <c r="F139" s="30" t="s">
        <v>6</v>
      </c>
      <c r="G139" s="30" t="s">
        <v>454</v>
      </c>
      <c r="H139" s="30" t="s">
        <v>461</v>
      </c>
      <c r="I139" s="34" t="s">
        <v>39</v>
      </c>
      <c r="J139" s="34" t="s">
        <v>114</v>
      </c>
      <c r="K139" s="580">
        <f>25.31*85%</f>
        <v>21.513499999999997</v>
      </c>
      <c r="L139" s="580">
        <v>2080</v>
      </c>
      <c r="M139" s="580"/>
      <c r="N139" s="580">
        <f t="shared" si="70"/>
        <v>44748.079999999994</v>
      </c>
      <c r="O139" s="580"/>
      <c r="P139" s="580">
        <f t="shared" si="71"/>
        <v>16019.812639999996</v>
      </c>
      <c r="Q139" s="580">
        <f t="shared" si="72"/>
        <v>648.84715999999992</v>
      </c>
      <c r="R139" s="580">
        <v>0</v>
      </c>
      <c r="S139" s="580">
        <f>IF(H139="1",2828.52*2,0)</f>
        <v>5657.04</v>
      </c>
      <c r="T139" s="580">
        <f>IF(H139="1",154.92*2,0)</f>
        <v>309.83999999999997</v>
      </c>
      <c r="U139" s="580">
        <v>0</v>
      </c>
      <c r="V139" s="473">
        <f t="shared" ref="V139" si="148">SUM(N139:U139)</f>
        <v>67383.619799999986</v>
      </c>
      <c r="W139" s="580">
        <f t="shared" ref="W139" si="149">IF(P139&lt;&gt;"",V139*$W$27,0)</f>
        <v>0</v>
      </c>
      <c r="X139" s="580"/>
      <c r="Y139" s="581">
        <f t="shared" ref="Y139" si="150">X139+W139+V139</f>
        <v>67383.619799999986</v>
      </c>
      <c r="Z139" s="432"/>
    </row>
    <row r="140" spans="1:26" ht="12.75" customHeight="1" x14ac:dyDescent="0.2">
      <c r="A140" s="30"/>
      <c r="B140" s="30"/>
      <c r="C140" s="30" t="s">
        <v>300</v>
      </c>
      <c r="D140" s="426">
        <v>615</v>
      </c>
      <c r="E140" s="30" t="s">
        <v>354</v>
      </c>
      <c r="F140" s="30" t="s">
        <v>6</v>
      </c>
      <c r="G140" s="30" t="s">
        <v>454</v>
      </c>
      <c r="H140" s="30" t="s">
        <v>461</v>
      </c>
      <c r="I140" s="34" t="s">
        <v>39</v>
      </c>
      <c r="J140" s="34" t="s">
        <v>117</v>
      </c>
      <c r="K140" s="580">
        <f>25.31*10%</f>
        <v>2.5310000000000001</v>
      </c>
      <c r="L140" s="580">
        <v>2080</v>
      </c>
      <c r="M140" s="580"/>
      <c r="N140" s="580">
        <f t="shared" si="70"/>
        <v>5264.4800000000005</v>
      </c>
      <c r="O140" s="580"/>
      <c r="P140" s="580">
        <f t="shared" si="71"/>
        <v>1884.6838400000001</v>
      </c>
      <c r="Q140" s="580">
        <f t="shared" si="72"/>
        <v>76.334960000000009</v>
      </c>
      <c r="R140" s="580">
        <v>0</v>
      </c>
      <c r="S140" s="580"/>
      <c r="T140" s="580"/>
      <c r="U140" s="580"/>
      <c r="V140" s="473">
        <f t="shared" ref="V140" si="151">SUM(N140:U140)</f>
        <v>7225.4988000000012</v>
      </c>
      <c r="W140" s="580">
        <f t="shared" ref="W140" si="152">IF(P140&lt;&gt;"",V140*$W$27,0)</f>
        <v>0</v>
      </c>
      <c r="X140" s="580"/>
      <c r="Y140" s="581">
        <f t="shared" ref="Y140" si="153">X140+W140+V140</f>
        <v>7225.4988000000012</v>
      </c>
      <c r="Z140" s="432"/>
    </row>
    <row r="141" spans="1:26" s="432" customFormat="1" ht="12.75" customHeight="1" x14ac:dyDescent="0.2">
      <c r="A141" s="30"/>
      <c r="B141" s="30"/>
      <c r="C141" s="30" t="s">
        <v>300</v>
      </c>
      <c r="D141" s="426">
        <v>615</v>
      </c>
      <c r="E141" s="30" t="s">
        <v>354</v>
      </c>
      <c r="F141" s="30" t="s">
        <v>6</v>
      </c>
      <c r="G141" s="30" t="s">
        <v>454</v>
      </c>
      <c r="H141" s="30" t="s">
        <v>461</v>
      </c>
      <c r="I141" s="34" t="s">
        <v>39</v>
      </c>
      <c r="J141" s="34" t="s">
        <v>123</v>
      </c>
      <c r="K141" s="580">
        <f>25.31*5%</f>
        <v>1.2655000000000001</v>
      </c>
      <c r="L141" s="580">
        <v>2080</v>
      </c>
      <c r="M141" s="580"/>
      <c r="N141" s="580">
        <f t="shared" si="70"/>
        <v>2632.2400000000002</v>
      </c>
      <c r="O141" s="580"/>
      <c r="P141" s="580">
        <f t="shared" si="71"/>
        <v>942.34192000000007</v>
      </c>
      <c r="Q141" s="580">
        <f t="shared" si="72"/>
        <v>38.167480000000005</v>
      </c>
      <c r="R141" s="580">
        <v>0</v>
      </c>
      <c r="S141" s="580"/>
      <c r="T141" s="580"/>
      <c r="U141" s="580"/>
      <c r="V141" s="473">
        <f t="shared" ref="V141" si="154">SUM(N141:U141)</f>
        <v>3612.7494000000006</v>
      </c>
      <c r="W141" s="580">
        <f t="shared" ref="W141" si="155">IF(P141&lt;&gt;"",V141*$W$27,0)</f>
        <v>0</v>
      </c>
      <c r="X141" s="580"/>
      <c r="Y141" s="581">
        <f t="shared" ref="Y141" si="156">X141+W141+V141</f>
        <v>3612.7494000000006</v>
      </c>
    </row>
    <row r="142" spans="1:26" s="432" customFormat="1" ht="12.75" customHeight="1" x14ac:dyDescent="0.2">
      <c r="A142" s="30">
        <v>284687</v>
      </c>
      <c r="B142" s="30"/>
      <c r="C142" s="30" t="s">
        <v>228</v>
      </c>
      <c r="D142" s="426">
        <v>613</v>
      </c>
      <c r="E142" s="30" t="s">
        <v>332</v>
      </c>
      <c r="F142" s="30" t="s">
        <v>6</v>
      </c>
      <c r="G142" s="30" t="s">
        <v>457</v>
      </c>
      <c r="H142" s="583" t="s">
        <v>460</v>
      </c>
      <c r="I142" s="34" t="s">
        <v>29</v>
      </c>
      <c r="J142" s="34" t="s">
        <v>692</v>
      </c>
      <c r="K142" s="580">
        <v>16.98</v>
      </c>
      <c r="L142" s="580">
        <v>1040</v>
      </c>
      <c r="M142" s="580"/>
      <c r="N142" s="580">
        <f t="shared" si="70"/>
        <v>0</v>
      </c>
      <c r="O142" s="580"/>
      <c r="P142" s="580">
        <f t="shared" si="71"/>
        <v>0</v>
      </c>
      <c r="Q142" s="580">
        <f t="shared" si="72"/>
        <v>0</v>
      </c>
      <c r="R142" s="580">
        <f>N142*$R$27</f>
        <v>0</v>
      </c>
      <c r="S142" s="580">
        <f>IF(H142="1",2828.52*2,0)</f>
        <v>0</v>
      </c>
      <c r="T142" s="580">
        <v>0</v>
      </c>
      <c r="U142" s="580">
        <v>0</v>
      </c>
      <c r="V142" s="473">
        <f t="shared" ref="V142" si="157">SUM(N142:U142)</f>
        <v>0</v>
      </c>
      <c r="W142" s="580">
        <f t="shared" ref="W142" si="158">IF(P142&lt;&gt;"",V142*$W$27,0)</f>
        <v>0</v>
      </c>
      <c r="X142" s="580"/>
      <c r="Y142" s="581">
        <f t="shared" ref="Y142" si="159">X142+W142+V142</f>
        <v>0</v>
      </c>
    </row>
    <row r="143" spans="1:26" s="432" customFormat="1" ht="12.75" customHeight="1" x14ac:dyDescent="0.2">
      <c r="A143" s="30">
        <v>173218</v>
      </c>
      <c r="B143" s="30"/>
      <c r="C143" s="30" t="s">
        <v>256</v>
      </c>
      <c r="D143" s="426">
        <v>615</v>
      </c>
      <c r="E143" s="30" t="s">
        <v>354</v>
      </c>
      <c r="F143" s="30" t="s">
        <v>6</v>
      </c>
      <c r="G143" s="30" t="s">
        <v>454</v>
      </c>
      <c r="H143" s="30" t="s">
        <v>461</v>
      </c>
      <c r="I143" s="34" t="s">
        <v>685</v>
      </c>
      <c r="J143" s="34" t="s">
        <v>161</v>
      </c>
      <c r="K143" s="580">
        <f>26.64*5%</f>
        <v>1.3320000000000001</v>
      </c>
      <c r="L143" s="580">
        <v>2080</v>
      </c>
      <c r="M143" s="580"/>
      <c r="N143" s="580">
        <f t="shared" si="70"/>
        <v>2770.56</v>
      </c>
      <c r="O143" s="580"/>
      <c r="P143" s="580">
        <f t="shared" si="71"/>
        <v>991.86047999999994</v>
      </c>
      <c r="Q143" s="580">
        <f t="shared" si="72"/>
        <v>40.173120000000004</v>
      </c>
      <c r="R143" s="580">
        <v>0</v>
      </c>
      <c r="S143" s="580">
        <v>0</v>
      </c>
      <c r="T143" s="580">
        <v>0</v>
      </c>
      <c r="U143" s="580">
        <f>IF(H143="1",162*2,0)</f>
        <v>324</v>
      </c>
      <c r="V143" s="473">
        <f t="shared" ref="V143" si="160">SUM(N143:U143)</f>
        <v>4126.5936000000002</v>
      </c>
      <c r="W143" s="580">
        <f t="shared" ref="W143" si="161">IF(P143&lt;&gt;"",V143*$W$27,0)</f>
        <v>0</v>
      </c>
      <c r="X143" s="580"/>
      <c r="Y143" s="581">
        <f t="shared" ref="Y143" si="162">X143+W143+V143</f>
        <v>4126.5936000000002</v>
      </c>
    </row>
    <row r="144" spans="1:26" s="432" customFormat="1" ht="12.75" customHeight="1" x14ac:dyDescent="0.2">
      <c r="A144" s="30"/>
      <c r="B144" s="30"/>
      <c r="C144" s="30" t="s">
        <v>256</v>
      </c>
      <c r="D144" s="426">
        <v>615</v>
      </c>
      <c r="E144" s="30" t="s">
        <v>354</v>
      </c>
      <c r="F144" s="30" t="s">
        <v>6</v>
      </c>
      <c r="G144" s="30" t="s">
        <v>454</v>
      </c>
      <c r="H144" s="30" t="s">
        <v>461</v>
      </c>
      <c r="I144" s="34" t="s">
        <v>685</v>
      </c>
      <c r="J144" s="34" t="s">
        <v>1477</v>
      </c>
      <c r="K144" s="580">
        <f>26.64*7%</f>
        <v>1.8648000000000002</v>
      </c>
      <c r="L144" s="580">
        <v>2080</v>
      </c>
      <c r="M144" s="580"/>
      <c r="N144" s="580">
        <f t="shared" si="70"/>
        <v>3878.7840000000006</v>
      </c>
      <c r="O144" s="580"/>
      <c r="P144" s="580">
        <f t="shared" si="71"/>
        <v>1388.6046720000002</v>
      </c>
      <c r="Q144" s="580">
        <f t="shared" si="72"/>
        <v>56.242368000000013</v>
      </c>
      <c r="R144" s="580">
        <v>0</v>
      </c>
      <c r="S144" s="580"/>
      <c r="T144" s="580"/>
      <c r="U144" s="580"/>
      <c r="V144" s="473">
        <f t="shared" ref="V144" si="163">SUM(N144:U144)</f>
        <v>5323.6310400000011</v>
      </c>
      <c r="W144" s="580">
        <f t="shared" ref="W144" si="164">IF(P144&lt;&gt;"",V144*$W$27,0)</f>
        <v>0</v>
      </c>
      <c r="X144" s="580"/>
      <c r="Y144" s="581">
        <f t="shared" ref="Y144" si="165">X144+W144+V144</f>
        <v>5323.6310400000011</v>
      </c>
    </row>
    <row r="145" spans="1:26" s="432" customFormat="1" ht="12.75" customHeight="1" x14ac:dyDescent="0.2">
      <c r="A145" s="30"/>
      <c r="B145" s="30"/>
      <c r="C145" s="30" t="s">
        <v>256</v>
      </c>
      <c r="D145" s="426">
        <v>615</v>
      </c>
      <c r="E145" s="30" t="s">
        <v>354</v>
      </c>
      <c r="F145" s="30" t="s">
        <v>6</v>
      </c>
      <c r="G145" s="30" t="s">
        <v>454</v>
      </c>
      <c r="H145" s="30" t="s">
        <v>461</v>
      </c>
      <c r="I145" s="34" t="s">
        <v>685</v>
      </c>
      <c r="J145" s="34" t="s">
        <v>135</v>
      </c>
      <c r="K145" s="580">
        <f>26.64*7%</f>
        <v>1.8648000000000002</v>
      </c>
      <c r="L145" s="580">
        <v>2080</v>
      </c>
      <c r="M145" s="580"/>
      <c r="N145" s="580">
        <f t="shared" si="70"/>
        <v>3878.7840000000006</v>
      </c>
      <c r="O145" s="580"/>
      <c r="P145" s="580">
        <f t="shared" si="71"/>
        <v>1388.6046720000002</v>
      </c>
      <c r="Q145" s="580">
        <f t="shared" si="72"/>
        <v>56.242368000000013</v>
      </c>
      <c r="R145" s="580">
        <v>0</v>
      </c>
      <c r="S145" s="580"/>
      <c r="T145" s="580"/>
      <c r="U145" s="580"/>
      <c r="V145" s="473">
        <f t="shared" ref="V145" si="166">SUM(N145:U145)</f>
        <v>5323.6310400000011</v>
      </c>
      <c r="W145" s="580">
        <f t="shared" ref="W145" si="167">IF(P145&lt;&gt;"",V145*$W$27,0)</f>
        <v>0</v>
      </c>
      <c r="X145" s="580"/>
      <c r="Y145" s="581">
        <f t="shared" ref="Y145" si="168">X145+W145+V145</f>
        <v>5323.6310400000011</v>
      </c>
    </row>
    <row r="146" spans="1:26" ht="12.75" customHeight="1" x14ac:dyDescent="0.2">
      <c r="A146" s="30"/>
      <c r="B146" s="30"/>
      <c r="C146" s="30" t="s">
        <v>256</v>
      </c>
      <c r="D146" s="426">
        <v>615</v>
      </c>
      <c r="E146" s="30" t="s">
        <v>354</v>
      </c>
      <c r="F146" s="30" t="s">
        <v>6</v>
      </c>
      <c r="G146" s="30" t="s">
        <v>454</v>
      </c>
      <c r="H146" s="30" t="s">
        <v>461</v>
      </c>
      <c r="I146" s="34" t="s">
        <v>685</v>
      </c>
      <c r="J146" s="34" t="s">
        <v>692</v>
      </c>
      <c r="K146" s="580">
        <f>26.64*3%</f>
        <v>0.79920000000000002</v>
      </c>
      <c r="L146" s="580">
        <v>2080</v>
      </c>
      <c r="M146" s="580"/>
      <c r="N146" s="580">
        <f t="shared" si="70"/>
        <v>1662.336</v>
      </c>
      <c r="O146" s="580"/>
      <c r="P146" s="580">
        <f t="shared" si="71"/>
        <v>595.11628799999994</v>
      </c>
      <c r="Q146" s="580">
        <f t="shared" si="72"/>
        <v>24.103872000000003</v>
      </c>
      <c r="R146" s="580">
        <v>0</v>
      </c>
      <c r="S146" s="580"/>
      <c r="T146" s="580"/>
      <c r="U146" s="580"/>
      <c r="V146" s="473">
        <f t="shared" ref="V146" si="169">SUM(N146:U146)</f>
        <v>2281.5561600000001</v>
      </c>
      <c r="W146" s="580">
        <f t="shared" ref="W146" si="170">IF(P146&lt;&gt;"",V146*$W$27,0)</f>
        <v>0</v>
      </c>
      <c r="X146" s="580"/>
      <c r="Y146" s="581">
        <f t="shared" ref="Y146" si="171">X146+W146+V146</f>
        <v>2281.5561600000001</v>
      </c>
      <c r="Z146" s="432"/>
    </row>
    <row r="147" spans="1:26" ht="12.75" customHeight="1" x14ac:dyDescent="0.2">
      <c r="A147" s="30"/>
      <c r="B147" s="30"/>
      <c r="C147" s="30" t="s">
        <v>256</v>
      </c>
      <c r="D147" s="426">
        <v>615</v>
      </c>
      <c r="E147" s="30" t="s">
        <v>354</v>
      </c>
      <c r="F147" s="30" t="s">
        <v>6</v>
      </c>
      <c r="G147" s="30" t="s">
        <v>454</v>
      </c>
      <c r="H147" s="30" t="s">
        <v>461</v>
      </c>
      <c r="I147" s="34" t="s">
        <v>685</v>
      </c>
      <c r="J147" s="34" t="s">
        <v>114</v>
      </c>
      <c r="K147" s="580">
        <f>26.64*27%</f>
        <v>7.192800000000001</v>
      </c>
      <c r="L147" s="580">
        <v>2080</v>
      </c>
      <c r="M147" s="580"/>
      <c r="N147" s="580">
        <f t="shared" si="70"/>
        <v>14961.024000000001</v>
      </c>
      <c r="O147" s="580"/>
      <c r="P147" s="580">
        <f t="shared" si="71"/>
        <v>5356.0465920000006</v>
      </c>
      <c r="Q147" s="580">
        <f t="shared" si="72"/>
        <v>216.93484800000002</v>
      </c>
      <c r="R147" s="580">
        <v>0</v>
      </c>
      <c r="S147" s="580"/>
      <c r="T147" s="580"/>
      <c r="U147" s="580"/>
      <c r="V147" s="473">
        <f t="shared" ref="V147" si="172">SUM(N147:U147)</f>
        <v>20534.005440000004</v>
      </c>
      <c r="W147" s="580">
        <f t="shared" ref="W147" si="173">IF(P147&lt;&gt;"",V147*$W$27,0)</f>
        <v>0</v>
      </c>
      <c r="X147" s="580"/>
      <c r="Y147" s="581">
        <f t="shared" ref="Y147" si="174">X147+W147+V147</f>
        <v>20534.005440000004</v>
      </c>
      <c r="Z147" s="432"/>
    </row>
    <row r="148" spans="1:26" s="432" customFormat="1" ht="12.75" customHeight="1" x14ac:dyDescent="0.2">
      <c r="A148" s="30"/>
      <c r="B148" s="30"/>
      <c r="C148" s="30" t="s">
        <v>256</v>
      </c>
      <c r="D148" s="426">
        <v>615</v>
      </c>
      <c r="E148" s="30" t="s">
        <v>354</v>
      </c>
      <c r="F148" s="30" t="s">
        <v>6</v>
      </c>
      <c r="G148" s="30" t="s">
        <v>454</v>
      </c>
      <c r="H148" s="30" t="s">
        <v>461</v>
      </c>
      <c r="I148" s="34" t="s">
        <v>685</v>
      </c>
      <c r="J148" s="34" t="s">
        <v>117</v>
      </c>
      <c r="K148" s="580">
        <f>26.64*51%</f>
        <v>13.586400000000001</v>
      </c>
      <c r="L148" s="580">
        <v>2080</v>
      </c>
      <c r="M148" s="580"/>
      <c r="N148" s="580">
        <f t="shared" si="70"/>
        <v>28259.712000000003</v>
      </c>
      <c r="O148" s="580"/>
      <c r="P148" s="580">
        <f t="shared" si="71"/>
        <v>10116.976896</v>
      </c>
      <c r="Q148" s="580">
        <f t="shared" si="72"/>
        <v>409.76582400000007</v>
      </c>
      <c r="R148" s="580">
        <v>0</v>
      </c>
      <c r="S148" s="580"/>
      <c r="T148" s="580"/>
      <c r="U148" s="580"/>
      <c r="V148" s="473">
        <f t="shared" ref="V148" si="175">SUM(N148:U148)</f>
        <v>38786.454720000009</v>
      </c>
      <c r="W148" s="580">
        <f t="shared" ref="W148" si="176">IF(P148&lt;&gt;"",V148*$W$27,0)</f>
        <v>0</v>
      </c>
      <c r="X148" s="580"/>
      <c r="Y148" s="581">
        <f t="shared" ref="Y148" si="177">X148+W148+V148</f>
        <v>38786.454720000009</v>
      </c>
    </row>
    <row r="149" spans="1:26" s="432" customFormat="1" ht="12.75" customHeight="1" x14ac:dyDescent="0.2">
      <c r="A149" s="30">
        <v>190072</v>
      </c>
      <c r="B149" s="30"/>
      <c r="C149" s="34" t="s">
        <v>1416</v>
      </c>
      <c r="D149" s="426" t="s">
        <v>333</v>
      </c>
      <c r="E149" s="30" t="s">
        <v>747</v>
      </c>
      <c r="F149" s="34" t="s">
        <v>453</v>
      </c>
      <c r="G149" s="34" t="s">
        <v>792</v>
      </c>
      <c r="H149" s="30" t="s">
        <v>461</v>
      </c>
      <c r="I149" s="34" t="s">
        <v>27</v>
      </c>
      <c r="J149" s="34" t="s">
        <v>62</v>
      </c>
      <c r="K149" s="580">
        <v>50</v>
      </c>
      <c r="L149" s="580">
        <v>18</v>
      </c>
      <c r="M149" s="580"/>
      <c r="N149" s="580">
        <f>IF(H149="1",(L149*K149)+(M149*K149),0)</f>
        <v>900</v>
      </c>
      <c r="O149" s="580"/>
      <c r="P149" s="580">
        <v>0</v>
      </c>
      <c r="Q149" s="580">
        <f>N149*$Q$27</f>
        <v>13.05</v>
      </c>
      <c r="R149" s="580">
        <f>N149*$R$27</f>
        <v>55.8</v>
      </c>
      <c r="S149" s="580">
        <v>0</v>
      </c>
      <c r="T149" s="580"/>
      <c r="U149" s="580"/>
      <c r="V149" s="473">
        <f t="shared" ref="V149" si="178">SUM(N149:U149)</f>
        <v>968.84999999999991</v>
      </c>
      <c r="W149" s="580">
        <f t="shared" ref="W149" si="179">IF(P149&lt;&gt;"",V149*$W$27,0)</f>
        <v>0</v>
      </c>
      <c r="X149" s="580"/>
      <c r="Y149" s="581">
        <f t="shared" ref="Y149" si="180">X149+W149+V149</f>
        <v>968.84999999999991</v>
      </c>
    </row>
    <row r="150" spans="1:26" s="432" customFormat="1" ht="12.75" customHeight="1" x14ac:dyDescent="0.2">
      <c r="A150" s="30">
        <v>220276</v>
      </c>
      <c r="B150" s="30"/>
      <c r="C150" s="30" t="s">
        <v>261</v>
      </c>
      <c r="D150" s="426">
        <v>615</v>
      </c>
      <c r="E150" s="30" t="s">
        <v>363</v>
      </c>
      <c r="F150" s="30" t="s">
        <v>6</v>
      </c>
      <c r="G150" s="30" t="s">
        <v>454</v>
      </c>
      <c r="H150" s="30" t="s">
        <v>461</v>
      </c>
      <c r="I150" s="34" t="s">
        <v>41</v>
      </c>
      <c r="J150" s="34" t="s">
        <v>692</v>
      </c>
      <c r="K150" s="580">
        <f>32.94*20%</f>
        <v>6.5880000000000001</v>
      </c>
      <c r="L150" s="580">
        <v>2080</v>
      </c>
      <c r="M150" s="580"/>
      <c r="N150" s="580">
        <f>IF(H150="1",(L150*K150)+(M150*K150),0)</f>
        <v>13703.04</v>
      </c>
      <c r="O150" s="580"/>
      <c r="P150" s="580">
        <f>(N150-(M150*K150))*$P$27</f>
        <v>4905.6883200000002</v>
      </c>
      <c r="Q150" s="580">
        <f>N150*$Q$27</f>
        <v>198.69408000000001</v>
      </c>
      <c r="R150" s="580">
        <v>0</v>
      </c>
      <c r="S150" s="580">
        <f>IF(H150="1",3242.52*2,0)</f>
        <v>6485.04</v>
      </c>
      <c r="T150" s="580">
        <f>IF(H150="1",240*2,0)</f>
        <v>480</v>
      </c>
      <c r="U150" s="580">
        <v>0</v>
      </c>
      <c r="V150" s="473">
        <f t="shared" ref="V150" si="181">SUM(N150:U150)</f>
        <v>25772.462400000004</v>
      </c>
      <c r="W150" s="580">
        <f t="shared" ref="W150" si="182">IF(P150&lt;&gt;"",V150*$W$27,0)</f>
        <v>0</v>
      </c>
      <c r="X150" s="580"/>
      <c r="Y150" s="581">
        <f t="shared" ref="Y150" si="183">X150+W150+V150</f>
        <v>25772.462400000004</v>
      </c>
    </row>
    <row r="151" spans="1:26" s="432" customFormat="1" ht="12.75" customHeight="1" x14ac:dyDescent="0.2">
      <c r="A151" s="30"/>
      <c r="B151" s="30"/>
      <c r="C151" s="30" t="s">
        <v>261</v>
      </c>
      <c r="D151" s="426">
        <v>615</v>
      </c>
      <c r="E151" s="30" t="s">
        <v>363</v>
      </c>
      <c r="F151" s="30" t="s">
        <v>6</v>
      </c>
      <c r="G151" s="30" t="s">
        <v>454</v>
      </c>
      <c r="H151" s="30" t="s">
        <v>461</v>
      </c>
      <c r="I151" s="34" t="s">
        <v>41</v>
      </c>
      <c r="J151" s="34" t="s">
        <v>137</v>
      </c>
      <c r="K151" s="580">
        <f>32.94*10%</f>
        <v>3.294</v>
      </c>
      <c r="L151" s="580">
        <v>2080</v>
      </c>
      <c r="M151" s="580"/>
      <c r="N151" s="580">
        <f t="shared" ref="N151:N154" si="184">IF(H151="1",(L151*K151)+(M151*K151),0)</f>
        <v>6851.52</v>
      </c>
      <c r="O151" s="580"/>
      <c r="P151" s="580">
        <f t="shared" ref="P151:P154" si="185">(N151-(M151*K151))*$P$27</f>
        <v>2452.8441600000001</v>
      </c>
      <c r="Q151" s="580">
        <f t="shared" ref="Q151:Q154" si="186">N151*$Q$27</f>
        <v>99.347040000000007</v>
      </c>
      <c r="R151" s="580">
        <v>0</v>
      </c>
      <c r="S151" s="580"/>
      <c r="T151" s="580"/>
      <c r="U151" s="580"/>
      <c r="V151" s="473">
        <f t="shared" ref="V151" si="187">SUM(N151:U151)</f>
        <v>9403.7112000000016</v>
      </c>
      <c r="W151" s="580">
        <f t="shared" ref="W151" si="188">IF(P151&lt;&gt;"",V151*$W$27,0)</f>
        <v>0</v>
      </c>
      <c r="X151" s="580"/>
      <c r="Y151" s="581">
        <f t="shared" ref="Y151" si="189">X151+W151+V151</f>
        <v>9403.7112000000016</v>
      </c>
    </row>
    <row r="152" spans="1:26" ht="12.75" customHeight="1" x14ac:dyDescent="0.2">
      <c r="A152" s="30"/>
      <c r="B152" s="30"/>
      <c r="C152" s="30" t="s">
        <v>261</v>
      </c>
      <c r="D152" s="426">
        <v>615</v>
      </c>
      <c r="E152" s="30" t="s">
        <v>363</v>
      </c>
      <c r="F152" s="30" t="s">
        <v>6</v>
      </c>
      <c r="G152" s="30" t="s">
        <v>454</v>
      </c>
      <c r="H152" s="30" t="s">
        <v>461</v>
      </c>
      <c r="I152" s="34" t="s">
        <v>41</v>
      </c>
      <c r="J152" s="34" t="s">
        <v>1477</v>
      </c>
      <c r="K152" s="580">
        <f>32.94*11%</f>
        <v>3.6233999999999997</v>
      </c>
      <c r="L152" s="580">
        <v>2080</v>
      </c>
      <c r="M152" s="580"/>
      <c r="N152" s="580">
        <f t="shared" si="184"/>
        <v>7536.6719999999996</v>
      </c>
      <c r="O152" s="580"/>
      <c r="P152" s="580">
        <f t="shared" si="185"/>
        <v>2698.1285759999996</v>
      </c>
      <c r="Q152" s="580">
        <f t="shared" si="186"/>
        <v>109.281744</v>
      </c>
      <c r="R152" s="580">
        <v>0</v>
      </c>
      <c r="S152" s="580"/>
      <c r="T152" s="580"/>
      <c r="U152" s="580"/>
      <c r="V152" s="473">
        <f t="shared" ref="V152" si="190">SUM(N152:U152)</f>
        <v>10344.08232</v>
      </c>
      <c r="W152" s="580">
        <f t="shared" ref="W152" si="191">IF(P152&lt;&gt;"",V152*$W$27,0)</f>
        <v>0</v>
      </c>
      <c r="X152" s="580"/>
      <c r="Y152" s="581">
        <f t="shared" ref="Y152" si="192">X152+W152+V152</f>
        <v>10344.08232</v>
      </c>
      <c r="Z152" s="432"/>
    </row>
    <row r="153" spans="1:26" ht="12.75" customHeight="1" x14ac:dyDescent="0.2">
      <c r="A153" s="30"/>
      <c r="B153" s="30"/>
      <c r="C153" s="30" t="s">
        <v>261</v>
      </c>
      <c r="D153" s="426">
        <v>615</v>
      </c>
      <c r="E153" s="30" t="s">
        <v>363</v>
      </c>
      <c r="F153" s="30" t="s">
        <v>6</v>
      </c>
      <c r="G153" s="30" t="s">
        <v>454</v>
      </c>
      <c r="H153" s="30" t="s">
        <v>461</v>
      </c>
      <c r="I153" s="34" t="s">
        <v>41</v>
      </c>
      <c r="J153" s="34" t="s">
        <v>114</v>
      </c>
      <c r="K153" s="580">
        <f>32.94*35%</f>
        <v>11.528999999999998</v>
      </c>
      <c r="L153" s="580">
        <v>2080</v>
      </c>
      <c r="M153" s="580"/>
      <c r="N153" s="580">
        <f t="shared" si="184"/>
        <v>23980.319999999996</v>
      </c>
      <c r="O153" s="580"/>
      <c r="P153" s="580">
        <f t="shared" si="185"/>
        <v>8584.9545599999983</v>
      </c>
      <c r="Q153" s="580">
        <f t="shared" si="186"/>
        <v>347.71463999999997</v>
      </c>
      <c r="R153" s="580">
        <v>0</v>
      </c>
      <c r="S153" s="580"/>
      <c r="T153" s="580"/>
      <c r="U153" s="580"/>
      <c r="V153" s="473">
        <f t="shared" ref="V153" si="193">SUM(N153:U153)</f>
        <v>32912.989199999996</v>
      </c>
      <c r="W153" s="580">
        <f t="shared" ref="W153" si="194">IF(P153&lt;&gt;"",V153*$W$27,0)</f>
        <v>0</v>
      </c>
      <c r="X153" s="580"/>
      <c r="Y153" s="581">
        <f t="shared" ref="Y153" si="195">X153+W153+V153</f>
        <v>32912.989199999996</v>
      </c>
      <c r="Z153" s="432"/>
    </row>
    <row r="154" spans="1:26" s="432" customFormat="1" ht="12.75" customHeight="1" x14ac:dyDescent="0.2">
      <c r="A154" s="30"/>
      <c r="B154" s="30"/>
      <c r="C154" s="30" t="s">
        <v>261</v>
      </c>
      <c r="D154" s="426">
        <v>615</v>
      </c>
      <c r="E154" s="30" t="s">
        <v>363</v>
      </c>
      <c r="F154" s="30" t="s">
        <v>6</v>
      </c>
      <c r="G154" s="30" t="s">
        <v>454</v>
      </c>
      <c r="H154" s="30" t="s">
        <v>461</v>
      </c>
      <c r="I154" s="34" t="s">
        <v>41</v>
      </c>
      <c r="J154" s="34" t="s">
        <v>117</v>
      </c>
      <c r="K154" s="580">
        <f>32.94*24%</f>
        <v>7.9055999999999989</v>
      </c>
      <c r="L154" s="580">
        <v>2080</v>
      </c>
      <c r="M154" s="580"/>
      <c r="N154" s="580">
        <f t="shared" si="184"/>
        <v>16443.647999999997</v>
      </c>
      <c r="O154" s="580"/>
      <c r="P154" s="580">
        <f t="shared" si="185"/>
        <v>5886.8259839999992</v>
      </c>
      <c r="Q154" s="580">
        <f t="shared" si="186"/>
        <v>238.43289599999997</v>
      </c>
      <c r="R154" s="580">
        <v>0</v>
      </c>
      <c r="S154" s="580"/>
      <c r="T154" s="580"/>
      <c r="U154" s="580"/>
      <c r="V154" s="473">
        <f t="shared" ref="V154" si="196">SUM(N154:U154)</f>
        <v>22568.906879999995</v>
      </c>
      <c r="W154" s="580">
        <f t="shared" ref="W154" si="197">IF(P154&lt;&gt;"",V154*$W$27,0)</f>
        <v>0</v>
      </c>
      <c r="X154" s="580"/>
      <c r="Y154" s="581">
        <f t="shared" ref="Y154" si="198">X154+W154+V154</f>
        <v>22568.906879999995</v>
      </c>
    </row>
    <row r="155" spans="1:26" s="432" customFormat="1" ht="12.75" customHeight="1" x14ac:dyDescent="0.2">
      <c r="A155" s="30">
        <v>89062</v>
      </c>
      <c r="B155" s="30"/>
      <c r="C155" s="30" t="s">
        <v>281</v>
      </c>
      <c r="D155" s="426">
        <v>615</v>
      </c>
      <c r="E155" s="30" t="s">
        <v>354</v>
      </c>
      <c r="F155" s="30" t="s">
        <v>6</v>
      </c>
      <c r="G155" s="30" t="s">
        <v>454</v>
      </c>
      <c r="H155" s="30" t="s">
        <v>461</v>
      </c>
      <c r="I155" s="34" t="s">
        <v>38</v>
      </c>
      <c r="J155" s="34" t="s">
        <v>128</v>
      </c>
      <c r="K155" s="580">
        <v>22.66</v>
      </c>
      <c r="L155" s="580">
        <v>2080</v>
      </c>
      <c r="M155" s="580"/>
      <c r="N155" s="580">
        <f>IF(H155="1",(L155*K155)+(M155*K155),0)</f>
        <v>47132.800000000003</v>
      </c>
      <c r="O155" s="580"/>
      <c r="P155" s="580">
        <f>(N155-(M155*K155))*$P$27</f>
        <v>16873.542400000002</v>
      </c>
      <c r="Q155" s="580">
        <f>N155*$Q$27</f>
        <v>683.42560000000003</v>
      </c>
      <c r="R155" s="580">
        <v>0</v>
      </c>
      <c r="S155" s="580">
        <f>IF(H155="1",3242.52*2,0)</f>
        <v>6485.04</v>
      </c>
      <c r="T155" s="580">
        <f>IF(H155="1",527.28*2,0)</f>
        <v>1054.56</v>
      </c>
      <c r="U155" s="580">
        <v>0</v>
      </c>
      <c r="V155" s="473">
        <f t="shared" ref="V155" si="199">SUM(N155:U155)</f>
        <v>72229.368000000002</v>
      </c>
      <c r="W155" s="580">
        <f t="shared" ref="W155" si="200">IF(P155&lt;&gt;"",V155*$W$27,0)</f>
        <v>0</v>
      </c>
      <c r="X155" s="580"/>
      <c r="Y155" s="581">
        <f t="shared" ref="Y155" si="201">X155+W155+V155</f>
        <v>72229.368000000002</v>
      </c>
    </row>
    <row r="156" spans="1:26" s="432" customFormat="1" ht="12.75" customHeight="1" x14ac:dyDescent="0.2">
      <c r="A156" s="30">
        <v>133917</v>
      </c>
      <c r="B156" s="30"/>
      <c r="C156" s="30" t="s">
        <v>301</v>
      </c>
      <c r="D156" s="426">
        <v>622</v>
      </c>
      <c r="E156" s="30" t="s">
        <v>373</v>
      </c>
      <c r="F156" s="30" t="s">
        <v>6</v>
      </c>
      <c r="G156" s="30" t="s">
        <v>454</v>
      </c>
      <c r="H156" s="30" t="s">
        <v>461</v>
      </c>
      <c r="I156" s="34" t="s">
        <v>39</v>
      </c>
      <c r="J156" s="34" t="s">
        <v>692</v>
      </c>
      <c r="K156" s="580">
        <f>56.93*14%</f>
        <v>7.9702000000000011</v>
      </c>
      <c r="L156" s="580">
        <v>2080</v>
      </c>
      <c r="M156" s="580"/>
      <c r="N156" s="580">
        <f>IF(H156="1",(L156*K156)+(M156*K156),0)</f>
        <v>16578.016000000003</v>
      </c>
      <c r="O156" s="580"/>
      <c r="P156" s="580">
        <f>(N156-(M156*K156))*$P$27</f>
        <v>5934.929728000001</v>
      </c>
      <c r="Q156" s="580">
        <f>N156*$Q$27</f>
        <v>240.38123200000007</v>
      </c>
      <c r="R156" s="580">
        <v>0</v>
      </c>
      <c r="S156" s="580">
        <f>IF(H156="1",2828.52*2,0)</f>
        <v>5657.04</v>
      </c>
      <c r="T156" s="580">
        <f>IF(H156="1",311.88*2,0)</f>
        <v>623.76</v>
      </c>
      <c r="U156" s="580">
        <v>0</v>
      </c>
      <c r="V156" s="473">
        <f t="shared" ref="V156" si="202">SUM(N156:U156)</f>
        <v>29034.126960000005</v>
      </c>
      <c r="W156" s="580">
        <f t="shared" ref="W156" si="203">IF(P156&lt;&gt;"",V156*$W$27,0)</f>
        <v>0</v>
      </c>
      <c r="X156" s="580"/>
      <c r="Y156" s="581">
        <f t="shared" ref="Y156" si="204">X156+W156+V156</f>
        <v>29034.126960000005</v>
      </c>
    </row>
    <row r="157" spans="1:26" s="432" customFormat="1" ht="12.75" customHeight="1" x14ac:dyDescent="0.2">
      <c r="A157" s="30"/>
      <c r="B157" s="30"/>
      <c r="C157" s="30" t="s">
        <v>301</v>
      </c>
      <c r="D157" s="426">
        <v>622</v>
      </c>
      <c r="E157" s="30" t="s">
        <v>373</v>
      </c>
      <c r="F157" s="30" t="s">
        <v>6</v>
      </c>
      <c r="G157" s="30" t="s">
        <v>454</v>
      </c>
      <c r="H157" s="30" t="s">
        <v>461</v>
      </c>
      <c r="I157" s="34" t="s">
        <v>39</v>
      </c>
      <c r="J157" s="34" t="s">
        <v>161</v>
      </c>
      <c r="K157" s="580">
        <f>56.93*5%</f>
        <v>2.8465000000000003</v>
      </c>
      <c r="L157" s="580">
        <v>2080</v>
      </c>
      <c r="M157" s="580"/>
      <c r="N157" s="580">
        <f t="shared" ref="N157:N162" si="205">IF(H157="1",(L157*K157)+(M157*K157),0)</f>
        <v>5920.72</v>
      </c>
      <c r="O157" s="580"/>
      <c r="P157" s="580">
        <f t="shared" ref="P157:P162" si="206">(N157-(M157*K157))*$P$27</f>
        <v>2119.6177600000001</v>
      </c>
      <c r="Q157" s="580">
        <f t="shared" ref="Q157:Q162" si="207">N157*$Q$27</f>
        <v>85.850440000000006</v>
      </c>
      <c r="R157" s="580">
        <v>0</v>
      </c>
      <c r="S157" s="580"/>
      <c r="T157" s="580"/>
      <c r="U157" s="580"/>
      <c r="V157" s="473">
        <f t="shared" ref="V157" si="208">SUM(N157:U157)</f>
        <v>8126.1882000000005</v>
      </c>
      <c r="W157" s="580">
        <f t="shared" ref="W157" si="209">IF(P157&lt;&gt;"",V157*$W$27,0)</f>
        <v>0</v>
      </c>
      <c r="X157" s="580"/>
      <c r="Y157" s="581">
        <f t="shared" ref="Y157" si="210">X157+W157+V157</f>
        <v>8126.1882000000005</v>
      </c>
    </row>
    <row r="158" spans="1:26" s="432" customFormat="1" ht="12.75" customHeight="1" x14ac:dyDescent="0.2">
      <c r="A158" s="30"/>
      <c r="B158" s="30"/>
      <c r="C158" s="30" t="s">
        <v>301</v>
      </c>
      <c r="D158" s="426">
        <v>622</v>
      </c>
      <c r="E158" s="30" t="s">
        <v>373</v>
      </c>
      <c r="F158" s="30" t="s">
        <v>6</v>
      </c>
      <c r="G158" s="30" t="s">
        <v>454</v>
      </c>
      <c r="H158" s="30" t="s">
        <v>461</v>
      </c>
      <c r="I158" s="34" t="s">
        <v>39</v>
      </c>
      <c r="J158" s="34" t="s">
        <v>114</v>
      </c>
      <c r="K158" s="580">
        <f>56.93*22.5%</f>
        <v>12.80925</v>
      </c>
      <c r="L158" s="580">
        <v>2080</v>
      </c>
      <c r="M158" s="580"/>
      <c r="N158" s="580">
        <f t="shared" si="205"/>
        <v>26643.24</v>
      </c>
      <c r="O158" s="580"/>
      <c r="P158" s="580">
        <f t="shared" si="206"/>
        <v>9538.2799200000009</v>
      </c>
      <c r="Q158" s="580">
        <f t="shared" si="207"/>
        <v>386.32698000000005</v>
      </c>
      <c r="R158" s="580">
        <v>0</v>
      </c>
      <c r="S158" s="580"/>
      <c r="T158" s="580"/>
      <c r="U158" s="580"/>
      <c r="V158" s="473">
        <f t="shared" ref="V158" si="211">SUM(N158:U158)</f>
        <v>36567.846900000004</v>
      </c>
      <c r="W158" s="580">
        <f t="shared" ref="W158" si="212">IF(P158&lt;&gt;"",V158*$W$27,0)</f>
        <v>0</v>
      </c>
      <c r="X158" s="580"/>
      <c r="Y158" s="581">
        <f t="shared" ref="Y158" si="213">X158+W158+V158</f>
        <v>36567.846900000004</v>
      </c>
    </row>
    <row r="159" spans="1:26" s="432" customFormat="1" ht="12.75" customHeight="1" x14ac:dyDescent="0.2">
      <c r="A159" s="30"/>
      <c r="B159" s="30"/>
      <c r="C159" s="30" t="s">
        <v>301</v>
      </c>
      <c r="D159" s="426">
        <v>622</v>
      </c>
      <c r="E159" s="30" t="s">
        <v>373</v>
      </c>
      <c r="F159" s="30" t="s">
        <v>6</v>
      </c>
      <c r="G159" s="30" t="s">
        <v>454</v>
      </c>
      <c r="H159" s="30" t="s">
        <v>461</v>
      </c>
      <c r="I159" s="34" t="s">
        <v>39</v>
      </c>
      <c r="J159" s="34" t="s">
        <v>796</v>
      </c>
      <c r="K159" s="580">
        <f>56.93*5%</f>
        <v>2.8465000000000003</v>
      </c>
      <c r="L159" s="580">
        <v>2080</v>
      </c>
      <c r="M159" s="580"/>
      <c r="N159" s="580">
        <f t="shared" si="205"/>
        <v>5920.72</v>
      </c>
      <c r="O159" s="580"/>
      <c r="P159" s="580">
        <f t="shared" si="206"/>
        <v>2119.6177600000001</v>
      </c>
      <c r="Q159" s="580">
        <f t="shared" si="207"/>
        <v>85.850440000000006</v>
      </c>
      <c r="R159" s="580">
        <v>0</v>
      </c>
      <c r="S159" s="580"/>
      <c r="T159" s="580"/>
      <c r="U159" s="580"/>
      <c r="V159" s="473">
        <f t="shared" ref="V159" si="214">SUM(N159:U159)</f>
        <v>8126.1882000000005</v>
      </c>
      <c r="W159" s="580">
        <f t="shared" ref="W159" si="215">IF(P159&lt;&gt;"",V159*$W$27,0)</f>
        <v>0</v>
      </c>
      <c r="X159" s="580"/>
      <c r="Y159" s="581">
        <f t="shared" ref="Y159" si="216">X159+W159+V159</f>
        <v>8126.1882000000005</v>
      </c>
    </row>
    <row r="160" spans="1:26" ht="12.75" customHeight="1" x14ac:dyDescent="0.2">
      <c r="A160" s="30"/>
      <c r="B160" s="30"/>
      <c r="C160" s="30" t="s">
        <v>301</v>
      </c>
      <c r="D160" s="426">
        <v>622</v>
      </c>
      <c r="E160" s="30" t="s">
        <v>373</v>
      </c>
      <c r="F160" s="30" t="s">
        <v>6</v>
      </c>
      <c r="G160" s="30" t="s">
        <v>454</v>
      </c>
      <c r="H160" s="30" t="s">
        <v>461</v>
      </c>
      <c r="I160" s="34" t="s">
        <v>39</v>
      </c>
      <c r="J160" s="34" t="s">
        <v>117</v>
      </c>
      <c r="K160" s="580">
        <f>56.93*22.5%</f>
        <v>12.80925</v>
      </c>
      <c r="L160" s="580">
        <v>2080</v>
      </c>
      <c r="M160" s="580"/>
      <c r="N160" s="580">
        <f t="shared" si="205"/>
        <v>26643.24</v>
      </c>
      <c r="O160" s="580"/>
      <c r="P160" s="580">
        <f t="shared" si="206"/>
        <v>9538.2799200000009</v>
      </c>
      <c r="Q160" s="580">
        <f t="shared" si="207"/>
        <v>386.32698000000005</v>
      </c>
      <c r="R160" s="580">
        <v>0</v>
      </c>
      <c r="S160" s="580"/>
      <c r="T160" s="580"/>
      <c r="U160" s="580"/>
      <c r="V160" s="473">
        <f t="shared" ref="V160" si="217">SUM(N160:U160)</f>
        <v>36567.846900000004</v>
      </c>
      <c r="W160" s="580">
        <f t="shared" ref="W160" si="218">IF(P160&lt;&gt;"",V160*$W$27,0)</f>
        <v>0</v>
      </c>
      <c r="X160" s="580"/>
      <c r="Y160" s="581">
        <f t="shared" ref="Y160" si="219">X160+W160+V160</f>
        <v>36567.846900000004</v>
      </c>
      <c r="Z160" s="432"/>
    </row>
    <row r="161" spans="1:26" ht="12.75" customHeight="1" x14ac:dyDescent="0.2">
      <c r="A161" s="30"/>
      <c r="B161" s="30"/>
      <c r="C161" s="30" t="s">
        <v>301</v>
      </c>
      <c r="D161" s="426">
        <v>622</v>
      </c>
      <c r="E161" s="30" t="s">
        <v>373</v>
      </c>
      <c r="F161" s="30" t="s">
        <v>6</v>
      </c>
      <c r="G161" s="30" t="s">
        <v>454</v>
      </c>
      <c r="H161" s="30" t="s">
        <v>461</v>
      </c>
      <c r="I161" s="34" t="s">
        <v>39</v>
      </c>
      <c r="J161" s="34" t="s">
        <v>121</v>
      </c>
      <c r="K161" s="580">
        <f>56.93*22%</f>
        <v>12.5246</v>
      </c>
      <c r="L161" s="580">
        <v>2080</v>
      </c>
      <c r="M161" s="580"/>
      <c r="N161" s="580">
        <f t="shared" si="205"/>
        <v>26051.167999999998</v>
      </c>
      <c r="O161" s="580"/>
      <c r="P161" s="580">
        <f t="shared" si="206"/>
        <v>9326.3181439999989</v>
      </c>
      <c r="Q161" s="580">
        <f t="shared" si="207"/>
        <v>377.74193600000001</v>
      </c>
      <c r="R161" s="580">
        <v>0</v>
      </c>
      <c r="S161" s="580"/>
      <c r="T161" s="580"/>
      <c r="U161" s="580"/>
      <c r="V161" s="473">
        <f t="shared" ref="V161" si="220">SUM(N161:U161)</f>
        <v>35755.228079999993</v>
      </c>
      <c r="W161" s="580">
        <f t="shared" ref="W161" si="221">IF(P161&lt;&gt;"",V161*$W$27,0)</f>
        <v>0</v>
      </c>
      <c r="X161" s="580"/>
      <c r="Y161" s="581">
        <f t="shared" ref="Y161" si="222">X161+W161+V161</f>
        <v>35755.228079999993</v>
      </c>
      <c r="Z161" s="432"/>
    </row>
    <row r="162" spans="1:26" ht="12.75" customHeight="1" x14ac:dyDescent="0.2">
      <c r="A162" s="30"/>
      <c r="B162" s="30"/>
      <c r="C162" s="30" t="s">
        <v>301</v>
      </c>
      <c r="D162" s="426">
        <v>622</v>
      </c>
      <c r="E162" s="30" t="s">
        <v>373</v>
      </c>
      <c r="F162" s="30" t="s">
        <v>6</v>
      </c>
      <c r="G162" s="30" t="s">
        <v>454</v>
      </c>
      <c r="H162" s="30" t="s">
        <v>461</v>
      </c>
      <c r="I162" s="34" t="s">
        <v>39</v>
      </c>
      <c r="J162" s="34" t="s">
        <v>1459</v>
      </c>
      <c r="K162" s="580">
        <f t="shared" ref="K162" si="223">56.93*9%</f>
        <v>5.1236999999999995</v>
      </c>
      <c r="L162" s="580">
        <v>2080</v>
      </c>
      <c r="M162" s="580"/>
      <c r="N162" s="580">
        <f t="shared" si="205"/>
        <v>10657.295999999998</v>
      </c>
      <c r="O162" s="580"/>
      <c r="P162" s="580">
        <f t="shared" si="206"/>
        <v>3815.3119679999991</v>
      </c>
      <c r="Q162" s="580">
        <f t="shared" si="207"/>
        <v>154.53079199999999</v>
      </c>
      <c r="R162" s="580">
        <v>0</v>
      </c>
      <c r="S162" s="580"/>
      <c r="T162" s="580"/>
      <c r="U162" s="580"/>
      <c r="V162" s="473">
        <f t="shared" ref="V162" si="224">SUM(N162:U162)</f>
        <v>14627.138759999996</v>
      </c>
      <c r="W162" s="580">
        <f t="shared" ref="W162" si="225">IF(P162&lt;&gt;"",V162*$W$27,0)</f>
        <v>0</v>
      </c>
      <c r="X162" s="580"/>
      <c r="Y162" s="581">
        <f t="shared" ref="Y162" si="226">X162+W162+V162</f>
        <v>14627.138759999996</v>
      </c>
      <c r="Z162" s="432"/>
    </row>
    <row r="163" spans="1:26" s="432" customFormat="1" ht="12.75" customHeight="1" x14ac:dyDescent="0.2">
      <c r="A163" s="30">
        <v>273264</v>
      </c>
      <c r="B163" s="30"/>
      <c r="C163" s="34" t="s">
        <v>748</v>
      </c>
      <c r="D163" s="426" t="s">
        <v>333</v>
      </c>
      <c r="E163" s="30" t="s">
        <v>747</v>
      </c>
      <c r="F163" s="34" t="s">
        <v>453</v>
      </c>
      <c r="G163" s="34" t="s">
        <v>792</v>
      </c>
      <c r="H163" s="30" t="s">
        <v>461</v>
      </c>
      <c r="I163" s="34" t="s">
        <v>27</v>
      </c>
      <c r="J163" s="34" t="s">
        <v>62</v>
      </c>
      <c r="K163" s="580">
        <v>50</v>
      </c>
      <c r="L163" s="580">
        <v>18</v>
      </c>
      <c r="M163" s="580"/>
      <c r="N163" s="580">
        <f>IF(H163="1",(L163*K163)+(M163*K163),0)</f>
        <v>900</v>
      </c>
      <c r="O163" s="580"/>
      <c r="P163" s="580">
        <v>0</v>
      </c>
      <c r="Q163" s="580">
        <f>N163*$Q$27</f>
        <v>13.05</v>
      </c>
      <c r="R163" s="580">
        <f>N163*$R$27</f>
        <v>55.8</v>
      </c>
      <c r="S163" s="580">
        <v>0</v>
      </c>
      <c r="T163" s="580"/>
      <c r="U163" s="580"/>
      <c r="V163" s="473">
        <f t="shared" ref="V163" si="227">SUM(N163:U163)</f>
        <v>968.84999999999991</v>
      </c>
      <c r="W163" s="580">
        <f t="shared" ref="W163" si="228">IF(P163&lt;&gt;"",V163*$W$27,0)</f>
        <v>0</v>
      </c>
      <c r="X163" s="580"/>
      <c r="Y163" s="581">
        <f t="shared" ref="Y163" si="229">X163+W163+V163</f>
        <v>968.84999999999991</v>
      </c>
    </row>
    <row r="164" spans="1:26" s="432" customFormat="1" ht="12.75" customHeight="1" x14ac:dyDescent="0.2">
      <c r="A164" s="30">
        <v>25169</v>
      </c>
      <c r="B164" s="30"/>
      <c r="C164" s="30" t="s">
        <v>311</v>
      </c>
      <c r="D164" s="426">
        <v>615</v>
      </c>
      <c r="E164" s="30" t="s">
        <v>354</v>
      </c>
      <c r="F164" s="30" t="s">
        <v>6</v>
      </c>
      <c r="G164" s="30" t="s">
        <v>454</v>
      </c>
      <c r="H164" s="30" t="s">
        <v>461</v>
      </c>
      <c r="I164" s="30" t="s">
        <v>33</v>
      </c>
      <c r="J164" s="30" t="s">
        <v>127</v>
      </c>
      <c r="K164" s="580">
        <v>22.66</v>
      </c>
      <c r="L164" s="580">
        <v>2080</v>
      </c>
      <c r="M164" s="580"/>
      <c r="N164" s="580">
        <f>IF(H164="1",(L164*K164)+(M164*K164),0)</f>
        <v>47132.800000000003</v>
      </c>
      <c r="O164" s="580"/>
      <c r="P164" s="580">
        <f>(N164-(M164*K164))*$P$27</f>
        <v>16873.542400000002</v>
      </c>
      <c r="Q164" s="580">
        <f>N164*$Q$27</f>
        <v>683.42560000000003</v>
      </c>
      <c r="R164" s="580">
        <v>0</v>
      </c>
      <c r="S164" s="580">
        <f>IF(H164="1",2828.52*2,0)</f>
        <v>5657.04</v>
      </c>
      <c r="T164" s="580">
        <f>IF(H164="1",361.92*2,0)</f>
        <v>723.84</v>
      </c>
      <c r="U164" s="580">
        <v>0</v>
      </c>
      <c r="V164" s="473">
        <f t="shared" ref="V164" si="230">SUM(N164:U164)</f>
        <v>71070.648000000001</v>
      </c>
      <c r="W164" s="580">
        <f t="shared" ref="W164" si="231">IF(P164&lt;&gt;"",V164*$W$27,0)</f>
        <v>0</v>
      </c>
      <c r="X164" s="580"/>
      <c r="Y164" s="581">
        <f t="shared" ref="Y164" si="232">X164+W164+V164</f>
        <v>71070.648000000001</v>
      </c>
    </row>
    <row r="165" spans="1:26" s="432" customFormat="1" ht="12.75" customHeight="1" x14ac:dyDescent="0.2">
      <c r="A165" s="30">
        <v>227869</v>
      </c>
      <c r="B165" s="30"/>
      <c r="C165" s="30" t="s">
        <v>257</v>
      </c>
      <c r="D165" s="426">
        <v>617</v>
      </c>
      <c r="E165" s="30" t="s">
        <v>360</v>
      </c>
      <c r="F165" s="30" t="s">
        <v>6</v>
      </c>
      <c r="G165" s="30" t="s">
        <v>454</v>
      </c>
      <c r="H165" s="30" t="s">
        <v>461</v>
      </c>
      <c r="I165" s="34" t="s">
        <v>685</v>
      </c>
      <c r="J165" s="34" t="s">
        <v>692</v>
      </c>
      <c r="K165" s="580">
        <f>31.39*5%</f>
        <v>1.5695000000000001</v>
      </c>
      <c r="L165" s="580">
        <v>2080</v>
      </c>
      <c r="M165" s="580"/>
      <c r="N165" s="580">
        <f>IF(H165="1",(L165*K165)+(M165*K165),0)</f>
        <v>3264.5600000000004</v>
      </c>
      <c r="O165" s="580"/>
      <c r="P165" s="580">
        <f>(N165-(M165*K165))*$P$27</f>
        <v>1168.7124800000001</v>
      </c>
      <c r="Q165" s="580">
        <f>N165*$Q$27</f>
        <v>47.336120000000008</v>
      </c>
      <c r="R165" s="580">
        <v>0</v>
      </c>
      <c r="S165" s="580">
        <f>IF(H165="1",5166.6*2,0)</f>
        <v>10333.200000000001</v>
      </c>
      <c r="T165" s="580">
        <f>IF(H165="1",527.28*2,0)</f>
        <v>1054.56</v>
      </c>
      <c r="U165" s="580">
        <v>0</v>
      </c>
      <c r="V165" s="473">
        <f t="shared" ref="V165" si="233">SUM(N165:U165)</f>
        <v>15868.3686</v>
      </c>
      <c r="W165" s="580">
        <f t="shared" ref="W165" si="234">IF(P165&lt;&gt;"",V165*$W$27,0)</f>
        <v>0</v>
      </c>
      <c r="X165" s="580"/>
      <c r="Y165" s="581">
        <f t="shared" ref="Y165" si="235">X165+W165+V165</f>
        <v>15868.3686</v>
      </c>
    </row>
    <row r="166" spans="1:26" s="432" customFormat="1" ht="12.75" customHeight="1" x14ac:dyDescent="0.2">
      <c r="A166" s="30"/>
      <c r="B166" s="30"/>
      <c r="C166" s="30" t="s">
        <v>257</v>
      </c>
      <c r="D166" s="426">
        <v>617</v>
      </c>
      <c r="E166" s="30" t="s">
        <v>360</v>
      </c>
      <c r="F166" s="30" t="s">
        <v>6</v>
      </c>
      <c r="G166" s="30" t="s">
        <v>454</v>
      </c>
      <c r="H166" s="30" t="s">
        <v>461</v>
      </c>
      <c r="I166" s="34" t="s">
        <v>685</v>
      </c>
      <c r="J166" s="34" t="s">
        <v>1477</v>
      </c>
      <c r="K166" s="580">
        <f>31.39*2%</f>
        <v>0.62780000000000002</v>
      </c>
      <c r="L166" s="580">
        <v>2080</v>
      </c>
      <c r="M166" s="580"/>
      <c r="N166" s="580">
        <f t="shared" ref="N166:N171" si="236">IF(H166="1",(L166*K166)+(M166*K166),0)</f>
        <v>1305.8240000000001</v>
      </c>
      <c r="O166" s="580"/>
      <c r="P166" s="580">
        <f t="shared" ref="P166:P171" si="237">(N166-(M166*K166))*$P$27</f>
        <v>467.48499199999998</v>
      </c>
      <c r="Q166" s="580">
        <f t="shared" ref="Q166:Q171" si="238">N166*$Q$27</f>
        <v>18.934448000000003</v>
      </c>
      <c r="R166" s="580">
        <v>0</v>
      </c>
      <c r="S166" s="580"/>
      <c r="T166" s="580"/>
      <c r="U166" s="580"/>
      <c r="V166" s="473">
        <f t="shared" ref="V166" si="239">SUM(N166:U166)</f>
        <v>1792.24344</v>
      </c>
      <c r="W166" s="580">
        <f t="shared" ref="W166" si="240">IF(P166&lt;&gt;"",V166*$W$27,0)</f>
        <v>0</v>
      </c>
      <c r="X166" s="580"/>
      <c r="Y166" s="581">
        <f t="shared" ref="Y166" si="241">X166+W166+V166</f>
        <v>1792.24344</v>
      </c>
    </row>
    <row r="167" spans="1:26" s="432" customFormat="1" ht="12.75" customHeight="1" x14ac:dyDescent="0.2">
      <c r="A167" s="30"/>
      <c r="B167" s="30"/>
      <c r="C167" s="30" t="s">
        <v>257</v>
      </c>
      <c r="D167" s="426">
        <v>617</v>
      </c>
      <c r="E167" s="30" t="s">
        <v>360</v>
      </c>
      <c r="F167" s="30" t="s">
        <v>6</v>
      </c>
      <c r="G167" s="30" t="s">
        <v>454</v>
      </c>
      <c r="H167" s="30" t="s">
        <v>461</v>
      </c>
      <c r="I167" s="34" t="s">
        <v>685</v>
      </c>
      <c r="J167" s="34" t="s">
        <v>137</v>
      </c>
      <c r="K167" s="580">
        <f>31.39*2%</f>
        <v>0.62780000000000002</v>
      </c>
      <c r="L167" s="580">
        <v>2080</v>
      </c>
      <c r="M167" s="580"/>
      <c r="N167" s="580">
        <f t="shared" si="236"/>
        <v>1305.8240000000001</v>
      </c>
      <c r="O167" s="580"/>
      <c r="P167" s="580">
        <f t="shared" si="237"/>
        <v>467.48499199999998</v>
      </c>
      <c r="Q167" s="580">
        <f t="shared" si="238"/>
        <v>18.934448000000003</v>
      </c>
      <c r="R167" s="580">
        <v>0</v>
      </c>
      <c r="S167" s="580"/>
      <c r="T167" s="580"/>
      <c r="U167" s="580"/>
      <c r="V167" s="473">
        <f t="shared" ref="V167" si="242">SUM(N167:U167)</f>
        <v>1792.24344</v>
      </c>
      <c r="W167" s="580">
        <f t="shared" ref="W167" si="243">IF(P167&lt;&gt;"",V167*$W$27,0)</f>
        <v>0</v>
      </c>
      <c r="X167" s="580"/>
      <c r="Y167" s="581">
        <f t="shared" ref="Y167" si="244">X167+W167+V167</f>
        <v>1792.24344</v>
      </c>
    </row>
    <row r="168" spans="1:26" s="432" customFormat="1" ht="12.75" customHeight="1" x14ac:dyDescent="0.2">
      <c r="A168" s="30"/>
      <c r="B168" s="30"/>
      <c r="C168" s="30" t="s">
        <v>257</v>
      </c>
      <c r="D168" s="426">
        <v>617</v>
      </c>
      <c r="E168" s="30" t="s">
        <v>360</v>
      </c>
      <c r="F168" s="30" t="s">
        <v>6</v>
      </c>
      <c r="G168" s="30" t="s">
        <v>454</v>
      </c>
      <c r="H168" s="30" t="s">
        <v>461</v>
      </c>
      <c r="I168" s="34" t="s">
        <v>685</v>
      </c>
      <c r="J168" s="34" t="s">
        <v>124</v>
      </c>
      <c r="K168" s="580">
        <f>31.39*4%</f>
        <v>1.2556</v>
      </c>
      <c r="L168" s="580">
        <v>2080</v>
      </c>
      <c r="M168" s="580"/>
      <c r="N168" s="580">
        <f t="shared" si="236"/>
        <v>2611.6480000000001</v>
      </c>
      <c r="O168" s="580"/>
      <c r="P168" s="580">
        <f t="shared" si="237"/>
        <v>934.96998399999995</v>
      </c>
      <c r="Q168" s="580">
        <f t="shared" si="238"/>
        <v>37.868896000000007</v>
      </c>
      <c r="R168" s="580">
        <v>0</v>
      </c>
      <c r="S168" s="580"/>
      <c r="T168" s="580"/>
      <c r="U168" s="580"/>
      <c r="V168" s="473">
        <f t="shared" ref="V168" si="245">SUM(N168:U168)</f>
        <v>3584.4868799999999</v>
      </c>
      <c r="W168" s="580">
        <f t="shared" ref="W168" si="246">IF(P168&lt;&gt;"",V168*$W$27,0)</f>
        <v>0</v>
      </c>
      <c r="X168" s="580"/>
      <c r="Y168" s="581">
        <f t="shared" ref="Y168" si="247">X168+W168+V168</f>
        <v>3584.4868799999999</v>
      </c>
    </row>
    <row r="169" spans="1:26" ht="12.75" customHeight="1" x14ac:dyDescent="0.2">
      <c r="A169" s="30"/>
      <c r="B169" s="30"/>
      <c r="C169" s="30" t="s">
        <v>257</v>
      </c>
      <c r="D169" s="426">
        <v>617</v>
      </c>
      <c r="E169" s="30" t="s">
        <v>360</v>
      </c>
      <c r="F169" s="30" t="s">
        <v>6</v>
      </c>
      <c r="G169" s="30" t="s">
        <v>454</v>
      </c>
      <c r="H169" s="30" t="s">
        <v>461</v>
      </c>
      <c r="I169" s="34" t="s">
        <v>685</v>
      </c>
      <c r="J169" s="34" t="s">
        <v>128</v>
      </c>
      <c r="K169" s="580">
        <f>31.39*4%</f>
        <v>1.2556</v>
      </c>
      <c r="L169" s="580">
        <v>2080</v>
      </c>
      <c r="M169" s="580"/>
      <c r="N169" s="580">
        <f t="shared" si="236"/>
        <v>2611.6480000000001</v>
      </c>
      <c r="O169" s="580"/>
      <c r="P169" s="580">
        <f t="shared" si="237"/>
        <v>934.96998399999995</v>
      </c>
      <c r="Q169" s="580">
        <f t="shared" si="238"/>
        <v>37.868896000000007</v>
      </c>
      <c r="R169" s="580">
        <v>0</v>
      </c>
      <c r="S169" s="580"/>
      <c r="T169" s="580"/>
      <c r="U169" s="580"/>
      <c r="V169" s="473">
        <f t="shared" ref="V169" si="248">SUM(N169:U169)</f>
        <v>3584.4868799999999</v>
      </c>
      <c r="W169" s="580">
        <f t="shared" ref="W169" si="249">IF(P169&lt;&gt;"",V169*$W$27,0)</f>
        <v>0</v>
      </c>
      <c r="X169" s="580"/>
      <c r="Y169" s="581">
        <f t="shared" ref="Y169" si="250">X169+W169+V169</f>
        <v>3584.4868799999999</v>
      </c>
      <c r="Z169" s="432"/>
    </row>
    <row r="170" spans="1:26" s="432" customFormat="1" ht="12.75" customHeight="1" x14ac:dyDescent="0.2">
      <c r="A170" s="30"/>
      <c r="B170" s="30"/>
      <c r="C170" s="30" t="s">
        <v>257</v>
      </c>
      <c r="D170" s="426">
        <v>617</v>
      </c>
      <c r="E170" s="30" t="s">
        <v>360</v>
      </c>
      <c r="F170" s="30" t="s">
        <v>6</v>
      </c>
      <c r="G170" s="30" t="s">
        <v>454</v>
      </c>
      <c r="H170" s="30" t="s">
        <v>461</v>
      </c>
      <c r="I170" s="34" t="s">
        <v>685</v>
      </c>
      <c r="J170" s="34" t="s">
        <v>117</v>
      </c>
      <c r="K170" s="580">
        <f>31.39*63%</f>
        <v>19.775700000000001</v>
      </c>
      <c r="L170" s="580">
        <v>2080</v>
      </c>
      <c r="M170" s="580"/>
      <c r="N170" s="580">
        <f t="shared" si="236"/>
        <v>41133.455999999998</v>
      </c>
      <c r="O170" s="580"/>
      <c r="P170" s="580">
        <f t="shared" si="237"/>
        <v>14725.777247999999</v>
      </c>
      <c r="Q170" s="580">
        <f t="shared" si="238"/>
        <v>596.435112</v>
      </c>
      <c r="R170" s="580">
        <v>0</v>
      </c>
      <c r="S170" s="580"/>
      <c r="T170" s="580"/>
      <c r="U170" s="580"/>
      <c r="V170" s="473">
        <f t="shared" ref="V170" si="251">SUM(N170:U170)</f>
        <v>56455.668359999996</v>
      </c>
      <c r="W170" s="580">
        <f t="shared" ref="W170" si="252">IF(P170&lt;&gt;"",V170*$W$27,0)</f>
        <v>0</v>
      </c>
      <c r="X170" s="580"/>
      <c r="Y170" s="581">
        <f t="shared" ref="Y170" si="253">X170+W170+V170</f>
        <v>56455.668359999996</v>
      </c>
    </row>
    <row r="171" spans="1:26" s="432" customFormat="1" ht="12.75" customHeight="1" x14ac:dyDescent="0.2">
      <c r="A171" s="30"/>
      <c r="B171" s="30"/>
      <c r="C171" s="30" t="s">
        <v>257</v>
      </c>
      <c r="D171" s="426">
        <v>617</v>
      </c>
      <c r="E171" s="30" t="s">
        <v>360</v>
      </c>
      <c r="F171" s="30" t="s">
        <v>6</v>
      </c>
      <c r="G171" s="30" t="s">
        <v>454</v>
      </c>
      <c r="H171" s="30" t="s">
        <v>461</v>
      </c>
      <c r="I171" s="34" t="s">
        <v>685</v>
      </c>
      <c r="J171" s="34" t="s">
        <v>114</v>
      </c>
      <c r="K171" s="580">
        <f>31.39*20%</f>
        <v>6.2780000000000005</v>
      </c>
      <c r="L171" s="580">
        <v>2080</v>
      </c>
      <c r="M171" s="580"/>
      <c r="N171" s="580">
        <f t="shared" si="236"/>
        <v>13058.240000000002</v>
      </c>
      <c r="O171" s="580"/>
      <c r="P171" s="580">
        <f t="shared" si="237"/>
        <v>4674.8499200000006</v>
      </c>
      <c r="Q171" s="580">
        <f t="shared" si="238"/>
        <v>189.34448000000003</v>
      </c>
      <c r="R171" s="580">
        <v>0</v>
      </c>
      <c r="S171" s="580"/>
      <c r="T171" s="580"/>
      <c r="U171" s="580"/>
      <c r="V171" s="473">
        <f t="shared" ref="V171" si="254">SUM(N171:U171)</f>
        <v>17922.434400000002</v>
      </c>
      <c r="W171" s="580">
        <f t="shared" ref="W171" si="255">IF(P171&lt;&gt;"",V171*$W$27,0)</f>
        <v>0</v>
      </c>
      <c r="X171" s="580"/>
      <c r="Y171" s="581">
        <f t="shared" ref="Y171" si="256">X171+W171+V171</f>
        <v>17922.434400000002</v>
      </c>
    </row>
    <row r="172" spans="1:26" s="432" customFormat="1" ht="12.75" customHeight="1" x14ac:dyDescent="0.2">
      <c r="A172" s="30">
        <v>182445</v>
      </c>
      <c r="B172" s="30"/>
      <c r="C172" s="30" t="s">
        <v>218</v>
      </c>
      <c r="D172" s="426">
        <v>618</v>
      </c>
      <c r="E172" s="30" t="s">
        <v>324</v>
      </c>
      <c r="F172" s="30" t="s">
        <v>6</v>
      </c>
      <c r="G172" s="30" t="s">
        <v>454</v>
      </c>
      <c r="H172" s="30" t="s">
        <v>461</v>
      </c>
      <c r="I172" s="34" t="s">
        <v>28</v>
      </c>
      <c r="J172" s="34" t="s">
        <v>121</v>
      </c>
      <c r="K172" s="580">
        <f>36.06*38%</f>
        <v>13.702800000000002</v>
      </c>
      <c r="L172" s="580">
        <v>2080</v>
      </c>
      <c r="M172" s="580"/>
      <c r="N172" s="580">
        <f>IF(H172="1",(L172*K172)+(M172*K172),0)</f>
        <v>28501.824000000004</v>
      </c>
      <c r="O172" s="580"/>
      <c r="P172" s="580">
        <f>(N172-(M172*K172))*$P$27</f>
        <v>10203.652992000001</v>
      </c>
      <c r="Q172" s="580">
        <f>N172*$Q$27</f>
        <v>413.27644800000007</v>
      </c>
      <c r="R172" s="580">
        <v>0</v>
      </c>
      <c r="S172" s="580">
        <f>IF(H172="1",2828.52*2,0)</f>
        <v>5657.04</v>
      </c>
      <c r="T172" s="580">
        <f>IF(H172="1",527.28*2,0)</f>
        <v>1054.56</v>
      </c>
      <c r="U172" s="580">
        <v>0</v>
      </c>
      <c r="V172" s="473">
        <f t="shared" ref="V172" si="257">SUM(N172:U172)</f>
        <v>45830.353439999999</v>
      </c>
      <c r="W172" s="580">
        <f t="shared" ref="W172" si="258">IF(P172&lt;&gt;"",V172*$W$27,0)</f>
        <v>0</v>
      </c>
      <c r="X172" s="580"/>
      <c r="Y172" s="581">
        <f t="shared" ref="Y172" si="259">X172+W172+V172</f>
        <v>45830.353439999999</v>
      </c>
    </row>
    <row r="173" spans="1:26" s="432" customFormat="1" ht="12.75" customHeight="1" x14ac:dyDescent="0.2">
      <c r="A173" s="30"/>
      <c r="B173" s="30"/>
      <c r="C173" s="30" t="s">
        <v>218</v>
      </c>
      <c r="D173" s="426">
        <v>618</v>
      </c>
      <c r="E173" s="30" t="s">
        <v>324</v>
      </c>
      <c r="F173" s="30" t="s">
        <v>6</v>
      </c>
      <c r="G173" s="30" t="s">
        <v>454</v>
      </c>
      <c r="H173" s="30" t="s">
        <v>461</v>
      </c>
      <c r="I173" s="34" t="s">
        <v>28</v>
      </c>
      <c r="J173" s="34" t="s">
        <v>126</v>
      </c>
      <c r="K173" s="580">
        <f>36.06*5%</f>
        <v>1.8030000000000002</v>
      </c>
      <c r="L173" s="580">
        <v>2080</v>
      </c>
      <c r="M173" s="580"/>
      <c r="N173" s="580">
        <f t="shared" ref="N173:N205" si="260">IF(H173="1",(L173*K173)+(M173*K173),0)</f>
        <v>3750.2400000000002</v>
      </c>
      <c r="O173" s="580"/>
      <c r="P173" s="580">
        <f t="shared" ref="P173:P205" si="261">(N173-(M173*K173))*$P$27</f>
        <v>1342.58592</v>
      </c>
      <c r="Q173" s="580">
        <f t="shared" ref="Q173:Q205" si="262">N173*$Q$27</f>
        <v>54.378480000000003</v>
      </c>
      <c r="R173" s="580">
        <v>0</v>
      </c>
      <c r="S173" s="580"/>
      <c r="T173" s="580"/>
      <c r="U173" s="580"/>
      <c r="V173" s="473">
        <f t="shared" ref="V173" si="263">SUM(N173:U173)</f>
        <v>5147.2044000000005</v>
      </c>
      <c r="W173" s="580">
        <f t="shared" ref="W173" si="264">IF(P173&lt;&gt;"",V173*$W$27,0)</f>
        <v>0</v>
      </c>
      <c r="X173" s="580"/>
      <c r="Y173" s="581">
        <f t="shared" ref="Y173" si="265">X173+W173+V173</f>
        <v>5147.2044000000005</v>
      </c>
    </row>
    <row r="174" spans="1:26" s="432" customFormat="1" ht="12.75" customHeight="1" x14ac:dyDescent="0.2">
      <c r="A174" s="30"/>
      <c r="B174" s="30"/>
      <c r="C174" s="30" t="s">
        <v>218</v>
      </c>
      <c r="D174" s="426">
        <v>618</v>
      </c>
      <c r="E174" s="30" t="s">
        <v>324</v>
      </c>
      <c r="F174" s="30" t="s">
        <v>6</v>
      </c>
      <c r="G174" s="30" t="s">
        <v>454</v>
      </c>
      <c r="H174" s="30" t="s">
        <v>461</v>
      </c>
      <c r="I174" s="34" t="s">
        <v>28</v>
      </c>
      <c r="J174" s="34" t="s">
        <v>114</v>
      </c>
      <c r="K174" s="580">
        <f>36.06*18%</f>
        <v>6.4908000000000001</v>
      </c>
      <c r="L174" s="580">
        <v>2080</v>
      </c>
      <c r="M174" s="580"/>
      <c r="N174" s="580">
        <f t="shared" si="260"/>
        <v>13500.864</v>
      </c>
      <c r="O174" s="580"/>
      <c r="P174" s="580">
        <f t="shared" si="261"/>
        <v>4833.3093119999994</v>
      </c>
      <c r="Q174" s="580">
        <f t="shared" si="262"/>
        <v>195.762528</v>
      </c>
      <c r="R174" s="580">
        <v>0</v>
      </c>
      <c r="S174" s="580"/>
      <c r="T174" s="580"/>
      <c r="U174" s="580"/>
      <c r="V174" s="473">
        <f t="shared" ref="V174" si="266">SUM(N174:U174)</f>
        <v>18529.935839999998</v>
      </c>
      <c r="W174" s="580">
        <f t="shared" ref="W174" si="267">IF(P174&lt;&gt;"",V174*$W$27,0)</f>
        <v>0</v>
      </c>
      <c r="X174" s="580"/>
      <c r="Y174" s="581">
        <f t="shared" ref="Y174" si="268">X174+W174+V174</f>
        <v>18529.935839999998</v>
      </c>
    </row>
    <row r="175" spans="1:26" s="432" customFormat="1" ht="12.75" customHeight="1" x14ac:dyDescent="0.2">
      <c r="A175" s="30"/>
      <c r="B175" s="30"/>
      <c r="C175" s="30" t="s">
        <v>218</v>
      </c>
      <c r="D175" s="426">
        <v>618</v>
      </c>
      <c r="E175" s="30" t="s">
        <v>324</v>
      </c>
      <c r="F175" s="30" t="s">
        <v>6</v>
      </c>
      <c r="G175" s="30" t="s">
        <v>454</v>
      </c>
      <c r="H175" s="30" t="s">
        <v>461</v>
      </c>
      <c r="I175" s="34" t="s">
        <v>28</v>
      </c>
      <c r="J175" s="34" t="s">
        <v>140</v>
      </c>
      <c r="K175" s="580">
        <f>36.06*5%</f>
        <v>1.8030000000000002</v>
      </c>
      <c r="L175" s="580">
        <v>2080</v>
      </c>
      <c r="M175" s="580"/>
      <c r="N175" s="580">
        <f t="shared" si="260"/>
        <v>3750.2400000000002</v>
      </c>
      <c r="O175" s="580"/>
      <c r="P175" s="580">
        <f t="shared" si="261"/>
        <v>1342.58592</v>
      </c>
      <c r="Q175" s="580">
        <f t="shared" si="262"/>
        <v>54.378480000000003</v>
      </c>
      <c r="R175" s="580">
        <v>0</v>
      </c>
      <c r="S175" s="580"/>
      <c r="T175" s="580"/>
      <c r="U175" s="580"/>
      <c r="V175" s="473">
        <f t="shared" ref="V175" si="269">SUM(N175:U175)</f>
        <v>5147.2044000000005</v>
      </c>
      <c r="W175" s="580">
        <f t="shared" ref="W175" si="270">IF(P175&lt;&gt;"",V175*$W$27,0)</f>
        <v>0</v>
      </c>
      <c r="X175" s="580"/>
      <c r="Y175" s="581">
        <f t="shared" ref="Y175" si="271">X175+W175+V175</f>
        <v>5147.2044000000005</v>
      </c>
    </row>
    <row r="176" spans="1:26" s="432" customFormat="1" ht="12.75" customHeight="1" x14ac:dyDescent="0.2">
      <c r="A176" s="30"/>
      <c r="B176" s="30"/>
      <c r="C176" s="30" t="s">
        <v>218</v>
      </c>
      <c r="D176" s="426">
        <v>618</v>
      </c>
      <c r="E176" s="30" t="s">
        <v>324</v>
      </c>
      <c r="F176" s="30" t="s">
        <v>6</v>
      </c>
      <c r="G176" s="30" t="s">
        <v>454</v>
      </c>
      <c r="H176" s="30" t="s">
        <v>461</v>
      </c>
      <c r="I176" s="34" t="s">
        <v>28</v>
      </c>
      <c r="J176" s="34" t="s">
        <v>128</v>
      </c>
      <c r="K176" s="580">
        <f>36.06*4%</f>
        <v>1.4424000000000001</v>
      </c>
      <c r="L176" s="580">
        <v>2080</v>
      </c>
      <c r="M176" s="580"/>
      <c r="N176" s="580">
        <f t="shared" si="260"/>
        <v>3000.1920000000005</v>
      </c>
      <c r="O176" s="580"/>
      <c r="P176" s="580">
        <f t="shared" si="261"/>
        <v>1074.0687360000002</v>
      </c>
      <c r="Q176" s="580">
        <f t="shared" si="262"/>
        <v>43.502784000000005</v>
      </c>
      <c r="R176" s="580">
        <v>0</v>
      </c>
      <c r="S176" s="580"/>
      <c r="T176" s="580"/>
      <c r="U176" s="580"/>
      <c r="V176" s="473">
        <f t="shared" ref="V176" si="272">SUM(N176:U176)</f>
        <v>4117.7635200000004</v>
      </c>
      <c r="W176" s="580">
        <f t="shared" ref="W176" si="273">IF(P176&lt;&gt;"",V176*$W$27,0)</f>
        <v>0</v>
      </c>
      <c r="X176" s="580"/>
      <c r="Y176" s="581">
        <f t="shared" ref="Y176" si="274">X176+W176+V176</f>
        <v>4117.7635200000004</v>
      </c>
    </row>
    <row r="177" spans="1:26" s="432" customFormat="1" ht="12.75" customHeight="1" x14ac:dyDescent="0.2">
      <c r="A177" s="30"/>
      <c r="B177" s="30"/>
      <c r="C177" s="30" t="s">
        <v>218</v>
      </c>
      <c r="D177" s="426">
        <v>618</v>
      </c>
      <c r="E177" s="30" t="s">
        <v>324</v>
      </c>
      <c r="F177" s="30" t="s">
        <v>6</v>
      </c>
      <c r="G177" s="30" t="s">
        <v>454</v>
      </c>
      <c r="H177" s="30" t="s">
        <v>461</v>
      </c>
      <c r="I177" s="34" t="s">
        <v>28</v>
      </c>
      <c r="J177" s="34" t="s">
        <v>1136</v>
      </c>
      <c r="K177" s="580">
        <f>36.06*4%</f>
        <v>1.4424000000000001</v>
      </c>
      <c r="L177" s="580">
        <v>2080</v>
      </c>
      <c r="M177" s="580"/>
      <c r="N177" s="580">
        <f t="shared" si="260"/>
        <v>3000.1920000000005</v>
      </c>
      <c r="O177" s="580"/>
      <c r="P177" s="580">
        <f t="shared" si="261"/>
        <v>1074.0687360000002</v>
      </c>
      <c r="Q177" s="580">
        <f t="shared" si="262"/>
        <v>43.502784000000005</v>
      </c>
      <c r="R177" s="580">
        <v>0</v>
      </c>
      <c r="S177" s="580"/>
      <c r="T177" s="580"/>
      <c r="U177" s="580"/>
      <c r="V177" s="473">
        <f t="shared" ref="V177" si="275">SUM(N177:U177)</f>
        <v>4117.7635200000004</v>
      </c>
      <c r="W177" s="580">
        <f t="shared" ref="W177" si="276">IF(P177&lt;&gt;"",V177*$W$27,0)</f>
        <v>0</v>
      </c>
      <c r="X177" s="580"/>
      <c r="Y177" s="581">
        <f t="shared" ref="Y177" si="277">X177+W177+V177</f>
        <v>4117.7635200000004</v>
      </c>
    </row>
    <row r="178" spans="1:26" s="432" customFormat="1" ht="12.75" customHeight="1" x14ac:dyDescent="0.2">
      <c r="A178" s="30"/>
      <c r="B178" s="30"/>
      <c r="C178" s="30" t="s">
        <v>218</v>
      </c>
      <c r="D178" s="426">
        <v>618</v>
      </c>
      <c r="E178" s="30" t="s">
        <v>324</v>
      </c>
      <c r="F178" s="30" t="s">
        <v>6</v>
      </c>
      <c r="G178" s="30" t="s">
        <v>454</v>
      </c>
      <c r="H178" s="30" t="s">
        <v>461</v>
      </c>
      <c r="I178" s="34" t="s">
        <v>28</v>
      </c>
      <c r="J178" s="34" t="s">
        <v>472</v>
      </c>
      <c r="K178" s="580">
        <f>36.06*1%</f>
        <v>0.36060000000000003</v>
      </c>
      <c r="L178" s="580">
        <v>2080</v>
      </c>
      <c r="M178" s="580"/>
      <c r="N178" s="580">
        <f t="shared" si="260"/>
        <v>750.04800000000012</v>
      </c>
      <c r="O178" s="580"/>
      <c r="P178" s="580">
        <f t="shared" si="261"/>
        <v>268.51718400000004</v>
      </c>
      <c r="Q178" s="580">
        <f t="shared" si="262"/>
        <v>10.875696000000001</v>
      </c>
      <c r="R178" s="580">
        <v>0</v>
      </c>
      <c r="S178" s="580"/>
      <c r="T178" s="580"/>
      <c r="U178" s="580"/>
      <c r="V178" s="473">
        <f t="shared" ref="V178" si="278">SUM(N178:U178)</f>
        <v>1029.4408800000001</v>
      </c>
      <c r="W178" s="580">
        <f t="shared" ref="W178" si="279">IF(P178&lt;&gt;"",V178*$W$27,0)</f>
        <v>0</v>
      </c>
      <c r="X178" s="580"/>
      <c r="Y178" s="581">
        <f t="shared" ref="Y178" si="280">X178+W178+V178</f>
        <v>1029.4408800000001</v>
      </c>
    </row>
    <row r="179" spans="1:26" s="432" customFormat="1" ht="12.75" customHeight="1" x14ac:dyDescent="0.2">
      <c r="A179" s="30"/>
      <c r="B179" s="30"/>
      <c r="C179" s="30" t="s">
        <v>218</v>
      </c>
      <c r="D179" s="426">
        <v>618</v>
      </c>
      <c r="E179" s="30" t="s">
        <v>324</v>
      </c>
      <c r="F179" s="30" t="s">
        <v>6</v>
      </c>
      <c r="G179" s="30" t="s">
        <v>454</v>
      </c>
      <c r="H179" s="30" t="s">
        <v>461</v>
      </c>
      <c r="I179" s="34" t="s">
        <v>28</v>
      </c>
      <c r="J179" s="34" t="s">
        <v>161</v>
      </c>
      <c r="K179" s="580">
        <f>36.06*1.5%</f>
        <v>0.54090000000000005</v>
      </c>
      <c r="L179" s="580">
        <v>2080</v>
      </c>
      <c r="M179" s="580"/>
      <c r="N179" s="580">
        <f t="shared" si="260"/>
        <v>1125.0720000000001</v>
      </c>
      <c r="O179" s="580"/>
      <c r="P179" s="580">
        <f t="shared" si="261"/>
        <v>402.77577600000001</v>
      </c>
      <c r="Q179" s="580">
        <f t="shared" si="262"/>
        <v>16.313544000000004</v>
      </c>
      <c r="R179" s="580">
        <v>0</v>
      </c>
      <c r="S179" s="580"/>
      <c r="T179" s="580"/>
      <c r="U179" s="580"/>
      <c r="V179" s="473">
        <f t="shared" ref="V179" si="281">SUM(N179:U179)</f>
        <v>1544.1613200000002</v>
      </c>
      <c r="W179" s="580">
        <f t="shared" ref="W179" si="282">IF(P179&lt;&gt;"",V179*$W$27,0)</f>
        <v>0</v>
      </c>
      <c r="X179" s="580"/>
      <c r="Y179" s="581">
        <f t="shared" ref="Y179" si="283">X179+W179+V179</f>
        <v>1544.1613200000002</v>
      </c>
    </row>
    <row r="180" spans="1:26" s="432" customFormat="1" ht="12.75" customHeight="1" x14ac:dyDescent="0.2">
      <c r="A180" s="30"/>
      <c r="B180" s="30"/>
      <c r="C180" s="30" t="s">
        <v>218</v>
      </c>
      <c r="D180" s="426">
        <v>618</v>
      </c>
      <c r="E180" s="30" t="s">
        <v>324</v>
      </c>
      <c r="F180" s="30" t="s">
        <v>6</v>
      </c>
      <c r="G180" s="30" t="s">
        <v>454</v>
      </c>
      <c r="H180" s="30" t="s">
        <v>461</v>
      </c>
      <c r="I180" s="34" t="s">
        <v>28</v>
      </c>
      <c r="J180" s="34" t="s">
        <v>1477</v>
      </c>
      <c r="K180" s="580">
        <f>36.06*0.5%</f>
        <v>0.18030000000000002</v>
      </c>
      <c r="L180" s="580">
        <v>2080</v>
      </c>
      <c r="M180" s="580"/>
      <c r="N180" s="580">
        <f t="shared" si="260"/>
        <v>375.02400000000006</v>
      </c>
      <c r="O180" s="580"/>
      <c r="P180" s="580">
        <f t="shared" si="261"/>
        <v>134.25859200000002</v>
      </c>
      <c r="Q180" s="580">
        <f t="shared" si="262"/>
        <v>5.4378480000000007</v>
      </c>
      <c r="R180" s="580">
        <v>0</v>
      </c>
      <c r="S180" s="580"/>
      <c r="T180" s="580"/>
      <c r="U180" s="580"/>
      <c r="V180" s="473">
        <f t="shared" ref="V180" si="284">SUM(N180:U180)</f>
        <v>514.72044000000005</v>
      </c>
      <c r="W180" s="580">
        <f t="shared" ref="W180" si="285">IF(P180&lt;&gt;"",V180*$W$27,0)</f>
        <v>0</v>
      </c>
      <c r="X180" s="580"/>
      <c r="Y180" s="581">
        <f t="shared" ref="Y180" si="286">X180+W180+V180</f>
        <v>514.72044000000005</v>
      </c>
    </row>
    <row r="181" spans="1:26" s="432" customFormat="1" ht="12.75" customHeight="1" x14ac:dyDescent="0.2">
      <c r="A181" s="30"/>
      <c r="B181" s="30"/>
      <c r="C181" s="30" t="s">
        <v>218</v>
      </c>
      <c r="D181" s="426">
        <v>618</v>
      </c>
      <c r="E181" s="30" t="s">
        <v>324</v>
      </c>
      <c r="F181" s="30" t="s">
        <v>6</v>
      </c>
      <c r="G181" s="30" t="s">
        <v>454</v>
      </c>
      <c r="H181" s="30" t="s">
        <v>461</v>
      </c>
      <c r="I181" s="34" t="s">
        <v>28</v>
      </c>
      <c r="J181" s="34" t="s">
        <v>118</v>
      </c>
      <c r="K181" s="580">
        <f>36.06*1.5%</f>
        <v>0.54090000000000005</v>
      </c>
      <c r="L181" s="580">
        <v>2080</v>
      </c>
      <c r="M181" s="580"/>
      <c r="N181" s="580">
        <f t="shared" si="260"/>
        <v>1125.0720000000001</v>
      </c>
      <c r="O181" s="580"/>
      <c r="P181" s="580">
        <f t="shared" si="261"/>
        <v>402.77577600000001</v>
      </c>
      <c r="Q181" s="580">
        <f t="shared" si="262"/>
        <v>16.313544000000004</v>
      </c>
      <c r="R181" s="580">
        <v>0</v>
      </c>
      <c r="S181" s="580"/>
      <c r="T181" s="580"/>
      <c r="U181" s="580"/>
      <c r="V181" s="473">
        <f t="shared" ref="V181" si="287">SUM(N181:U181)</f>
        <v>1544.1613200000002</v>
      </c>
      <c r="W181" s="580">
        <f t="shared" ref="W181" si="288">IF(P181&lt;&gt;"",V181*$W$27,0)</f>
        <v>0</v>
      </c>
      <c r="X181" s="580"/>
      <c r="Y181" s="581">
        <f t="shared" ref="Y181" si="289">X181+W181+V181</f>
        <v>1544.1613200000002</v>
      </c>
    </row>
    <row r="182" spans="1:26" ht="12.75" customHeight="1" x14ac:dyDescent="0.2">
      <c r="A182" s="30"/>
      <c r="B182" s="30"/>
      <c r="C182" s="30" t="s">
        <v>218</v>
      </c>
      <c r="D182" s="426">
        <v>618</v>
      </c>
      <c r="E182" s="30" t="s">
        <v>324</v>
      </c>
      <c r="F182" s="30" t="s">
        <v>6</v>
      </c>
      <c r="G182" s="30" t="s">
        <v>454</v>
      </c>
      <c r="H182" s="30" t="s">
        <v>461</v>
      </c>
      <c r="I182" s="34" t="s">
        <v>28</v>
      </c>
      <c r="J182" s="34" t="s">
        <v>119</v>
      </c>
      <c r="K182" s="580">
        <f>36.06*0.5%</f>
        <v>0.18030000000000002</v>
      </c>
      <c r="L182" s="580">
        <v>2080</v>
      </c>
      <c r="M182" s="580"/>
      <c r="N182" s="580">
        <f t="shared" si="260"/>
        <v>375.02400000000006</v>
      </c>
      <c r="O182" s="580"/>
      <c r="P182" s="580">
        <f t="shared" si="261"/>
        <v>134.25859200000002</v>
      </c>
      <c r="Q182" s="580">
        <f t="shared" si="262"/>
        <v>5.4378480000000007</v>
      </c>
      <c r="R182" s="580">
        <v>0</v>
      </c>
      <c r="S182" s="580"/>
      <c r="T182" s="580"/>
      <c r="U182" s="580"/>
      <c r="V182" s="473">
        <f t="shared" ref="V182" si="290">SUM(N182:U182)</f>
        <v>514.72044000000005</v>
      </c>
      <c r="W182" s="580">
        <f t="shared" ref="W182" si="291">IF(P182&lt;&gt;"",V182*$W$27,0)</f>
        <v>0</v>
      </c>
      <c r="X182" s="580"/>
      <c r="Y182" s="581">
        <f t="shared" ref="Y182" si="292">X182+W182+V182</f>
        <v>514.72044000000005</v>
      </c>
      <c r="Z182" s="432"/>
    </row>
    <row r="183" spans="1:26" ht="12.75" customHeight="1" x14ac:dyDescent="0.2">
      <c r="A183" s="30"/>
      <c r="B183" s="30"/>
      <c r="C183" s="30" t="s">
        <v>218</v>
      </c>
      <c r="D183" s="426">
        <v>618</v>
      </c>
      <c r="E183" s="30" t="s">
        <v>324</v>
      </c>
      <c r="F183" s="30" t="s">
        <v>6</v>
      </c>
      <c r="G183" s="30" t="s">
        <v>454</v>
      </c>
      <c r="H183" s="30" t="s">
        <v>461</v>
      </c>
      <c r="I183" s="34" t="s">
        <v>28</v>
      </c>
      <c r="J183" s="34" t="s">
        <v>123</v>
      </c>
      <c r="K183" s="580">
        <f>36.06*1%</f>
        <v>0.36060000000000003</v>
      </c>
      <c r="L183" s="580">
        <v>2080</v>
      </c>
      <c r="M183" s="580"/>
      <c r="N183" s="580">
        <f t="shared" si="260"/>
        <v>750.04800000000012</v>
      </c>
      <c r="O183" s="580"/>
      <c r="P183" s="580">
        <f t="shared" si="261"/>
        <v>268.51718400000004</v>
      </c>
      <c r="Q183" s="580">
        <f t="shared" si="262"/>
        <v>10.875696000000001</v>
      </c>
      <c r="R183" s="580">
        <v>0</v>
      </c>
      <c r="S183" s="580"/>
      <c r="T183" s="580"/>
      <c r="U183" s="580"/>
      <c r="V183" s="473">
        <f t="shared" ref="V183" si="293">SUM(N183:U183)</f>
        <v>1029.4408800000001</v>
      </c>
      <c r="W183" s="580">
        <f t="shared" ref="W183" si="294">IF(P183&lt;&gt;"",V183*$W$27,0)</f>
        <v>0</v>
      </c>
      <c r="X183" s="580"/>
      <c r="Y183" s="581">
        <f t="shared" ref="Y183" si="295">X183+W183+V183</f>
        <v>1029.4408800000001</v>
      </c>
      <c r="Z183" s="432"/>
    </row>
    <row r="184" spans="1:26" ht="12.75" customHeight="1" x14ac:dyDescent="0.2">
      <c r="A184" s="30"/>
      <c r="B184" s="30"/>
      <c r="C184" s="30" t="s">
        <v>218</v>
      </c>
      <c r="D184" s="426">
        <v>618</v>
      </c>
      <c r="E184" s="30" t="s">
        <v>324</v>
      </c>
      <c r="F184" s="30" t="s">
        <v>6</v>
      </c>
      <c r="G184" s="30" t="s">
        <v>454</v>
      </c>
      <c r="H184" s="30" t="s">
        <v>461</v>
      </c>
      <c r="I184" s="34" t="s">
        <v>28</v>
      </c>
      <c r="J184" s="34" t="s">
        <v>692</v>
      </c>
      <c r="K184" s="580">
        <f>36.06*20%</f>
        <v>7.2120000000000006</v>
      </c>
      <c r="L184" s="580">
        <v>2080</v>
      </c>
      <c r="M184" s="580"/>
      <c r="N184" s="580">
        <f t="shared" si="260"/>
        <v>15000.960000000001</v>
      </c>
      <c r="O184" s="580"/>
      <c r="P184" s="580">
        <f t="shared" si="261"/>
        <v>5370.3436799999999</v>
      </c>
      <c r="Q184" s="580">
        <f t="shared" si="262"/>
        <v>217.51392000000001</v>
      </c>
      <c r="R184" s="580">
        <v>0</v>
      </c>
      <c r="S184" s="580"/>
      <c r="T184" s="580"/>
      <c r="U184" s="580"/>
      <c r="V184" s="473">
        <f t="shared" ref="V184" si="296">SUM(N184:U184)</f>
        <v>20588.817600000002</v>
      </c>
      <c r="W184" s="580">
        <f t="shared" ref="W184" si="297">IF(P184&lt;&gt;"",V184*$W$27,0)</f>
        <v>0</v>
      </c>
      <c r="X184" s="580"/>
      <c r="Y184" s="581">
        <f t="shared" ref="Y184" si="298">X184+W184+V184</f>
        <v>20588.817600000002</v>
      </c>
      <c r="Z184" s="432"/>
    </row>
    <row r="185" spans="1:26" s="432" customFormat="1" ht="12.75" customHeight="1" x14ac:dyDescent="0.2">
      <c r="A185" s="30">
        <v>293811</v>
      </c>
      <c r="B185" s="30"/>
      <c r="C185" s="30" t="s">
        <v>247</v>
      </c>
      <c r="D185" s="426">
        <v>605</v>
      </c>
      <c r="E185" s="30" t="s">
        <v>350</v>
      </c>
      <c r="F185" s="30" t="s">
        <v>6</v>
      </c>
      <c r="G185" s="30" t="s">
        <v>454</v>
      </c>
      <c r="H185" s="30" t="s">
        <v>461</v>
      </c>
      <c r="I185" s="34" t="s">
        <v>684</v>
      </c>
      <c r="J185" s="34" t="s">
        <v>692</v>
      </c>
      <c r="K185" s="580">
        <v>10.1</v>
      </c>
      <c r="L185" s="580">
        <v>2080</v>
      </c>
      <c r="M185" s="580"/>
      <c r="N185" s="580">
        <f t="shared" si="260"/>
        <v>21008</v>
      </c>
      <c r="O185" s="580"/>
      <c r="P185" s="580">
        <f t="shared" si="261"/>
        <v>7520.8639999999996</v>
      </c>
      <c r="Q185" s="580">
        <f t="shared" si="262"/>
        <v>304.61600000000004</v>
      </c>
      <c r="R185" s="580">
        <v>0</v>
      </c>
      <c r="S185" s="580">
        <v>0</v>
      </c>
      <c r="T185" s="580">
        <v>0</v>
      </c>
      <c r="U185" s="580">
        <v>0</v>
      </c>
      <c r="V185" s="473">
        <f t="shared" ref="V185" si="299">SUM(N185:U185)</f>
        <v>28833.480000000003</v>
      </c>
      <c r="W185" s="580">
        <f t="shared" ref="W185" si="300">IF(P185&lt;&gt;"",V185*$W$27,0)</f>
        <v>0</v>
      </c>
      <c r="X185" s="580"/>
      <c r="Y185" s="581">
        <f t="shared" ref="Y185" si="301">X185+W185+V185</f>
        <v>28833.480000000003</v>
      </c>
    </row>
    <row r="186" spans="1:26" ht="12.75" customHeight="1" x14ac:dyDescent="0.2">
      <c r="A186" s="30">
        <v>287763</v>
      </c>
      <c r="B186" s="30"/>
      <c r="C186" s="30" t="s">
        <v>265</v>
      </c>
      <c r="D186" s="426">
        <v>615</v>
      </c>
      <c r="E186" s="30" t="s">
        <v>354</v>
      </c>
      <c r="F186" s="30" t="s">
        <v>6</v>
      </c>
      <c r="G186" s="30" t="s">
        <v>454</v>
      </c>
      <c r="H186" s="30" t="s">
        <v>461</v>
      </c>
      <c r="I186" s="34" t="s">
        <v>37</v>
      </c>
      <c r="J186" s="30" t="s">
        <v>116</v>
      </c>
      <c r="K186" s="580">
        <v>19.440000000000001</v>
      </c>
      <c r="L186" s="580">
        <v>2080</v>
      </c>
      <c r="M186" s="580"/>
      <c r="N186" s="580">
        <f t="shared" si="260"/>
        <v>40435.200000000004</v>
      </c>
      <c r="O186" s="580"/>
      <c r="P186" s="580">
        <f t="shared" si="261"/>
        <v>14475.801600000001</v>
      </c>
      <c r="Q186" s="580">
        <f t="shared" si="262"/>
        <v>586.31040000000007</v>
      </c>
      <c r="R186" s="580">
        <v>0</v>
      </c>
      <c r="S186" s="580">
        <f>IF(H186="1",3242.52*2,0)</f>
        <v>6485.04</v>
      </c>
      <c r="T186" s="580">
        <f>IF(H186="1",117.36*2,0)</f>
        <v>234.72</v>
      </c>
      <c r="U186" s="580">
        <v>0</v>
      </c>
      <c r="V186" s="473">
        <f t="shared" ref="V186" si="302">SUM(N186:U186)</f>
        <v>62217.072000000007</v>
      </c>
      <c r="W186" s="580">
        <f t="shared" ref="W186" si="303">IF(P186&lt;&gt;"",V186*$W$27,0)</f>
        <v>0</v>
      </c>
      <c r="X186" s="580"/>
      <c r="Y186" s="581">
        <f t="shared" ref="Y186" si="304">X186+W186+V186</f>
        <v>62217.072000000007</v>
      </c>
      <c r="Z186" s="432"/>
    </row>
    <row r="187" spans="1:26" ht="12.75" customHeight="1" x14ac:dyDescent="0.2">
      <c r="A187" s="30">
        <v>67063</v>
      </c>
      <c r="B187" s="30"/>
      <c r="C187" s="30" t="s">
        <v>302</v>
      </c>
      <c r="D187" s="426">
        <v>615</v>
      </c>
      <c r="E187" s="30" t="s">
        <v>354</v>
      </c>
      <c r="F187" s="30" t="s">
        <v>6</v>
      </c>
      <c r="G187" s="30" t="s">
        <v>454</v>
      </c>
      <c r="H187" s="30" t="s">
        <v>461</v>
      </c>
      <c r="I187" s="34" t="s">
        <v>39</v>
      </c>
      <c r="J187" s="34" t="s">
        <v>114</v>
      </c>
      <c r="K187" s="580">
        <f>22.66*10%</f>
        <v>2.266</v>
      </c>
      <c r="L187" s="580">
        <v>2080</v>
      </c>
      <c r="M187" s="580"/>
      <c r="N187" s="580">
        <f t="shared" si="260"/>
        <v>4713.28</v>
      </c>
      <c r="O187" s="580"/>
      <c r="P187" s="580">
        <f t="shared" si="261"/>
        <v>1687.3542399999999</v>
      </c>
      <c r="Q187" s="580">
        <f t="shared" si="262"/>
        <v>68.342560000000006</v>
      </c>
      <c r="R187" s="580">
        <v>0</v>
      </c>
      <c r="S187" s="580">
        <f>IF(H187="1",3242.52*2,0)</f>
        <v>6485.04</v>
      </c>
      <c r="T187" s="580">
        <f>IF(H187="1",361.92*2,0)</f>
        <v>723.84</v>
      </c>
      <c r="U187" s="580">
        <f>IF(H187="1",16.2*2,0)</f>
        <v>32.4</v>
      </c>
      <c r="V187" s="473">
        <f t="shared" ref="V187" si="305">SUM(N187:U187)</f>
        <v>13710.256799999999</v>
      </c>
      <c r="W187" s="580">
        <f t="shared" ref="W187" si="306">IF(P187&lt;&gt;"",V187*$W$27,0)</f>
        <v>0</v>
      </c>
      <c r="X187" s="580"/>
      <c r="Y187" s="581">
        <f t="shared" ref="Y187" si="307">X187+W187+V187</f>
        <v>13710.256799999999</v>
      </c>
      <c r="Z187" s="432"/>
    </row>
    <row r="188" spans="1:26" s="432" customFormat="1" ht="12.75" customHeight="1" x14ac:dyDescent="0.2">
      <c r="A188" s="30"/>
      <c r="B188" s="30"/>
      <c r="C188" s="30" t="s">
        <v>302</v>
      </c>
      <c r="D188" s="426">
        <v>615</v>
      </c>
      <c r="E188" s="30" t="s">
        <v>354</v>
      </c>
      <c r="F188" s="30" t="s">
        <v>6</v>
      </c>
      <c r="G188" s="30" t="s">
        <v>454</v>
      </c>
      <c r="H188" s="30" t="s">
        <v>461</v>
      </c>
      <c r="I188" s="34" t="s">
        <v>39</v>
      </c>
      <c r="J188" s="34" t="s">
        <v>117</v>
      </c>
      <c r="K188" s="580">
        <f>22.66*90%</f>
        <v>20.394000000000002</v>
      </c>
      <c r="L188" s="580">
        <v>2080</v>
      </c>
      <c r="M188" s="580"/>
      <c r="N188" s="580">
        <f t="shared" si="260"/>
        <v>42419.520000000004</v>
      </c>
      <c r="O188" s="580"/>
      <c r="P188" s="580">
        <f t="shared" si="261"/>
        <v>15186.188160000002</v>
      </c>
      <c r="Q188" s="580">
        <f t="shared" si="262"/>
        <v>615.0830400000001</v>
      </c>
      <c r="R188" s="580">
        <v>0</v>
      </c>
      <c r="S188" s="580"/>
      <c r="T188" s="580"/>
      <c r="U188" s="580"/>
      <c r="V188" s="473">
        <f t="shared" ref="V188" si="308">SUM(N188:U188)</f>
        <v>58220.791200000007</v>
      </c>
      <c r="W188" s="580">
        <f t="shared" ref="W188" si="309">IF(P188&lt;&gt;"",V188*$W$27,0)</f>
        <v>0</v>
      </c>
      <c r="X188" s="580"/>
      <c r="Y188" s="581">
        <f t="shared" ref="Y188" si="310">X188+W188+V188</f>
        <v>58220.791200000007</v>
      </c>
    </row>
    <row r="189" spans="1:26" s="432" customFormat="1" ht="12.75" customHeight="1" x14ac:dyDescent="0.2">
      <c r="A189" s="30">
        <v>41687</v>
      </c>
      <c r="B189" s="30"/>
      <c r="C189" s="30" t="s">
        <v>282</v>
      </c>
      <c r="D189" s="426">
        <v>613</v>
      </c>
      <c r="E189" s="30" t="s">
        <v>362</v>
      </c>
      <c r="F189" s="30" t="s">
        <v>6</v>
      </c>
      <c r="G189" s="30" t="s">
        <v>454</v>
      </c>
      <c r="H189" s="30" t="s">
        <v>461</v>
      </c>
      <c r="I189" s="34" t="s">
        <v>38</v>
      </c>
      <c r="J189" s="34" t="s">
        <v>128</v>
      </c>
      <c r="K189" s="731">
        <f>22.43*1.105</f>
        <v>24.785149999999998</v>
      </c>
      <c r="L189" s="580">
        <v>2080</v>
      </c>
      <c r="M189" s="580"/>
      <c r="N189" s="580">
        <f t="shared" si="260"/>
        <v>51553.111999999994</v>
      </c>
      <c r="O189" s="580"/>
      <c r="P189" s="580">
        <f t="shared" si="261"/>
        <v>18456.014095999995</v>
      </c>
      <c r="Q189" s="580">
        <f t="shared" si="262"/>
        <v>747.5201239999999</v>
      </c>
      <c r="R189" s="580">
        <v>0</v>
      </c>
      <c r="S189" s="580">
        <f>IF(H189="1",3242.52*2,0)</f>
        <v>6485.04</v>
      </c>
      <c r="T189" s="580">
        <f>IF(H189="1",361.92*2,0)</f>
        <v>723.84</v>
      </c>
      <c r="U189" s="580">
        <f>IF(H189="1",162*2,0)</f>
        <v>324</v>
      </c>
      <c r="V189" s="473">
        <f t="shared" ref="V189" si="311">SUM(N189:U189)</f>
        <v>78289.526219999985</v>
      </c>
      <c r="W189" s="580">
        <f t="shared" ref="W189" si="312">IF(P189&lt;&gt;"",V189*$W$27,0)</f>
        <v>0</v>
      </c>
      <c r="X189" s="580"/>
      <c r="Y189" s="581">
        <f t="shared" ref="Y189" si="313">X189+W189+V189</f>
        <v>78289.526219999985</v>
      </c>
    </row>
    <row r="190" spans="1:26" s="432" customFormat="1" ht="12.75" customHeight="1" x14ac:dyDescent="0.2">
      <c r="A190" s="30">
        <v>119246</v>
      </c>
      <c r="B190" s="30"/>
      <c r="C190" s="30" t="s">
        <v>219</v>
      </c>
      <c r="D190" s="426">
        <v>623</v>
      </c>
      <c r="E190" s="30" t="s">
        <v>327</v>
      </c>
      <c r="F190" s="30" t="s">
        <v>6</v>
      </c>
      <c r="G190" s="30" t="s">
        <v>454</v>
      </c>
      <c r="H190" s="30" t="s">
        <v>461</v>
      </c>
      <c r="I190" s="34" t="s">
        <v>28</v>
      </c>
      <c r="J190" s="34" t="s">
        <v>692</v>
      </c>
      <c r="K190" s="580">
        <f>49.64*88.2%</f>
        <v>43.78248</v>
      </c>
      <c r="L190" s="580">
        <v>2080</v>
      </c>
      <c r="M190" s="580"/>
      <c r="N190" s="580">
        <f t="shared" si="260"/>
        <v>91067.558399999994</v>
      </c>
      <c r="O190" s="580"/>
      <c r="P190" s="580">
        <f t="shared" si="261"/>
        <v>32602.185907199997</v>
      </c>
      <c r="Q190" s="580">
        <f t="shared" si="262"/>
        <v>1320.4795968000001</v>
      </c>
      <c r="R190" s="580">
        <v>0</v>
      </c>
      <c r="S190" s="580">
        <f>IF(H190="1",2828.52*2,0)</f>
        <v>5657.04</v>
      </c>
      <c r="T190" s="580">
        <f>IF(H190="1",154.92*2,0)</f>
        <v>309.83999999999997</v>
      </c>
      <c r="U190" s="580">
        <f>IF(H190="1",162*2,0)</f>
        <v>324</v>
      </c>
      <c r="V190" s="473">
        <f t="shared" ref="V190" si="314">SUM(N190:U190)</f>
        <v>131281.10390399996</v>
      </c>
      <c r="W190" s="580">
        <f t="shared" ref="W190" si="315">IF(P190&lt;&gt;"",V190*$W$27,0)</f>
        <v>0</v>
      </c>
      <c r="X190" s="580"/>
      <c r="Y190" s="581">
        <f t="shared" ref="Y190" si="316">X190+W190+V190</f>
        <v>131281.10390399996</v>
      </c>
    </row>
    <row r="191" spans="1:26" s="432" customFormat="1" ht="12.75" customHeight="1" x14ac:dyDescent="0.2">
      <c r="A191" s="30"/>
      <c r="B191" s="30"/>
      <c r="C191" s="30" t="s">
        <v>219</v>
      </c>
      <c r="D191" s="426">
        <v>623</v>
      </c>
      <c r="E191" s="30" t="s">
        <v>327</v>
      </c>
      <c r="F191" s="30" t="s">
        <v>6</v>
      </c>
      <c r="G191" s="30" t="s">
        <v>454</v>
      </c>
      <c r="H191" s="30" t="s">
        <v>461</v>
      </c>
      <c r="I191" s="34" t="s">
        <v>28</v>
      </c>
      <c r="J191" s="34" t="s">
        <v>114</v>
      </c>
      <c r="K191" s="580">
        <f>49.64*0.75%</f>
        <v>0.37229999999999996</v>
      </c>
      <c r="L191" s="580">
        <v>2080</v>
      </c>
      <c r="M191" s="580"/>
      <c r="N191" s="580">
        <f t="shared" si="260"/>
        <v>774.3839999999999</v>
      </c>
      <c r="O191" s="580"/>
      <c r="P191" s="580">
        <f t="shared" si="261"/>
        <v>277.22947199999993</v>
      </c>
      <c r="Q191" s="580">
        <f t="shared" si="262"/>
        <v>11.228567999999999</v>
      </c>
      <c r="R191" s="580">
        <v>0</v>
      </c>
      <c r="S191" s="580"/>
      <c r="T191" s="580"/>
      <c r="U191" s="580"/>
      <c r="V191" s="473">
        <f t="shared" ref="V191" si="317">SUM(N191:U191)</f>
        <v>1062.8420399999998</v>
      </c>
      <c r="W191" s="580">
        <f t="shared" ref="W191" si="318">IF(P191&lt;&gt;"",V191*$W$27,0)</f>
        <v>0</v>
      </c>
      <c r="X191" s="580"/>
      <c r="Y191" s="581">
        <f t="shared" ref="Y191" si="319">X191+W191+V191</f>
        <v>1062.8420399999998</v>
      </c>
    </row>
    <row r="192" spans="1:26" s="432" customFormat="1" ht="12.75" customHeight="1" x14ac:dyDescent="0.2">
      <c r="A192" s="30"/>
      <c r="B192" s="30"/>
      <c r="C192" s="30" t="s">
        <v>219</v>
      </c>
      <c r="D192" s="426">
        <v>623</v>
      </c>
      <c r="E192" s="30" t="s">
        <v>327</v>
      </c>
      <c r="F192" s="30" t="s">
        <v>6</v>
      </c>
      <c r="G192" s="30" t="s">
        <v>454</v>
      </c>
      <c r="H192" s="30" t="s">
        <v>461</v>
      </c>
      <c r="I192" s="34" t="s">
        <v>28</v>
      </c>
      <c r="J192" s="34" t="s">
        <v>116</v>
      </c>
      <c r="K192" s="580">
        <f>49.64*2.5%</f>
        <v>1.2410000000000001</v>
      </c>
      <c r="L192" s="580">
        <v>2080</v>
      </c>
      <c r="M192" s="580"/>
      <c r="N192" s="580">
        <f t="shared" si="260"/>
        <v>2581.2800000000002</v>
      </c>
      <c r="O192" s="580"/>
      <c r="P192" s="580">
        <f t="shared" si="261"/>
        <v>924.09824000000003</v>
      </c>
      <c r="Q192" s="580">
        <f t="shared" si="262"/>
        <v>37.428560000000004</v>
      </c>
      <c r="R192" s="580">
        <v>0</v>
      </c>
      <c r="S192" s="580"/>
      <c r="T192" s="580"/>
      <c r="U192" s="580"/>
      <c r="V192" s="473">
        <f t="shared" ref="V192" si="320">SUM(N192:U192)</f>
        <v>3542.8067999999998</v>
      </c>
      <c r="W192" s="580">
        <f t="shared" ref="W192" si="321">IF(P192&lt;&gt;"",V192*$W$27,0)</f>
        <v>0</v>
      </c>
      <c r="X192" s="580"/>
      <c r="Y192" s="581">
        <f t="shared" ref="Y192" si="322">X192+W192+V192</f>
        <v>3542.8067999999998</v>
      </c>
    </row>
    <row r="193" spans="1:26" s="432" customFormat="1" ht="12.75" customHeight="1" x14ac:dyDescent="0.2">
      <c r="A193" s="30"/>
      <c r="B193" s="30"/>
      <c r="C193" s="30" t="s">
        <v>219</v>
      </c>
      <c r="D193" s="426">
        <v>623</v>
      </c>
      <c r="E193" s="30" t="s">
        <v>327</v>
      </c>
      <c r="F193" s="30" t="s">
        <v>6</v>
      </c>
      <c r="G193" s="30" t="s">
        <v>454</v>
      </c>
      <c r="H193" s="30" t="s">
        <v>461</v>
      </c>
      <c r="I193" s="34" t="s">
        <v>28</v>
      </c>
      <c r="J193" s="34" t="s">
        <v>117</v>
      </c>
      <c r="K193" s="580">
        <f>49.64*0.5%</f>
        <v>0.2482</v>
      </c>
      <c r="L193" s="580">
        <v>2080</v>
      </c>
      <c r="M193" s="580"/>
      <c r="N193" s="580">
        <f t="shared" si="260"/>
        <v>516.25599999999997</v>
      </c>
      <c r="O193" s="580"/>
      <c r="P193" s="580">
        <f t="shared" si="261"/>
        <v>184.81964799999997</v>
      </c>
      <c r="Q193" s="580">
        <f t="shared" si="262"/>
        <v>7.4857120000000004</v>
      </c>
      <c r="R193" s="580">
        <v>0</v>
      </c>
      <c r="S193" s="580"/>
      <c r="T193" s="580"/>
      <c r="U193" s="580"/>
      <c r="V193" s="473">
        <f t="shared" ref="V193" si="323">SUM(N193:U193)</f>
        <v>708.56136000000004</v>
      </c>
      <c r="W193" s="580">
        <f t="shared" ref="W193" si="324">IF(P193&lt;&gt;"",V193*$W$27,0)</f>
        <v>0</v>
      </c>
      <c r="X193" s="580"/>
      <c r="Y193" s="581">
        <f t="shared" ref="Y193" si="325">X193+W193+V193</f>
        <v>708.56136000000004</v>
      </c>
    </row>
    <row r="194" spans="1:26" s="432" customFormat="1" ht="12.75" customHeight="1" x14ac:dyDescent="0.2">
      <c r="A194" s="30"/>
      <c r="B194" s="30"/>
      <c r="C194" s="30" t="s">
        <v>219</v>
      </c>
      <c r="D194" s="426">
        <v>623</v>
      </c>
      <c r="E194" s="30" t="s">
        <v>327</v>
      </c>
      <c r="F194" s="30" t="s">
        <v>6</v>
      </c>
      <c r="G194" s="30" t="s">
        <v>454</v>
      </c>
      <c r="H194" s="30" t="s">
        <v>461</v>
      </c>
      <c r="I194" s="34" t="s">
        <v>28</v>
      </c>
      <c r="J194" s="34" t="s">
        <v>121</v>
      </c>
      <c r="K194" s="580">
        <f>49.64*1%</f>
        <v>0.49640000000000001</v>
      </c>
      <c r="L194" s="580">
        <v>2080</v>
      </c>
      <c r="M194" s="580"/>
      <c r="N194" s="580">
        <f t="shared" si="260"/>
        <v>1032.5119999999999</v>
      </c>
      <c r="O194" s="580"/>
      <c r="P194" s="580">
        <f t="shared" si="261"/>
        <v>369.63929599999994</v>
      </c>
      <c r="Q194" s="580">
        <f t="shared" si="262"/>
        <v>14.971424000000001</v>
      </c>
      <c r="R194" s="580">
        <v>0</v>
      </c>
      <c r="S194" s="580"/>
      <c r="T194" s="580"/>
      <c r="U194" s="580"/>
      <c r="V194" s="473">
        <f t="shared" ref="V194" si="326">SUM(N194:U194)</f>
        <v>1417.1227200000001</v>
      </c>
      <c r="W194" s="580">
        <f t="shared" ref="W194" si="327">IF(P194&lt;&gt;"",V194*$W$27,0)</f>
        <v>0</v>
      </c>
      <c r="X194" s="580"/>
      <c r="Y194" s="581">
        <f t="shared" ref="Y194" si="328">X194+W194+V194</f>
        <v>1417.1227200000001</v>
      </c>
    </row>
    <row r="195" spans="1:26" s="432" customFormat="1" ht="12.75" customHeight="1" x14ac:dyDescent="0.2">
      <c r="A195" s="30"/>
      <c r="B195" s="30"/>
      <c r="C195" s="30" t="s">
        <v>219</v>
      </c>
      <c r="D195" s="426">
        <v>623</v>
      </c>
      <c r="E195" s="30" t="s">
        <v>327</v>
      </c>
      <c r="F195" s="30" t="s">
        <v>6</v>
      </c>
      <c r="G195" s="30" t="s">
        <v>454</v>
      </c>
      <c r="H195" s="30" t="s">
        <v>461</v>
      </c>
      <c r="I195" s="34" t="s">
        <v>28</v>
      </c>
      <c r="J195" s="34" t="s">
        <v>124</v>
      </c>
      <c r="K195" s="580">
        <f>49.64*0.5%</f>
        <v>0.2482</v>
      </c>
      <c r="L195" s="580">
        <v>2080</v>
      </c>
      <c r="M195" s="580"/>
      <c r="N195" s="580">
        <f t="shared" si="260"/>
        <v>516.25599999999997</v>
      </c>
      <c r="O195" s="580"/>
      <c r="P195" s="580">
        <f t="shared" si="261"/>
        <v>184.81964799999997</v>
      </c>
      <c r="Q195" s="580">
        <f t="shared" si="262"/>
        <v>7.4857120000000004</v>
      </c>
      <c r="R195" s="580">
        <v>0</v>
      </c>
      <c r="S195" s="580"/>
      <c r="T195" s="580"/>
      <c r="U195" s="580"/>
      <c r="V195" s="473">
        <f t="shared" ref="V195" si="329">SUM(N195:U195)</f>
        <v>708.56136000000004</v>
      </c>
      <c r="W195" s="580">
        <f t="shared" ref="W195" si="330">IF(P195&lt;&gt;"",V195*$W$27,0)</f>
        <v>0</v>
      </c>
      <c r="X195" s="580"/>
      <c r="Y195" s="581">
        <f t="shared" ref="Y195" si="331">X195+W195+V195</f>
        <v>708.56136000000004</v>
      </c>
    </row>
    <row r="196" spans="1:26" s="432" customFormat="1" ht="12.75" customHeight="1" x14ac:dyDescent="0.2">
      <c r="A196" s="30"/>
      <c r="B196" s="30"/>
      <c r="C196" s="30" t="s">
        <v>219</v>
      </c>
      <c r="D196" s="426">
        <v>623</v>
      </c>
      <c r="E196" s="30" t="s">
        <v>327</v>
      </c>
      <c r="F196" s="30" t="s">
        <v>6</v>
      </c>
      <c r="G196" s="30" t="s">
        <v>454</v>
      </c>
      <c r="H196" s="30" t="s">
        <v>461</v>
      </c>
      <c r="I196" s="34" t="s">
        <v>28</v>
      </c>
      <c r="J196" s="34" t="s">
        <v>127</v>
      </c>
      <c r="K196" s="580">
        <f>49.64*0.25%</f>
        <v>0.1241</v>
      </c>
      <c r="L196" s="580">
        <v>2080</v>
      </c>
      <c r="M196" s="580"/>
      <c r="N196" s="580">
        <f t="shared" si="260"/>
        <v>258.12799999999999</v>
      </c>
      <c r="O196" s="580"/>
      <c r="P196" s="580">
        <f t="shared" si="261"/>
        <v>92.409823999999986</v>
      </c>
      <c r="Q196" s="580">
        <f t="shared" si="262"/>
        <v>3.7428560000000002</v>
      </c>
      <c r="R196" s="580">
        <v>0</v>
      </c>
      <c r="S196" s="580"/>
      <c r="T196" s="580"/>
      <c r="U196" s="580"/>
      <c r="V196" s="473">
        <f t="shared" ref="V196" si="332">SUM(N196:U196)</f>
        <v>354.28068000000002</v>
      </c>
      <c r="W196" s="580">
        <f t="shared" ref="W196" si="333">IF(P196&lt;&gt;"",V196*$W$27,0)</f>
        <v>0</v>
      </c>
      <c r="X196" s="580"/>
      <c r="Y196" s="581">
        <f t="shared" ref="Y196" si="334">X196+W196+V196</f>
        <v>354.28068000000002</v>
      </c>
    </row>
    <row r="197" spans="1:26" s="432" customFormat="1" ht="12.75" customHeight="1" x14ac:dyDescent="0.2">
      <c r="A197" s="30"/>
      <c r="B197" s="30"/>
      <c r="C197" s="30" t="s">
        <v>219</v>
      </c>
      <c r="D197" s="426">
        <v>623</v>
      </c>
      <c r="E197" s="30" t="s">
        <v>327</v>
      </c>
      <c r="F197" s="30" t="s">
        <v>6</v>
      </c>
      <c r="G197" s="30" t="s">
        <v>454</v>
      </c>
      <c r="H197" s="30" t="s">
        <v>461</v>
      </c>
      <c r="I197" s="34" t="s">
        <v>28</v>
      </c>
      <c r="J197" s="34" t="s">
        <v>128</v>
      </c>
      <c r="K197" s="580">
        <f>49.64*0.5%</f>
        <v>0.2482</v>
      </c>
      <c r="L197" s="580">
        <v>2080</v>
      </c>
      <c r="M197" s="580"/>
      <c r="N197" s="580">
        <f t="shared" si="260"/>
        <v>516.25599999999997</v>
      </c>
      <c r="O197" s="580"/>
      <c r="P197" s="580">
        <f t="shared" si="261"/>
        <v>184.81964799999997</v>
      </c>
      <c r="Q197" s="580">
        <f t="shared" si="262"/>
        <v>7.4857120000000004</v>
      </c>
      <c r="R197" s="580">
        <v>0</v>
      </c>
      <c r="S197" s="580"/>
      <c r="T197" s="580"/>
      <c r="U197" s="580"/>
      <c r="V197" s="473">
        <f t="shared" ref="V197" si="335">SUM(N197:U197)</f>
        <v>708.56136000000004</v>
      </c>
      <c r="W197" s="580">
        <f t="shared" ref="W197" si="336">IF(P197&lt;&gt;"",V197*$W$27,0)</f>
        <v>0</v>
      </c>
      <c r="X197" s="580"/>
      <c r="Y197" s="581">
        <f t="shared" ref="Y197" si="337">X197+W197+V197</f>
        <v>708.56136000000004</v>
      </c>
    </row>
    <row r="198" spans="1:26" s="432" customFormat="1" ht="12.75" customHeight="1" x14ac:dyDescent="0.2">
      <c r="A198" s="30"/>
      <c r="B198" s="30"/>
      <c r="C198" s="30" t="s">
        <v>219</v>
      </c>
      <c r="D198" s="426">
        <v>623</v>
      </c>
      <c r="E198" s="30" t="s">
        <v>327</v>
      </c>
      <c r="F198" s="30" t="s">
        <v>6</v>
      </c>
      <c r="G198" s="30" t="s">
        <v>454</v>
      </c>
      <c r="H198" s="30" t="s">
        <v>461</v>
      </c>
      <c r="I198" s="34" t="s">
        <v>28</v>
      </c>
      <c r="J198" s="34" t="s">
        <v>133</v>
      </c>
      <c r="K198" s="580">
        <f>49.64*0.5%</f>
        <v>0.2482</v>
      </c>
      <c r="L198" s="580">
        <v>2080</v>
      </c>
      <c r="M198" s="580"/>
      <c r="N198" s="580">
        <f t="shared" si="260"/>
        <v>516.25599999999997</v>
      </c>
      <c r="O198" s="580"/>
      <c r="P198" s="580">
        <f t="shared" si="261"/>
        <v>184.81964799999997</v>
      </c>
      <c r="Q198" s="580">
        <f t="shared" si="262"/>
        <v>7.4857120000000004</v>
      </c>
      <c r="R198" s="580">
        <v>0</v>
      </c>
      <c r="S198" s="580"/>
      <c r="T198" s="580"/>
      <c r="U198" s="580"/>
      <c r="V198" s="473">
        <f t="shared" ref="V198" si="338">SUM(N198:U198)</f>
        <v>708.56136000000004</v>
      </c>
      <c r="W198" s="580">
        <f t="shared" ref="W198" si="339">IF(P198&lt;&gt;"",V198*$W$27,0)</f>
        <v>0</v>
      </c>
      <c r="X198" s="580"/>
      <c r="Y198" s="581">
        <f t="shared" ref="Y198" si="340">X198+W198+V198</f>
        <v>708.56136000000004</v>
      </c>
    </row>
    <row r="199" spans="1:26" s="432" customFormat="1" ht="12.75" customHeight="1" x14ac:dyDescent="0.2">
      <c r="A199" s="30"/>
      <c r="B199" s="30"/>
      <c r="C199" s="30" t="s">
        <v>219</v>
      </c>
      <c r="D199" s="426">
        <v>623</v>
      </c>
      <c r="E199" s="30" t="s">
        <v>327</v>
      </c>
      <c r="F199" s="30" t="s">
        <v>6</v>
      </c>
      <c r="G199" s="30" t="s">
        <v>454</v>
      </c>
      <c r="H199" s="30" t="s">
        <v>461</v>
      </c>
      <c r="I199" s="34" t="s">
        <v>28</v>
      </c>
      <c r="J199" s="34" t="s">
        <v>1136</v>
      </c>
      <c r="K199" s="580">
        <f>49.64*0.75%</f>
        <v>0.37229999999999996</v>
      </c>
      <c r="L199" s="580">
        <v>2080</v>
      </c>
      <c r="M199" s="580"/>
      <c r="N199" s="580">
        <f t="shared" si="260"/>
        <v>774.3839999999999</v>
      </c>
      <c r="O199" s="580"/>
      <c r="P199" s="580">
        <f t="shared" si="261"/>
        <v>277.22947199999993</v>
      </c>
      <c r="Q199" s="580">
        <f t="shared" si="262"/>
        <v>11.228567999999999</v>
      </c>
      <c r="R199" s="580">
        <v>0</v>
      </c>
      <c r="S199" s="580"/>
      <c r="T199" s="580"/>
      <c r="U199" s="580"/>
      <c r="V199" s="473">
        <f t="shared" ref="V199" si="341">SUM(N199:U199)</f>
        <v>1062.8420399999998</v>
      </c>
      <c r="W199" s="580">
        <f t="shared" ref="W199" si="342">IF(P199&lt;&gt;"",V199*$W$27,0)</f>
        <v>0</v>
      </c>
      <c r="X199" s="580"/>
      <c r="Y199" s="581">
        <f t="shared" ref="Y199" si="343">X199+W199+V199</f>
        <v>1062.8420399999998</v>
      </c>
    </row>
    <row r="200" spans="1:26" s="432" customFormat="1" ht="12.75" customHeight="1" x14ac:dyDescent="0.2">
      <c r="A200" s="30"/>
      <c r="B200" s="30"/>
      <c r="C200" s="30" t="s">
        <v>219</v>
      </c>
      <c r="D200" s="426">
        <v>623</v>
      </c>
      <c r="E200" s="30" t="s">
        <v>327</v>
      </c>
      <c r="F200" s="30" t="s">
        <v>6</v>
      </c>
      <c r="G200" s="30" t="s">
        <v>454</v>
      </c>
      <c r="H200" s="30" t="s">
        <v>461</v>
      </c>
      <c r="I200" s="34" t="s">
        <v>28</v>
      </c>
      <c r="J200" s="34" t="s">
        <v>143</v>
      </c>
      <c r="K200" s="580">
        <f>49.64*0.5%</f>
        <v>0.2482</v>
      </c>
      <c r="L200" s="580">
        <v>2080</v>
      </c>
      <c r="M200" s="580"/>
      <c r="N200" s="580">
        <f t="shared" si="260"/>
        <v>516.25599999999997</v>
      </c>
      <c r="O200" s="580"/>
      <c r="P200" s="580">
        <f t="shared" si="261"/>
        <v>184.81964799999997</v>
      </c>
      <c r="Q200" s="580">
        <f t="shared" si="262"/>
        <v>7.4857120000000004</v>
      </c>
      <c r="R200" s="580">
        <v>0</v>
      </c>
      <c r="S200" s="580"/>
      <c r="T200" s="580"/>
      <c r="U200" s="580"/>
      <c r="V200" s="473">
        <f t="shared" ref="V200" si="344">SUM(N200:U200)</f>
        <v>708.56136000000004</v>
      </c>
      <c r="W200" s="580">
        <f t="shared" ref="W200" si="345">IF(P200&lt;&gt;"",V200*$W$27,0)</f>
        <v>0</v>
      </c>
      <c r="X200" s="580"/>
      <c r="Y200" s="581">
        <f t="shared" ref="Y200" si="346">X200+W200+V200</f>
        <v>708.56136000000004</v>
      </c>
    </row>
    <row r="201" spans="1:26" s="432" customFormat="1" ht="12.75" customHeight="1" x14ac:dyDescent="0.2">
      <c r="A201" s="30"/>
      <c r="B201" s="30"/>
      <c r="C201" s="30" t="s">
        <v>219</v>
      </c>
      <c r="D201" s="426">
        <v>623</v>
      </c>
      <c r="E201" s="30" t="s">
        <v>327</v>
      </c>
      <c r="F201" s="30" t="s">
        <v>6</v>
      </c>
      <c r="G201" s="30" t="s">
        <v>454</v>
      </c>
      <c r="H201" s="30" t="s">
        <v>461</v>
      </c>
      <c r="I201" s="34" t="s">
        <v>28</v>
      </c>
      <c r="J201" s="34" t="s">
        <v>144</v>
      </c>
      <c r="K201" s="580">
        <f>49.64*0.8%</f>
        <v>0.39712000000000003</v>
      </c>
      <c r="L201" s="580">
        <v>2080</v>
      </c>
      <c r="M201" s="580"/>
      <c r="N201" s="580">
        <f t="shared" si="260"/>
        <v>826.00960000000009</v>
      </c>
      <c r="O201" s="580"/>
      <c r="P201" s="580">
        <f t="shared" si="261"/>
        <v>295.7114368</v>
      </c>
      <c r="Q201" s="580">
        <f t="shared" si="262"/>
        <v>11.977139200000002</v>
      </c>
      <c r="R201" s="580">
        <v>0</v>
      </c>
      <c r="S201" s="580"/>
      <c r="T201" s="580"/>
      <c r="U201" s="580"/>
      <c r="V201" s="473">
        <f t="shared" ref="V201" si="347">SUM(N201:U201)</f>
        <v>1133.6981760000001</v>
      </c>
      <c r="W201" s="580">
        <f t="shared" ref="W201" si="348">IF(P201&lt;&gt;"",V201*$W$27,0)</f>
        <v>0</v>
      </c>
      <c r="X201" s="580"/>
      <c r="Y201" s="581">
        <f t="shared" ref="Y201" si="349">X201+W201+V201</f>
        <v>1133.6981760000001</v>
      </c>
    </row>
    <row r="202" spans="1:26" s="432" customFormat="1" ht="12.75" customHeight="1" x14ac:dyDescent="0.2">
      <c r="A202" s="30"/>
      <c r="B202" s="30"/>
      <c r="C202" s="30" t="s">
        <v>219</v>
      </c>
      <c r="D202" s="426">
        <v>623</v>
      </c>
      <c r="E202" s="30" t="s">
        <v>327</v>
      </c>
      <c r="F202" s="30" t="s">
        <v>6</v>
      </c>
      <c r="G202" s="30" t="s">
        <v>454</v>
      </c>
      <c r="H202" s="30" t="s">
        <v>461</v>
      </c>
      <c r="I202" s="34" t="s">
        <v>28</v>
      </c>
      <c r="J202" s="34" t="s">
        <v>148</v>
      </c>
      <c r="K202" s="580">
        <f>49.64*1%</f>
        <v>0.49640000000000001</v>
      </c>
      <c r="L202" s="580">
        <v>2080</v>
      </c>
      <c r="M202" s="580"/>
      <c r="N202" s="580">
        <f t="shared" si="260"/>
        <v>1032.5119999999999</v>
      </c>
      <c r="O202" s="580"/>
      <c r="P202" s="580">
        <f t="shared" si="261"/>
        <v>369.63929599999994</v>
      </c>
      <c r="Q202" s="580">
        <f t="shared" si="262"/>
        <v>14.971424000000001</v>
      </c>
      <c r="R202" s="580">
        <v>0</v>
      </c>
      <c r="S202" s="580"/>
      <c r="T202" s="580"/>
      <c r="U202" s="580"/>
      <c r="V202" s="473">
        <f t="shared" ref="V202" si="350">SUM(N202:U202)</f>
        <v>1417.1227200000001</v>
      </c>
      <c r="W202" s="580">
        <f t="shared" ref="W202" si="351">IF(P202&lt;&gt;"",V202*$W$27,0)</f>
        <v>0</v>
      </c>
      <c r="X202" s="580"/>
      <c r="Y202" s="581">
        <f t="shared" ref="Y202" si="352">X202+W202+V202</f>
        <v>1417.1227200000001</v>
      </c>
    </row>
    <row r="203" spans="1:26" ht="12.75" customHeight="1" x14ac:dyDescent="0.2">
      <c r="A203" s="30"/>
      <c r="B203" s="30"/>
      <c r="C203" s="30" t="s">
        <v>219</v>
      </c>
      <c r="D203" s="426">
        <v>623</v>
      </c>
      <c r="E203" s="30" t="s">
        <v>327</v>
      </c>
      <c r="F203" s="30" t="s">
        <v>6</v>
      </c>
      <c r="G203" s="30" t="s">
        <v>454</v>
      </c>
      <c r="H203" s="30" t="s">
        <v>461</v>
      </c>
      <c r="I203" s="34" t="s">
        <v>28</v>
      </c>
      <c r="J203" s="34" t="s">
        <v>63</v>
      </c>
      <c r="K203" s="580">
        <f>49.64*1%</f>
        <v>0.49640000000000001</v>
      </c>
      <c r="L203" s="580">
        <v>2080</v>
      </c>
      <c r="M203" s="580"/>
      <c r="N203" s="580">
        <f t="shared" si="260"/>
        <v>1032.5119999999999</v>
      </c>
      <c r="O203" s="580"/>
      <c r="P203" s="580">
        <f t="shared" si="261"/>
        <v>369.63929599999994</v>
      </c>
      <c r="Q203" s="580">
        <f t="shared" si="262"/>
        <v>14.971424000000001</v>
      </c>
      <c r="R203" s="580">
        <v>0</v>
      </c>
      <c r="S203" s="580"/>
      <c r="T203" s="580"/>
      <c r="U203" s="580"/>
      <c r="V203" s="473">
        <f t="shared" ref="V203" si="353">SUM(N203:U203)</f>
        <v>1417.1227200000001</v>
      </c>
      <c r="W203" s="580">
        <f t="shared" ref="W203" si="354">IF(P203&lt;&gt;"",V203*$W$27,0)</f>
        <v>0</v>
      </c>
      <c r="X203" s="580"/>
      <c r="Y203" s="581">
        <f t="shared" ref="Y203" si="355">X203+W203+V203</f>
        <v>1417.1227200000001</v>
      </c>
      <c r="Z203" s="432"/>
    </row>
    <row r="204" spans="1:26" ht="12.75" customHeight="1" x14ac:dyDescent="0.2">
      <c r="A204" s="30"/>
      <c r="B204" s="30"/>
      <c r="C204" s="30" t="s">
        <v>219</v>
      </c>
      <c r="D204" s="426">
        <v>623</v>
      </c>
      <c r="E204" s="30" t="s">
        <v>327</v>
      </c>
      <c r="F204" s="30" t="s">
        <v>6</v>
      </c>
      <c r="G204" s="30" t="s">
        <v>454</v>
      </c>
      <c r="H204" s="30" t="s">
        <v>461</v>
      </c>
      <c r="I204" s="34" t="s">
        <v>28</v>
      </c>
      <c r="J204" s="34" t="s">
        <v>64</v>
      </c>
      <c r="K204" s="580">
        <f>49.64*1%</f>
        <v>0.49640000000000001</v>
      </c>
      <c r="L204" s="580">
        <v>2080</v>
      </c>
      <c r="M204" s="580"/>
      <c r="N204" s="580">
        <f t="shared" si="260"/>
        <v>1032.5119999999999</v>
      </c>
      <c r="O204" s="580"/>
      <c r="P204" s="580">
        <f t="shared" si="261"/>
        <v>369.63929599999994</v>
      </c>
      <c r="Q204" s="580">
        <f t="shared" si="262"/>
        <v>14.971424000000001</v>
      </c>
      <c r="R204" s="580">
        <v>0</v>
      </c>
      <c r="S204" s="580"/>
      <c r="T204" s="580"/>
      <c r="U204" s="580"/>
      <c r="V204" s="473">
        <f t="shared" ref="V204" si="356">SUM(N204:U204)</f>
        <v>1417.1227200000001</v>
      </c>
      <c r="W204" s="580">
        <f t="shared" ref="W204" si="357">IF(P204&lt;&gt;"",V204*$W$27,0)</f>
        <v>0</v>
      </c>
      <c r="X204" s="580"/>
      <c r="Y204" s="581">
        <f t="shared" ref="Y204" si="358">X204+W204+V204</f>
        <v>1417.1227200000001</v>
      </c>
      <c r="Z204" s="432"/>
    </row>
    <row r="205" spans="1:26" s="432" customFormat="1" ht="12.75" customHeight="1" x14ac:dyDescent="0.2">
      <c r="A205" s="30"/>
      <c r="B205" s="30"/>
      <c r="C205" s="30" t="s">
        <v>219</v>
      </c>
      <c r="D205" s="426">
        <v>623</v>
      </c>
      <c r="E205" s="30" t="s">
        <v>327</v>
      </c>
      <c r="F205" s="30" t="s">
        <v>6</v>
      </c>
      <c r="G205" s="30" t="s">
        <v>454</v>
      </c>
      <c r="H205" s="30" t="s">
        <v>461</v>
      </c>
      <c r="I205" s="34" t="s">
        <v>28</v>
      </c>
      <c r="J205" s="34" t="s">
        <v>159</v>
      </c>
      <c r="K205" s="580">
        <f>49.64*0.25%</f>
        <v>0.1241</v>
      </c>
      <c r="L205" s="580">
        <v>2080</v>
      </c>
      <c r="M205" s="580"/>
      <c r="N205" s="580">
        <f t="shared" si="260"/>
        <v>258.12799999999999</v>
      </c>
      <c r="O205" s="580"/>
      <c r="P205" s="580">
        <f t="shared" si="261"/>
        <v>92.409823999999986</v>
      </c>
      <c r="Q205" s="580">
        <f t="shared" si="262"/>
        <v>3.7428560000000002</v>
      </c>
      <c r="R205" s="580">
        <v>0</v>
      </c>
      <c r="S205" s="580"/>
      <c r="T205" s="580"/>
      <c r="U205" s="580"/>
      <c r="V205" s="473">
        <f t="shared" ref="V205" si="359">SUM(N205:U205)</f>
        <v>354.28068000000002</v>
      </c>
      <c r="W205" s="580">
        <f t="shared" ref="W205" si="360">IF(P205&lt;&gt;"",V205*$W$27,0)</f>
        <v>0</v>
      </c>
      <c r="X205" s="580"/>
      <c r="Y205" s="581">
        <f t="shared" ref="Y205" si="361">X205+W205+V205</f>
        <v>354.28068000000002</v>
      </c>
    </row>
    <row r="206" spans="1:26" ht="12.75" customHeight="1" x14ac:dyDescent="0.2">
      <c r="A206" s="30">
        <v>190833</v>
      </c>
      <c r="B206" s="30"/>
      <c r="C206" s="30" t="s">
        <v>251</v>
      </c>
      <c r="D206" s="426">
        <v>615</v>
      </c>
      <c r="E206" s="30" t="s">
        <v>354</v>
      </c>
      <c r="F206" s="30" t="s">
        <v>6</v>
      </c>
      <c r="G206" s="30" t="s">
        <v>454</v>
      </c>
      <c r="H206" s="30" t="s">
        <v>461</v>
      </c>
      <c r="I206" s="34" t="s">
        <v>684</v>
      </c>
      <c r="J206" s="34" t="s">
        <v>692</v>
      </c>
      <c r="K206" s="580">
        <v>22.66</v>
      </c>
      <c r="L206" s="580">
        <v>2080</v>
      </c>
      <c r="M206" s="580"/>
      <c r="N206" s="580">
        <f>IF(H206="1",(L206*K206)+(M206*K206),0)</f>
        <v>47132.800000000003</v>
      </c>
      <c r="O206" s="580"/>
      <c r="P206" s="580">
        <f>(N206-(M206*K206))*$P$27</f>
        <v>16873.542400000002</v>
      </c>
      <c r="Q206" s="580">
        <f>N206*$Q$27</f>
        <v>683.42560000000003</v>
      </c>
      <c r="R206" s="580">
        <v>0</v>
      </c>
      <c r="S206" s="580">
        <f>IF(H206="1",3242.52*2,0)</f>
        <v>6485.04</v>
      </c>
      <c r="T206" s="580">
        <f>IF(H206="1",157.32*2,0)</f>
        <v>314.64</v>
      </c>
      <c r="U206" s="580">
        <v>0</v>
      </c>
      <c r="V206" s="473">
        <f t="shared" ref="V206" si="362">SUM(N206:U206)</f>
        <v>71489.448000000004</v>
      </c>
      <c r="W206" s="580">
        <f t="shared" ref="W206" si="363">IF(P206&lt;&gt;"",V206*$W$27,0)</f>
        <v>0</v>
      </c>
      <c r="X206" s="580"/>
      <c r="Y206" s="581">
        <f t="shared" ref="Y206" si="364">X206+W206+V206</f>
        <v>71489.448000000004</v>
      </c>
      <c r="Z206" s="432"/>
    </row>
    <row r="207" spans="1:26" s="432" customFormat="1" ht="12.75" customHeight="1" x14ac:dyDescent="0.2">
      <c r="A207" s="30">
        <v>208920</v>
      </c>
      <c r="B207" s="30"/>
      <c r="C207" s="30" t="s">
        <v>304</v>
      </c>
      <c r="D207" s="426">
        <v>615</v>
      </c>
      <c r="E207" s="30" t="s">
        <v>354</v>
      </c>
      <c r="F207" s="30" t="s">
        <v>6</v>
      </c>
      <c r="G207" s="30" t="s">
        <v>454</v>
      </c>
      <c r="H207" s="30" t="s">
        <v>461</v>
      </c>
      <c r="I207" s="34" t="s">
        <v>34</v>
      </c>
      <c r="J207" s="34" t="s">
        <v>167</v>
      </c>
      <c r="K207" s="580">
        <f>23.52*20%</f>
        <v>4.7039999999999997</v>
      </c>
      <c r="L207" s="580">
        <v>2080</v>
      </c>
      <c r="M207" s="580"/>
      <c r="N207" s="580">
        <f>IF(H207="1",(L207*K207)+(M207*K207),0)</f>
        <v>9784.32</v>
      </c>
      <c r="O207" s="580"/>
      <c r="P207" s="580">
        <f>(N207-(M207*K207))*$P$27</f>
        <v>3502.7865599999996</v>
      </c>
      <c r="Q207" s="580">
        <f>N207*$Q$27</f>
        <v>141.87263999999999</v>
      </c>
      <c r="R207" s="580">
        <v>0</v>
      </c>
      <c r="S207" s="580">
        <f>IF(H207="1",5166.6*2,0)</f>
        <v>10333.200000000001</v>
      </c>
      <c r="T207" s="580">
        <f>IF(H207="1",472.56*2,0)</f>
        <v>945.12</v>
      </c>
      <c r="U207" s="580">
        <v>0</v>
      </c>
      <c r="V207" s="473">
        <f t="shared" ref="V207" si="365">SUM(N207:U207)</f>
        <v>24707.299199999998</v>
      </c>
      <c r="W207" s="580">
        <f t="shared" ref="W207" si="366">IF(P207&lt;&gt;"",V207*$W$27,0)</f>
        <v>0</v>
      </c>
      <c r="X207" s="580"/>
      <c r="Y207" s="581">
        <f t="shared" ref="Y207" si="367">X207+W207+V207</f>
        <v>24707.299199999998</v>
      </c>
    </row>
    <row r="208" spans="1:26" s="432" customFormat="1" ht="12.75" customHeight="1" x14ac:dyDescent="0.2">
      <c r="A208" s="30"/>
      <c r="B208" s="30"/>
      <c r="C208" s="30" t="s">
        <v>304</v>
      </c>
      <c r="D208" s="426">
        <v>615</v>
      </c>
      <c r="E208" s="30" t="s">
        <v>354</v>
      </c>
      <c r="F208" s="30" t="s">
        <v>6</v>
      </c>
      <c r="G208" s="30" t="s">
        <v>454</v>
      </c>
      <c r="H208" s="30" t="s">
        <v>461</v>
      </c>
      <c r="I208" s="34" t="s">
        <v>34</v>
      </c>
      <c r="J208" s="34" t="s">
        <v>121</v>
      </c>
      <c r="K208" s="580">
        <f>23.52*80%</f>
        <v>18.815999999999999</v>
      </c>
      <c r="L208" s="580">
        <v>2080</v>
      </c>
      <c r="M208" s="580"/>
      <c r="N208" s="580">
        <f>IF(H208="1",(L208*K208)+(M208*K208),0)</f>
        <v>39137.279999999999</v>
      </c>
      <c r="O208" s="580"/>
      <c r="P208" s="580">
        <f>(N208-(M208*K208))*$P$27</f>
        <v>14011.146239999998</v>
      </c>
      <c r="Q208" s="580">
        <f>N208*$Q$27</f>
        <v>567.49055999999996</v>
      </c>
      <c r="R208" s="580">
        <v>0</v>
      </c>
      <c r="S208" s="580"/>
      <c r="T208" s="580"/>
      <c r="U208" s="580"/>
      <c r="V208" s="473">
        <f t="shared" ref="V208" si="368">SUM(N208:U208)</f>
        <v>53715.916799999999</v>
      </c>
      <c r="W208" s="580">
        <f t="shared" ref="W208" si="369">IF(P208&lt;&gt;"",V208*$W$27,0)</f>
        <v>0</v>
      </c>
      <c r="X208" s="580"/>
      <c r="Y208" s="581">
        <f t="shared" ref="Y208" si="370">X208+W208+V208</f>
        <v>53715.916799999999</v>
      </c>
    </row>
    <row r="209" spans="1:26" s="432" customFormat="1" ht="12.75" customHeight="1" x14ac:dyDescent="0.2">
      <c r="A209" s="30">
        <v>204860</v>
      </c>
      <c r="B209" s="30"/>
      <c r="C209" s="30" t="s">
        <v>258</v>
      </c>
      <c r="D209" s="426">
        <v>615</v>
      </c>
      <c r="E209" s="30" t="s">
        <v>354</v>
      </c>
      <c r="F209" s="30" t="s">
        <v>6</v>
      </c>
      <c r="G209" s="30" t="s">
        <v>454</v>
      </c>
      <c r="H209" s="30" t="s">
        <v>461</v>
      </c>
      <c r="I209" s="34" t="s">
        <v>685</v>
      </c>
      <c r="J209" s="34" t="s">
        <v>161</v>
      </c>
      <c r="K209" s="580">
        <f>21.91*5%</f>
        <v>1.0955000000000001</v>
      </c>
      <c r="L209" s="580">
        <v>2080</v>
      </c>
      <c r="M209" s="580"/>
      <c r="N209" s="580">
        <f>IF(H209="1",(L209*K209)+(M209*K209),0)</f>
        <v>2278.6400000000003</v>
      </c>
      <c r="O209" s="580"/>
      <c r="P209" s="580">
        <f>(N209-(M209*K209))*$P$27</f>
        <v>815.75312000000008</v>
      </c>
      <c r="Q209" s="580">
        <f>N209*$Q$27</f>
        <v>33.04028000000001</v>
      </c>
      <c r="R209" s="580">
        <v>0</v>
      </c>
      <c r="S209" s="580">
        <f>IF(H209="1",2828.52*2,0)</f>
        <v>5657.04</v>
      </c>
      <c r="T209" s="580">
        <f>IF(H209="1",127.2*2,0)</f>
        <v>254.4</v>
      </c>
      <c r="U209" s="580">
        <v>0</v>
      </c>
      <c r="V209" s="473">
        <f t="shared" ref="V209" si="371">SUM(N209:U209)</f>
        <v>9038.8734000000004</v>
      </c>
      <c r="W209" s="580">
        <f t="shared" ref="W209" si="372">IF(P209&lt;&gt;"",V209*$W$27,0)</f>
        <v>0</v>
      </c>
      <c r="X209" s="580"/>
      <c r="Y209" s="581">
        <f t="shared" ref="Y209" si="373">X209+W209+V209</f>
        <v>9038.8734000000004</v>
      </c>
    </row>
    <row r="210" spans="1:26" s="432" customFormat="1" ht="12.75" customHeight="1" x14ac:dyDescent="0.2">
      <c r="A210" s="30"/>
      <c r="B210" s="30"/>
      <c r="C210" s="30" t="s">
        <v>258</v>
      </c>
      <c r="D210" s="426">
        <v>615</v>
      </c>
      <c r="E210" s="30" t="s">
        <v>354</v>
      </c>
      <c r="F210" s="30" t="s">
        <v>6</v>
      </c>
      <c r="G210" s="30" t="s">
        <v>454</v>
      </c>
      <c r="H210" s="30" t="s">
        <v>461</v>
      </c>
      <c r="I210" s="34" t="s">
        <v>685</v>
      </c>
      <c r="J210" s="34" t="s">
        <v>1477</v>
      </c>
      <c r="K210" s="580">
        <f>21.91*7%</f>
        <v>1.5337000000000001</v>
      </c>
      <c r="L210" s="580">
        <v>2080</v>
      </c>
      <c r="M210" s="580"/>
      <c r="N210" s="580">
        <f t="shared" ref="N210:N219" si="374">IF(H210="1",(L210*K210)+(M210*K210),0)</f>
        <v>3190.096</v>
      </c>
      <c r="O210" s="580"/>
      <c r="P210" s="580">
        <f t="shared" ref="P210:P244" si="375">(N210-(M210*K210))*$P$27</f>
        <v>1142.0543679999998</v>
      </c>
      <c r="Q210" s="580">
        <f t="shared" ref="Q210:Q219" si="376">N210*$Q$27</f>
        <v>46.256392000000005</v>
      </c>
      <c r="R210" s="580">
        <v>0</v>
      </c>
      <c r="S210" s="580"/>
      <c r="T210" s="580"/>
      <c r="U210" s="580"/>
      <c r="V210" s="473">
        <f t="shared" ref="V210" si="377">SUM(N210:U210)</f>
        <v>4378.4067599999998</v>
      </c>
      <c r="W210" s="580">
        <f t="shared" ref="W210" si="378">IF(P210&lt;&gt;"",V210*$W$27,0)</f>
        <v>0</v>
      </c>
      <c r="X210" s="580"/>
      <c r="Y210" s="581">
        <f t="shared" ref="Y210" si="379">X210+W210+V210</f>
        <v>4378.4067599999998</v>
      </c>
    </row>
    <row r="211" spans="1:26" s="432" customFormat="1" ht="12.75" customHeight="1" x14ac:dyDescent="0.2">
      <c r="A211" s="30"/>
      <c r="B211" s="30"/>
      <c r="C211" s="30" t="s">
        <v>258</v>
      </c>
      <c r="D211" s="426">
        <v>615</v>
      </c>
      <c r="E211" s="30" t="s">
        <v>354</v>
      </c>
      <c r="F211" s="30" t="s">
        <v>6</v>
      </c>
      <c r="G211" s="30" t="s">
        <v>454</v>
      </c>
      <c r="H211" s="30" t="s">
        <v>461</v>
      </c>
      <c r="I211" s="34" t="s">
        <v>685</v>
      </c>
      <c r="J211" s="34" t="s">
        <v>135</v>
      </c>
      <c r="K211" s="580">
        <f>21.91*7%</f>
        <v>1.5337000000000001</v>
      </c>
      <c r="L211" s="580">
        <v>2080</v>
      </c>
      <c r="M211" s="580"/>
      <c r="N211" s="580">
        <f t="shared" si="374"/>
        <v>3190.096</v>
      </c>
      <c r="O211" s="580"/>
      <c r="P211" s="580">
        <f t="shared" si="375"/>
        <v>1142.0543679999998</v>
      </c>
      <c r="Q211" s="580">
        <f t="shared" si="376"/>
        <v>46.256392000000005</v>
      </c>
      <c r="R211" s="580">
        <v>0</v>
      </c>
      <c r="S211" s="580"/>
      <c r="T211" s="580"/>
      <c r="U211" s="580"/>
      <c r="V211" s="473">
        <f t="shared" ref="V211" si="380">SUM(N211:U211)</f>
        <v>4378.4067599999998</v>
      </c>
      <c r="W211" s="580">
        <f t="shared" ref="W211" si="381">IF(P211&lt;&gt;"",V211*$W$27,0)</f>
        <v>0</v>
      </c>
      <c r="X211" s="580"/>
      <c r="Y211" s="581">
        <f t="shared" ref="Y211" si="382">X211+W211+V211</f>
        <v>4378.4067599999998</v>
      </c>
    </row>
    <row r="212" spans="1:26" ht="12.75" customHeight="1" x14ac:dyDescent="0.2">
      <c r="A212" s="30"/>
      <c r="B212" s="30"/>
      <c r="C212" s="30" t="s">
        <v>258</v>
      </c>
      <c r="D212" s="426">
        <v>615</v>
      </c>
      <c r="E212" s="30" t="s">
        <v>354</v>
      </c>
      <c r="F212" s="30" t="s">
        <v>6</v>
      </c>
      <c r="G212" s="30" t="s">
        <v>454</v>
      </c>
      <c r="H212" s="30" t="s">
        <v>461</v>
      </c>
      <c r="I212" s="34" t="s">
        <v>685</v>
      </c>
      <c r="J212" s="34" t="s">
        <v>692</v>
      </c>
      <c r="K212" s="580">
        <f>21.91*3%</f>
        <v>0.6573</v>
      </c>
      <c r="L212" s="580">
        <v>2080</v>
      </c>
      <c r="M212" s="580"/>
      <c r="N212" s="580">
        <f t="shared" si="374"/>
        <v>1367.184</v>
      </c>
      <c r="O212" s="580"/>
      <c r="P212" s="580">
        <f t="shared" si="375"/>
        <v>489.45187199999998</v>
      </c>
      <c r="Q212" s="580">
        <f t="shared" si="376"/>
        <v>19.824168</v>
      </c>
      <c r="R212" s="580">
        <v>0</v>
      </c>
      <c r="S212" s="580"/>
      <c r="T212" s="580"/>
      <c r="U212" s="580"/>
      <c r="V212" s="473">
        <f t="shared" ref="V212" si="383">SUM(N212:U212)</f>
        <v>1876.4600399999999</v>
      </c>
      <c r="W212" s="580">
        <f t="shared" ref="W212" si="384">IF(P212&lt;&gt;"",V212*$W$27,0)</f>
        <v>0</v>
      </c>
      <c r="X212" s="580"/>
      <c r="Y212" s="581">
        <f t="shared" ref="Y212" si="385">X212+W212+V212</f>
        <v>1876.4600399999999</v>
      </c>
      <c r="Z212" s="432"/>
    </row>
    <row r="213" spans="1:26" s="432" customFormat="1" ht="12.75" customHeight="1" x14ac:dyDescent="0.2">
      <c r="A213" s="30"/>
      <c r="B213" s="30"/>
      <c r="C213" s="30" t="s">
        <v>258</v>
      </c>
      <c r="D213" s="426">
        <v>615</v>
      </c>
      <c r="E213" s="30" t="s">
        <v>354</v>
      </c>
      <c r="F213" s="30" t="s">
        <v>6</v>
      </c>
      <c r="G213" s="30" t="s">
        <v>454</v>
      </c>
      <c r="H213" s="30" t="s">
        <v>461</v>
      </c>
      <c r="I213" s="34" t="s">
        <v>685</v>
      </c>
      <c r="J213" s="34" t="s">
        <v>114</v>
      </c>
      <c r="K213" s="580">
        <f>21.91*27%</f>
        <v>5.9157000000000002</v>
      </c>
      <c r="L213" s="580">
        <v>2080</v>
      </c>
      <c r="M213" s="580"/>
      <c r="N213" s="580">
        <f t="shared" si="374"/>
        <v>12304.656000000001</v>
      </c>
      <c r="O213" s="580"/>
      <c r="P213" s="580">
        <f t="shared" si="375"/>
        <v>4405.0668480000004</v>
      </c>
      <c r="Q213" s="580">
        <f t="shared" si="376"/>
        <v>178.41751200000002</v>
      </c>
      <c r="R213" s="580">
        <v>0</v>
      </c>
      <c r="S213" s="580"/>
      <c r="T213" s="580"/>
      <c r="U213" s="580"/>
      <c r="V213" s="473">
        <f t="shared" ref="V213" si="386">SUM(N213:U213)</f>
        <v>16888.140360000001</v>
      </c>
      <c r="W213" s="580">
        <f t="shared" ref="W213" si="387">IF(P213&lt;&gt;"",V213*$W$27,0)</f>
        <v>0</v>
      </c>
      <c r="X213" s="580"/>
      <c r="Y213" s="581">
        <f t="shared" ref="Y213" si="388">X213+W213+V213</f>
        <v>16888.140360000001</v>
      </c>
    </row>
    <row r="214" spans="1:26" s="432" customFormat="1" ht="12.75" customHeight="1" x14ac:dyDescent="0.2">
      <c r="A214" s="30"/>
      <c r="B214" s="30"/>
      <c r="C214" s="30" t="s">
        <v>258</v>
      </c>
      <c r="D214" s="426">
        <v>615</v>
      </c>
      <c r="E214" s="30" t="s">
        <v>354</v>
      </c>
      <c r="F214" s="30" t="s">
        <v>6</v>
      </c>
      <c r="G214" s="30" t="s">
        <v>454</v>
      </c>
      <c r="H214" s="30" t="s">
        <v>461</v>
      </c>
      <c r="I214" s="34" t="s">
        <v>685</v>
      </c>
      <c r="J214" s="34" t="s">
        <v>117</v>
      </c>
      <c r="K214" s="580">
        <f>21.91*51%</f>
        <v>11.174100000000001</v>
      </c>
      <c r="L214" s="580">
        <v>2080</v>
      </c>
      <c r="M214" s="580"/>
      <c r="N214" s="580">
        <f t="shared" si="374"/>
        <v>23242.128000000001</v>
      </c>
      <c r="O214" s="580"/>
      <c r="P214" s="580">
        <f t="shared" si="375"/>
        <v>8320.6818239999993</v>
      </c>
      <c r="Q214" s="580">
        <f t="shared" si="376"/>
        <v>337.01085600000005</v>
      </c>
      <c r="R214" s="580">
        <v>0</v>
      </c>
      <c r="S214" s="580"/>
      <c r="T214" s="580"/>
      <c r="U214" s="580"/>
      <c r="V214" s="473">
        <f t="shared" ref="V214" si="389">SUM(N214:U214)</f>
        <v>31899.820680000001</v>
      </c>
      <c r="W214" s="580">
        <f t="shared" ref="W214" si="390">IF(P214&lt;&gt;"",V214*$W$27,0)</f>
        <v>0</v>
      </c>
      <c r="X214" s="580"/>
      <c r="Y214" s="581">
        <f t="shared" ref="Y214" si="391">X214+W214+V214</f>
        <v>31899.820680000001</v>
      </c>
    </row>
    <row r="215" spans="1:26" ht="12.75" customHeight="1" x14ac:dyDescent="0.2">
      <c r="A215" s="30">
        <v>235173</v>
      </c>
      <c r="B215" s="30"/>
      <c r="C215" s="30" t="s">
        <v>274</v>
      </c>
      <c r="D215" s="426">
        <v>612</v>
      </c>
      <c r="E215" s="30" t="s">
        <v>354</v>
      </c>
      <c r="F215" s="30" t="s">
        <v>6</v>
      </c>
      <c r="G215" s="30" t="s">
        <v>454</v>
      </c>
      <c r="H215" s="30" t="s">
        <v>461</v>
      </c>
      <c r="I215" s="34" t="s">
        <v>775</v>
      </c>
      <c r="J215" s="34" t="s">
        <v>124</v>
      </c>
      <c r="K215" s="580">
        <f>19.3*75%</f>
        <v>14.475000000000001</v>
      </c>
      <c r="L215" s="580">
        <v>2080</v>
      </c>
      <c r="M215" s="580"/>
      <c r="N215" s="580">
        <f t="shared" si="374"/>
        <v>30108.000000000004</v>
      </c>
      <c r="O215" s="580"/>
      <c r="P215" s="580">
        <f t="shared" si="375"/>
        <v>10778.664000000001</v>
      </c>
      <c r="Q215" s="580">
        <f t="shared" si="376"/>
        <v>436.56600000000009</v>
      </c>
      <c r="R215" s="580">
        <v>0</v>
      </c>
      <c r="S215" s="580">
        <f>IF(H215="1",5166.6*2,0)</f>
        <v>10333.200000000001</v>
      </c>
      <c r="T215" s="580">
        <f>IF(H215="1",387.12*2,0)</f>
        <v>774.24</v>
      </c>
      <c r="U215" s="580">
        <f>IF(H215="1",162*2,0)</f>
        <v>324</v>
      </c>
      <c r="V215" s="473">
        <f t="shared" ref="V215" si="392">SUM(N215:U215)</f>
        <v>52754.670000000006</v>
      </c>
      <c r="W215" s="580">
        <f t="shared" ref="W215" si="393">IF(P215&lt;&gt;"",V215*$W$27,0)</f>
        <v>0</v>
      </c>
      <c r="X215" s="580"/>
      <c r="Y215" s="581">
        <f t="shared" ref="Y215" si="394">X215+W215+V215</f>
        <v>52754.670000000006</v>
      </c>
      <c r="Z215" s="432"/>
    </row>
    <row r="216" spans="1:26" s="432" customFormat="1" ht="12.75" customHeight="1" x14ac:dyDescent="0.2">
      <c r="A216" s="30"/>
      <c r="B216" s="30"/>
      <c r="C216" s="30" t="s">
        <v>274</v>
      </c>
      <c r="D216" s="426">
        <v>612</v>
      </c>
      <c r="E216" s="30" t="s">
        <v>354</v>
      </c>
      <c r="F216" s="30" t="s">
        <v>6</v>
      </c>
      <c r="G216" s="30" t="s">
        <v>454</v>
      </c>
      <c r="H216" s="30" t="s">
        <v>461</v>
      </c>
      <c r="I216" s="34" t="s">
        <v>775</v>
      </c>
      <c r="J216" s="34" t="s">
        <v>162</v>
      </c>
      <c r="K216" s="580">
        <f>19.3*5%</f>
        <v>0.96500000000000008</v>
      </c>
      <c r="L216" s="580">
        <v>2080</v>
      </c>
      <c r="M216" s="580"/>
      <c r="N216" s="580">
        <f t="shared" si="374"/>
        <v>2007.2000000000003</v>
      </c>
      <c r="O216" s="580"/>
      <c r="P216" s="580">
        <f t="shared" si="375"/>
        <v>718.57760000000007</v>
      </c>
      <c r="Q216" s="580">
        <f t="shared" si="376"/>
        <v>29.104400000000005</v>
      </c>
      <c r="R216" s="580">
        <v>0</v>
      </c>
      <c r="S216" s="580"/>
      <c r="T216" s="580"/>
      <c r="U216" s="580"/>
      <c r="V216" s="473">
        <f t="shared" ref="V216" si="395">SUM(N216:U216)</f>
        <v>2754.8820000000005</v>
      </c>
      <c r="W216" s="580">
        <f t="shared" ref="W216" si="396">IF(P216&lt;&gt;"",V216*$W$27,0)</f>
        <v>0</v>
      </c>
      <c r="X216" s="580"/>
      <c r="Y216" s="581">
        <f t="shared" ref="Y216" si="397">X216+W216+V216</f>
        <v>2754.8820000000005</v>
      </c>
    </row>
    <row r="217" spans="1:26" s="432" customFormat="1" ht="12.75" customHeight="1" x14ac:dyDescent="0.2">
      <c r="A217" s="30"/>
      <c r="B217" s="30"/>
      <c r="C217" s="30" t="s">
        <v>274</v>
      </c>
      <c r="D217" s="426">
        <v>612</v>
      </c>
      <c r="E217" s="30" t="s">
        <v>354</v>
      </c>
      <c r="F217" s="30" t="s">
        <v>6</v>
      </c>
      <c r="G217" s="30" t="s">
        <v>454</v>
      </c>
      <c r="H217" s="30" t="s">
        <v>461</v>
      </c>
      <c r="I217" s="34" t="s">
        <v>775</v>
      </c>
      <c r="J217" s="34" t="s">
        <v>159</v>
      </c>
      <c r="K217" s="580">
        <f>19.3*20%</f>
        <v>3.8600000000000003</v>
      </c>
      <c r="L217" s="580">
        <v>2080</v>
      </c>
      <c r="M217" s="580"/>
      <c r="N217" s="580">
        <f t="shared" si="374"/>
        <v>8028.8000000000011</v>
      </c>
      <c r="O217" s="580"/>
      <c r="P217" s="580">
        <f t="shared" si="375"/>
        <v>2874.3104000000003</v>
      </c>
      <c r="Q217" s="580">
        <f t="shared" si="376"/>
        <v>116.41760000000002</v>
      </c>
      <c r="R217" s="580">
        <v>0</v>
      </c>
      <c r="S217" s="580"/>
      <c r="T217" s="580"/>
      <c r="U217" s="580"/>
      <c r="V217" s="473">
        <f t="shared" ref="V217" si="398">SUM(N217:U217)</f>
        <v>11019.528000000002</v>
      </c>
      <c r="W217" s="580">
        <f t="shared" ref="W217" si="399">IF(P217&lt;&gt;"",V217*$W$27,0)</f>
        <v>0</v>
      </c>
      <c r="X217" s="580"/>
      <c r="Y217" s="581">
        <f t="shared" ref="Y217" si="400">X217+W217+V217</f>
        <v>11019.528000000002</v>
      </c>
    </row>
    <row r="218" spans="1:26" s="432" customFormat="1" ht="12.75" customHeight="1" x14ac:dyDescent="0.2">
      <c r="A218" s="30">
        <v>11050</v>
      </c>
      <c r="B218" s="30"/>
      <c r="C218" s="30" t="s">
        <v>312</v>
      </c>
      <c r="D218" s="426">
        <v>617</v>
      </c>
      <c r="E218" s="30" t="s">
        <v>361</v>
      </c>
      <c r="F218" s="30" t="s">
        <v>6</v>
      </c>
      <c r="G218" s="30" t="s">
        <v>454</v>
      </c>
      <c r="H218" s="30" t="s">
        <v>461</v>
      </c>
      <c r="I218" s="34" t="s">
        <v>33</v>
      </c>
      <c r="J218" s="34" t="s">
        <v>127</v>
      </c>
      <c r="K218" s="580">
        <f>26.62*70%</f>
        <v>18.634</v>
      </c>
      <c r="L218" s="580">
        <v>2080</v>
      </c>
      <c r="M218" s="580"/>
      <c r="N218" s="580">
        <f t="shared" si="374"/>
        <v>38758.720000000001</v>
      </c>
      <c r="O218" s="580"/>
      <c r="P218" s="580">
        <f t="shared" si="375"/>
        <v>13875.62176</v>
      </c>
      <c r="Q218" s="580">
        <f t="shared" si="376"/>
        <v>562.00144</v>
      </c>
      <c r="R218" s="580">
        <v>0</v>
      </c>
      <c r="S218" s="580">
        <f>IF(H218="1",3242.52*2,0)</f>
        <v>6485.04</v>
      </c>
      <c r="T218" s="580">
        <f>IF(H218="1",361.92*2,0)</f>
        <v>723.84</v>
      </c>
      <c r="U218" s="580">
        <v>0</v>
      </c>
      <c r="V218" s="473">
        <f t="shared" ref="V218" si="401">SUM(N218:U218)</f>
        <v>60405.2232</v>
      </c>
      <c r="W218" s="580">
        <f t="shared" ref="W218" si="402">IF(P218&lt;&gt;"",V218*$W$27,0)</f>
        <v>0</v>
      </c>
      <c r="X218" s="580"/>
      <c r="Y218" s="581">
        <f t="shared" ref="Y218" si="403">X218+W218+V218</f>
        <v>60405.2232</v>
      </c>
    </row>
    <row r="219" spans="1:26" ht="12.75" customHeight="1" x14ac:dyDescent="0.2">
      <c r="A219" s="30"/>
      <c r="B219" s="30"/>
      <c r="C219" s="30" t="s">
        <v>312</v>
      </c>
      <c r="D219" s="426">
        <v>617</v>
      </c>
      <c r="E219" s="30" t="s">
        <v>361</v>
      </c>
      <c r="F219" s="30" t="s">
        <v>6</v>
      </c>
      <c r="G219" s="30" t="s">
        <v>454</v>
      </c>
      <c r="H219" s="30" t="s">
        <v>461</v>
      </c>
      <c r="I219" s="34" t="s">
        <v>33</v>
      </c>
      <c r="J219" s="34" t="s">
        <v>148</v>
      </c>
      <c r="K219" s="580">
        <f>26.62*10%</f>
        <v>2.6620000000000004</v>
      </c>
      <c r="L219" s="580">
        <v>2080</v>
      </c>
      <c r="M219" s="580"/>
      <c r="N219" s="580">
        <f t="shared" si="374"/>
        <v>5536.9600000000009</v>
      </c>
      <c r="O219" s="580"/>
      <c r="P219" s="580">
        <f t="shared" si="375"/>
        <v>1982.2316800000003</v>
      </c>
      <c r="Q219" s="580">
        <f t="shared" si="376"/>
        <v>80.285920000000019</v>
      </c>
      <c r="R219" s="580">
        <v>0</v>
      </c>
      <c r="S219" s="580"/>
      <c r="T219" s="580"/>
      <c r="U219" s="580"/>
      <c r="V219" s="473">
        <f t="shared" ref="V219" si="404">SUM(N219:U219)</f>
        <v>7599.477600000002</v>
      </c>
      <c r="W219" s="580">
        <f t="shared" ref="W219" si="405">IF(P219&lt;&gt;"",V219*$W$27,0)</f>
        <v>0</v>
      </c>
      <c r="X219" s="580"/>
      <c r="Y219" s="581">
        <f t="shared" ref="Y219" si="406">X219+W219+V219</f>
        <v>7599.477600000002</v>
      </c>
      <c r="Z219" s="432"/>
    </row>
    <row r="220" spans="1:26" ht="12.75" customHeight="1" x14ac:dyDescent="0.2">
      <c r="A220" s="30"/>
      <c r="B220" s="30"/>
      <c r="C220" s="30" t="s">
        <v>312</v>
      </c>
      <c r="D220" s="426">
        <v>617</v>
      </c>
      <c r="E220" s="30" t="s">
        <v>361</v>
      </c>
      <c r="F220" s="30" t="s">
        <v>6</v>
      </c>
      <c r="G220" s="30" t="s">
        <v>454</v>
      </c>
      <c r="H220" s="30" t="s">
        <v>461</v>
      </c>
      <c r="I220" s="34" t="s">
        <v>33</v>
      </c>
      <c r="J220" s="34" t="s">
        <v>63</v>
      </c>
      <c r="K220" s="580">
        <f>26.62*10%</f>
        <v>2.6620000000000004</v>
      </c>
      <c r="L220" s="580">
        <v>2080</v>
      </c>
      <c r="M220" s="580"/>
      <c r="N220" s="580">
        <f t="shared" ref="N220:N276" si="407">IF(H220="1",(L220*K220)+(M220*K220),0)</f>
        <v>5536.9600000000009</v>
      </c>
      <c r="O220" s="580"/>
      <c r="P220" s="580">
        <f t="shared" si="375"/>
        <v>1982.2316800000003</v>
      </c>
      <c r="Q220" s="580">
        <f t="shared" ref="Q220:Q276" si="408">N220*$Q$27</f>
        <v>80.285920000000019</v>
      </c>
      <c r="R220" s="580">
        <v>0</v>
      </c>
      <c r="S220" s="580"/>
      <c r="T220" s="580"/>
      <c r="U220" s="580"/>
      <c r="V220" s="473">
        <f t="shared" ref="V220" si="409">SUM(N220:U220)</f>
        <v>7599.477600000002</v>
      </c>
      <c r="W220" s="580">
        <f t="shared" ref="W220" si="410">IF(P220&lt;&gt;"",V220*$W$27,0)</f>
        <v>0</v>
      </c>
      <c r="X220" s="580"/>
      <c r="Y220" s="581">
        <f t="shared" ref="Y220" si="411">X220+W220+V220</f>
        <v>7599.477600000002</v>
      </c>
      <c r="Z220" s="432"/>
    </row>
    <row r="221" spans="1:26" ht="12.75" customHeight="1" x14ac:dyDescent="0.2">
      <c r="A221" s="30"/>
      <c r="B221" s="30"/>
      <c r="C221" s="30" t="s">
        <v>312</v>
      </c>
      <c r="D221" s="426">
        <v>617</v>
      </c>
      <c r="E221" s="30" t="s">
        <v>361</v>
      </c>
      <c r="F221" s="30" t="s">
        <v>6</v>
      </c>
      <c r="G221" s="30" t="s">
        <v>454</v>
      </c>
      <c r="H221" s="30" t="s">
        <v>461</v>
      </c>
      <c r="I221" s="34" t="s">
        <v>33</v>
      </c>
      <c r="J221" s="34" t="s">
        <v>64</v>
      </c>
      <c r="K221" s="580">
        <f>26.62*10%</f>
        <v>2.6620000000000004</v>
      </c>
      <c r="L221" s="580">
        <v>2080</v>
      </c>
      <c r="M221" s="580"/>
      <c r="N221" s="580">
        <f t="shared" si="407"/>
        <v>5536.9600000000009</v>
      </c>
      <c r="O221" s="580"/>
      <c r="P221" s="580">
        <f t="shared" si="375"/>
        <v>1982.2316800000003</v>
      </c>
      <c r="Q221" s="580">
        <f t="shared" si="408"/>
        <v>80.285920000000019</v>
      </c>
      <c r="R221" s="580">
        <v>0</v>
      </c>
      <c r="S221" s="580"/>
      <c r="T221" s="580"/>
      <c r="U221" s="580"/>
      <c r="V221" s="473">
        <f t="shared" ref="V221" si="412">SUM(N221:U221)</f>
        <v>7599.477600000002</v>
      </c>
      <c r="W221" s="580">
        <f t="shared" ref="W221" si="413">IF(P221&lt;&gt;"",V221*$W$27,0)</f>
        <v>0</v>
      </c>
      <c r="X221" s="580"/>
      <c r="Y221" s="581">
        <f t="shared" ref="Y221" si="414">X221+W221+V221</f>
        <v>7599.477600000002</v>
      </c>
      <c r="Z221" s="432"/>
    </row>
    <row r="222" spans="1:26" ht="12.75" customHeight="1" x14ac:dyDescent="0.2">
      <c r="A222" s="30">
        <v>200908</v>
      </c>
      <c r="B222" s="30"/>
      <c r="C222" s="30" t="s">
        <v>313</v>
      </c>
      <c r="D222" s="426">
        <v>615</v>
      </c>
      <c r="E222" s="30" t="s">
        <v>354</v>
      </c>
      <c r="F222" s="30" t="s">
        <v>6</v>
      </c>
      <c r="G222" s="30" t="s">
        <v>454</v>
      </c>
      <c r="H222" s="30" t="s">
        <v>461</v>
      </c>
      <c r="I222" s="34" t="s">
        <v>33</v>
      </c>
      <c r="J222" s="34" t="s">
        <v>127</v>
      </c>
      <c r="K222" s="580">
        <v>22.74</v>
      </c>
      <c r="L222" s="580">
        <v>2080</v>
      </c>
      <c r="M222" s="580"/>
      <c r="N222" s="580">
        <f t="shared" si="407"/>
        <v>47299.199999999997</v>
      </c>
      <c r="O222" s="580"/>
      <c r="P222" s="580">
        <f t="shared" si="375"/>
        <v>16933.113599999997</v>
      </c>
      <c r="Q222" s="580">
        <f t="shared" si="408"/>
        <v>685.83839999999998</v>
      </c>
      <c r="R222" s="580">
        <v>0</v>
      </c>
      <c r="S222" s="580">
        <f>IF(H222="1",2828.52*2,0)</f>
        <v>5657.04</v>
      </c>
      <c r="T222" s="580">
        <f>IF(H222="1",154.92*2,0)</f>
        <v>309.83999999999997</v>
      </c>
      <c r="U222" s="580">
        <v>0</v>
      </c>
      <c r="V222" s="473">
        <f t="shared" ref="V222" si="415">SUM(N222:U222)</f>
        <v>70885.031999999992</v>
      </c>
      <c r="W222" s="580">
        <f t="shared" ref="W222" si="416">IF(P222&lt;&gt;"",V222*$W$27,0)</f>
        <v>0</v>
      </c>
      <c r="X222" s="580"/>
      <c r="Y222" s="581">
        <f t="shared" ref="Y222" si="417">X222+W222+V222</f>
        <v>70885.031999999992</v>
      </c>
      <c r="Z222" s="432"/>
    </row>
    <row r="223" spans="1:26" ht="12.75" customHeight="1" x14ac:dyDescent="0.2">
      <c r="A223" s="30">
        <v>3506</v>
      </c>
      <c r="B223" s="30"/>
      <c r="C223" s="30" t="s">
        <v>314</v>
      </c>
      <c r="D223" s="426">
        <v>619</v>
      </c>
      <c r="E223" s="30" t="s">
        <v>360</v>
      </c>
      <c r="F223" s="30" t="s">
        <v>6</v>
      </c>
      <c r="G223" s="30" t="s">
        <v>454</v>
      </c>
      <c r="H223" s="30" t="s">
        <v>461</v>
      </c>
      <c r="I223" s="34" t="s">
        <v>33</v>
      </c>
      <c r="J223" s="34" t="s">
        <v>127</v>
      </c>
      <c r="K223" s="580">
        <v>28.76</v>
      </c>
      <c r="L223" s="580">
        <v>2080</v>
      </c>
      <c r="M223" s="580"/>
      <c r="N223" s="580">
        <f t="shared" si="407"/>
        <v>59820.800000000003</v>
      </c>
      <c r="O223" s="580"/>
      <c r="P223" s="580">
        <f t="shared" si="375"/>
        <v>21415.846399999999</v>
      </c>
      <c r="Q223" s="580">
        <f t="shared" si="408"/>
        <v>867.40160000000003</v>
      </c>
      <c r="R223" s="580">
        <v>0</v>
      </c>
      <c r="S223" s="580">
        <v>0</v>
      </c>
      <c r="T223" s="580">
        <v>0</v>
      </c>
      <c r="U223" s="580">
        <f>IF(H223="1",162*2,0)</f>
        <v>324</v>
      </c>
      <c r="V223" s="473">
        <f t="shared" ref="V223" si="418">SUM(N223:U223)</f>
        <v>82428.047999999995</v>
      </c>
      <c r="W223" s="580">
        <f t="shared" ref="W223" si="419">IF(P223&lt;&gt;"",V223*$W$27,0)</f>
        <v>0</v>
      </c>
      <c r="X223" s="580"/>
      <c r="Y223" s="581">
        <f t="shared" ref="Y223" si="420">X223+W223+V223</f>
        <v>82428.047999999995</v>
      </c>
      <c r="Z223" s="432"/>
    </row>
    <row r="224" spans="1:26" ht="12.75" customHeight="1" x14ac:dyDescent="0.2">
      <c r="A224" s="30">
        <v>279131</v>
      </c>
      <c r="B224" s="30"/>
      <c r="C224" s="30" t="s">
        <v>283</v>
      </c>
      <c r="D224" s="426">
        <v>619</v>
      </c>
      <c r="E224" s="30" t="s">
        <v>360</v>
      </c>
      <c r="F224" s="30" t="s">
        <v>6</v>
      </c>
      <c r="G224" s="30" t="s">
        <v>454</v>
      </c>
      <c r="H224" s="30" t="s">
        <v>461</v>
      </c>
      <c r="I224" s="34" t="s">
        <v>38</v>
      </c>
      <c r="J224" s="34" t="s">
        <v>128</v>
      </c>
      <c r="K224" s="580">
        <v>35.6</v>
      </c>
      <c r="L224" s="580">
        <v>2080</v>
      </c>
      <c r="M224" s="580"/>
      <c r="N224" s="580">
        <f t="shared" si="407"/>
        <v>74048</v>
      </c>
      <c r="O224" s="580"/>
      <c r="P224" s="580">
        <f t="shared" si="375"/>
        <v>26509.183999999997</v>
      </c>
      <c r="Q224" s="580">
        <f t="shared" si="408"/>
        <v>1073.6960000000001</v>
      </c>
      <c r="R224" s="580">
        <v>0</v>
      </c>
      <c r="S224" s="580">
        <f>IF(H224="1",2828.52*2,0)</f>
        <v>5657.04</v>
      </c>
      <c r="T224" s="580">
        <f>IF(H224="1",127.2*2,0)</f>
        <v>254.4</v>
      </c>
      <c r="U224" s="580">
        <f>IF(H224="1",162*2,0)</f>
        <v>324</v>
      </c>
      <c r="V224" s="473">
        <f t="shared" ref="V224" si="421">SUM(N224:U224)</f>
        <v>107866.31999999998</v>
      </c>
      <c r="W224" s="580">
        <f t="shared" ref="W224" si="422">IF(P224&lt;&gt;"",V224*$W$27,0)</f>
        <v>0</v>
      </c>
      <c r="X224" s="580"/>
      <c r="Y224" s="581">
        <f t="shared" ref="Y224" si="423">X224+W224+V224</f>
        <v>107866.31999999998</v>
      </c>
      <c r="Z224" s="432"/>
    </row>
    <row r="225" spans="1:26" s="432" customFormat="1" ht="12.75" customHeight="1" x14ac:dyDescent="0.2">
      <c r="A225" s="30">
        <v>253952</v>
      </c>
      <c r="B225" s="30"/>
      <c r="C225" s="30" t="s">
        <v>236</v>
      </c>
      <c r="D225" s="426">
        <v>312</v>
      </c>
      <c r="E225" s="30" t="s">
        <v>340</v>
      </c>
      <c r="F225" s="30" t="s">
        <v>6</v>
      </c>
      <c r="G225" s="30" t="s">
        <v>454</v>
      </c>
      <c r="H225" s="30" t="s">
        <v>461</v>
      </c>
      <c r="I225" s="34" t="s">
        <v>36</v>
      </c>
      <c r="J225" s="34" t="s">
        <v>692</v>
      </c>
      <c r="K225" s="580">
        <v>25.23</v>
      </c>
      <c r="L225" s="580">
        <v>2080</v>
      </c>
      <c r="M225" s="580"/>
      <c r="N225" s="580">
        <f t="shared" si="407"/>
        <v>52478.400000000001</v>
      </c>
      <c r="O225" s="580"/>
      <c r="P225" s="580">
        <f t="shared" si="375"/>
        <v>18787.267199999998</v>
      </c>
      <c r="Q225" s="580">
        <f t="shared" si="408"/>
        <v>760.93680000000006</v>
      </c>
      <c r="R225" s="580">
        <v>0</v>
      </c>
      <c r="S225" s="580">
        <f>IF(H225="1",2828.52*2,0)</f>
        <v>5657.04</v>
      </c>
      <c r="T225" s="580">
        <f>IF(H225="1",311.88*2,0)</f>
        <v>623.76</v>
      </c>
      <c r="U225" s="580">
        <f>IF(H225="1",162*2,0)</f>
        <v>324</v>
      </c>
      <c r="V225" s="473">
        <f t="shared" ref="V225" si="424">SUM(N225:U225)</f>
        <v>78631.40399999998</v>
      </c>
      <c r="W225" s="580">
        <f t="shared" ref="W225" si="425">IF(P225&lt;&gt;"",V225*$W$27,0)</f>
        <v>0</v>
      </c>
      <c r="X225" s="580"/>
      <c r="Y225" s="581">
        <f t="shared" ref="Y225" si="426">X225+W225+V225</f>
        <v>78631.40399999998</v>
      </c>
    </row>
    <row r="226" spans="1:26" ht="12.75" customHeight="1" x14ac:dyDescent="0.2">
      <c r="A226" s="30">
        <v>203333</v>
      </c>
      <c r="B226" s="30"/>
      <c r="C226" s="30" t="s">
        <v>284</v>
      </c>
      <c r="D226" s="426">
        <v>615</v>
      </c>
      <c r="E226" s="30" t="s">
        <v>354</v>
      </c>
      <c r="F226" s="30" t="s">
        <v>6</v>
      </c>
      <c r="G226" s="30" t="s">
        <v>454</v>
      </c>
      <c r="H226" s="30" t="s">
        <v>461</v>
      </c>
      <c r="I226" s="34" t="s">
        <v>38</v>
      </c>
      <c r="J226" s="34" t="s">
        <v>128</v>
      </c>
      <c r="K226" s="580">
        <v>25.36</v>
      </c>
      <c r="L226" s="580">
        <v>2080</v>
      </c>
      <c r="M226" s="580"/>
      <c r="N226" s="580">
        <f t="shared" si="407"/>
        <v>52748.799999999996</v>
      </c>
      <c r="O226" s="580"/>
      <c r="P226" s="580">
        <f t="shared" si="375"/>
        <v>18884.070399999997</v>
      </c>
      <c r="Q226" s="580">
        <f t="shared" si="408"/>
        <v>764.85759999999993</v>
      </c>
      <c r="R226" s="580">
        <v>0</v>
      </c>
      <c r="S226" s="580">
        <f>IF(H226="1",3242.52*2,0)</f>
        <v>6485.04</v>
      </c>
      <c r="T226" s="580">
        <f>IF(H226="1",154.92*2,0)</f>
        <v>309.83999999999997</v>
      </c>
      <c r="U226" s="580">
        <f>IF(H226="1",162*2,0)</f>
        <v>324</v>
      </c>
      <c r="V226" s="473">
        <f t="shared" ref="V226" si="427">SUM(N226:U226)</f>
        <v>79516.607999999978</v>
      </c>
      <c r="W226" s="580">
        <f t="shared" ref="W226" si="428">IF(P226&lt;&gt;"",V226*$W$27,0)</f>
        <v>0</v>
      </c>
      <c r="X226" s="580"/>
      <c r="Y226" s="581">
        <f t="shared" ref="Y226" si="429">X226+W226+V226</f>
        <v>79516.607999999978</v>
      </c>
      <c r="Z226" s="432"/>
    </row>
    <row r="227" spans="1:26" s="432" customFormat="1" ht="12.75" customHeight="1" x14ac:dyDescent="0.2">
      <c r="A227" s="30">
        <v>116361</v>
      </c>
      <c r="B227" s="30"/>
      <c r="C227" s="30" t="s">
        <v>305</v>
      </c>
      <c r="D227" s="426">
        <v>617</v>
      </c>
      <c r="E227" s="30" t="s">
        <v>361</v>
      </c>
      <c r="F227" s="30" t="s">
        <v>6</v>
      </c>
      <c r="G227" s="30" t="s">
        <v>454</v>
      </c>
      <c r="H227" s="30" t="s">
        <v>461</v>
      </c>
      <c r="I227" s="34" t="s">
        <v>39</v>
      </c>
      <c r="J227" s="34" t="s">
        <v>114</v>
      </c>
      <c r="K227" s="580">
        <f>34.31*70%</f>
        <v>24.016999999999999</v>
      </c>
      <c r="L227" s="580">
        <v>2080</v>
      </c>
      <c r="M227" s="580"/>
      <c r="N227" s="580">
        <f t="shared" si="407"/>
        <v>49955.360000000001</v>
      </c>
      <c r="O227" s="580"/>
      <c r="P227" s="580">
        <f t="shared" si="375"/>
        <v>17884.01888</v>
      </c>
      <c r="Q227" s="580">
        <f t="shared" si="408"/>
        <v>724.35272000000009</v>
      </c>
      <c r="R227" s="580">
        <v>0</v>
      </c>
      <c r="S227" s="580">
        <f>IF(H227="1",4947.84*2,0)</f>
        <v>9895.68</v>
      </c>
      <c r="T227" s="580">
        <f>IF(H227="1",311.88*2,0)</f>
        <v>623.76</v>
      </c>
      <c r="U227" s="580">
        <v>0</v>
      </c>
      <c r="V227" s="473">
        <f t="shared" ref="V227" si="430">SUM(N227:U227)</f>
        <v>79083.171599999987</v>
      </c>
      <c r="W227" s="580">
        <f t="shared" ref="W227" si="431">IF(P227&lt;&gt;"",V227*$W$27,0)</f>
        <v>0</v>
      </c>
      <c r="X227" s="580"/>
      <c r="Y227" s="581">
        <f t="shared" ref="Y227" si="432">X227+W227+V227</f>
        <v>79083.171599999987</v>
      </c>
    </row>
    <row r="228" spans="1:26" s="432" customFormat="1" ht="12.75" customHeight="1" x14ac:dyDescent="0.2">
      <c r="A228" s="30"/>
      <c r="B228" s="30"/>
      <c r="C228" s="30" t="s">
        <v>305</v>
      </c>
      <c r="D228" s="426">
        <v>617</v>
      </c>
      <c r="E228" s="30" t="s">
        <v>361</v>
      </c>
      <c r="F228" s="30" t="s">
        <v>6</v>
      </c>
      <c r="G228" s="30" t="s">
        <v>454</v>
      </c>
      <c r="H228" s="30" t="s">
        <v>461</v>
      </c>
      <c r="I228" s="34" t="s">
        <v>39</v>
      </c>
      <c r="J228" s="34" t="s">
        <v>114</v>
      </c>
      <c r="K228" s="580">
        <f>34.31*30%</f>
        <v>10.293000000000001</v>
      </c>
      <c r="L228" s="580">
        <v>2080</v>
      </c>
      <c r="M228" s="580"/>
      <c r="N228" s="580">
        <f t="shared" si="407"/>
        <v>21409.440000000002</v>
      </c>
      <c r="O228" s="580"/>
      <c r="P228" s="580">
        <f t="shared" si="375"/>
        <v>7664.5795200000002</v>
      </c>
      <c r="Q228" s="580">
        <f t="shared" si="408"/>
        <v>310.43688000000003</v>
      </c>
      <c r="R228" s="580">
        <v>0</v>
      </c>
      <c r="S228" s="580"/>
      <c r="T228" s="580"/>
      <c r="U228" s="580"/>
      <c r="V228" s="473">
        <f t="shared" ref="V228" si="433">SUM(N228:U228)</f>
        <v>29384.456400000003</v>
      </c>
      <c r="W228" s="580">
        <f t="shared" ref="W228" si="434">IF(P228&lt;&gt;"",V228*$W$27,0)</f>
        <v>0</v>
      </c>
      <c r="X228" s="580"/>
      <c r="Y228" s="581">
        <f t="shared" ref="Y228" si="435">X228+W228+V228</f>
        <v>29384.456400000003</v>
      </c>
    </row>
    <row r="229" spans="1:26" ht="12.75" customHeight="1" x14ac:dyDescent="0.2">
      <c r="A229" s="30">
        <v>206291</v>
      </c>
      <c r="B229" s="30"/>
      <c r="C229" s="30" t="s">
        <v>285</v>
      </c>
      <c r="D229" s="426">
        <v>615</v>
      </c>
      <c r="E229" s="30" t="s">
        <v>354</v>
      </c>
      <c r="F229" s="30" t="s">
        <v>6</v>
      </c>
      <c r="G229" s="30" t="s">
        <v>454</v>
      </c>
      <c r="H229" s="30" t="s">
        <v>461</v>
      </c>
      <c r="I229" s="34" t="s">
        <v>38</v>
      </c>
      <c r="J229" s="34" t="s">
        <v>140</v>
      </c>
      <c r="K229" s="580">
        <f>23.41*5%</f>
        <v>1.1705000000000001</v>
      </c>
      <c r="L229" s="580">
        <v>2080</v>
      </c>
      <c r="M229" s="580"/>
      <c r="N229" s="580">
        <f t="shared" si="407"/>
        <v>2434.6400000000003</v>
      </c>
      <c r="O229" s="580"/>
      <c r="P229" s="580">
        <f t="shared" si="375"/>
        <v>871.60112000000004</v>
      </c>
      <c r="Q229" s="580">
        <f t="shared" si="408"/>
        <v>35.302280000000003</v>
      </c>
      <c r="R229" s="580">
        <v>0</v>
      </c>
      <c r="S229" s="580">
        <f>IF(H229="1",3242.52*2,0)</f>
        <v>6485.04</v>
      </c>
      <c r="T229" s="580">
        <f>IF(H229="1",361.92*2,0)</f>
        <v>723.84</v>
      </c>
      <c r="U229" s="580">
        <v>0</v>
      </c>
      <c r="V229" s="473">
        <f t="shared" ref="V229" si="436">SUM(N229:U229)</f>
        <v>10550.4234</v>
      </c>
      <c r="W229" s="580">
        <f t="shared" ref="W229" si="437">IF(P229&lt;&gt;"",V229*$W$27,0)</f>
        <v>0</v>
      </c>
      <c r="X229" s="580"/>
      <c r="Y229" s="581">
        <f t="shared" ref="Y229" si="438">X229+W229+V229</f>
        <v>10550.4234</v>
      </c>
      <c r="Z229" s="432"/>
    </row>
    <row r="230" spans="1:26" s="432" customFormat="1" ht="12.75" customHeight="1" x14ac:dyDescent="0.2">
      <c r="A230" s="30"/>
      <c r="B230" s="30"/>
      <c r="C230" s="30" t="s">
        <v>285</v>
      </c>
      <c r="D230" s="426">
        <v>615</v>
      </c>
      <c r="E230" s="30" t="s">
        <v>354</v>
      </c>
      <c r="F230" s="30" t="s">
        <v>6</v>
      </c>
      <c r="G230" s="30" t="s">
        <v>454</v>
      </c>
      <c r="H230" s="30" t="s">
        <v>461</v>
      </c>
      <c r="I230" s="34" t="s">
        <v>38</v>
      </c>
      <c r="J230" s="34" t="s">
        <v>1136</v>
      </c>
      <c r="K230" s="580">
        <f>23.41*35%</f>
        <v>8.1935000000000002</v>
      </c>
      <c r="L230" s="580">
        <v>2080</v>
      </c>
      <c r="M230" s="580"/>
      <c r="N230" s="580">
        <f t="shared" si="407"/>
        <v>17042.48</v>
      </c>
      <c r="O230" s="580"/>
      <c r="P230" s="580">
        <f t="shared" si="375"/>
        <v>6101.20784</v>
      </c>
      <c r="Q230" s="580">
        <f t="shared" si="408"/>
        <v>247.11596</v>
      </c>
      <c r="R230" s="580">
        <v>0</v>
      </c>
      <c r="S230" s="580"/>
      <c r="T230" s="580"/>
      <c r="U230" s="580"/>
      <c r="V230" s="473">
        <f t="shared" ref="V230" si="439">SUM(N230:U230)</f>
        <v>23390.803799999998</v>
      </c>
      <c r="W230" s="580">
        <f t="shared" ref="W230" si="440">IF(P230&lt;&gt;"",V230*$W$27,0)</f>
        <v>0</v>
      </c>
      <c r="X230" s="580"/>
      <c r="Y230" s="581">
        <f t="shared" ref="Y230" si="441">X230+W230+V230</f>
        <v>23390.803799999998</v>
      </c>
    </row>
    <row r="231" spans="1:26" s="432" customFormat="1" ht="12.75" customHeight="1" x14ac:dyDescent="0.2">
      <c r="A231" s="30"/>
      <c r="B231" s="30"/>
      <c r="C231" s="30" t="s">
        <v>285</v>
      </c>
      <c r="D231" s="426">
        <v>615</v>
      </c>
      <c r="E231" s="30" t="s">
        <v>354</v>
      </c>
      <c r="F231" s="30" t="s">
        <v>6</v>
      </c>
      <c r="G231" s="30" t="s">
        <v>454</v>
      </c>
      <c r="H231" s="30" t="s">
        <v>461</v>
      </c>
      <c r="I231" s="34" t="s">
        <v>38</v>
      </c>
      <c r="J231" s="34" t="s">
        <v>144</v>
      </c>
      <c r="K231" s="580">
        <f>23.41*60%</f>
        <v>14.045999999999999</v>
      </c>
      <c r="L231" s="580">
        <v>2080</v>
      </c>
      <c r="M231" s="580"/>
      <c r="N231" s="580">
        <f t="shared" si="407"/>
        <v>29215.68</v>
      </c>
      <c r="O231" s="580"/>
      <c r="P231" s="580">
        <f t="shared" si="375"/>
        <v>10459.21344</v>
      </c>
      <c r="Q231" s="580">
        <f t="shared" si="408"/>
        <v>423.62736000000001</v>
      </c>
      <c r="R231" s="580">
        <v>0</v>
      </c>
      <c r="S231" s="580"/>
      <c r="T231" s="580"/>
      <c r="U231" s="580"/>
      <c r="V231" s="473">
        <f t="shared" ref="V231" si="442">SUM(N231:U231)</f>
        <v>40098.520799999998</v>
      </c>
      <c r="W231" s="580">
        <f t="shared" ref="W231" si="443">IF(P231&lt;&gt;"",V231*$W$27,0)</f>
        <v>0</v>
      </c>
      <c r="X231" s="580"/>
      <c r="Y231" s="581">
        <f t="shared" ref="Y231" si="444">X231+W231+V231</f>
        <v>40098.520799999998</v>
      </c>
    </row>
    <row r="232" spans="1:26" s="432" customFormat="1" ht="12.75" customHeight="1" x14ac:dyDescent="0.2">
      <c r="A232" s="30">
        <v>242063</v>
      </c>
      <c r="B232" s="30"/>
      <c r="C232" s="30" t="s">
        <v>253</v>
      </c>
      <c r="D232" s="426">
        <v>613</v>
      </c>
      <c r="E232" s="30" t="s">
        <v>358</v>
      </c>
      <c r="F232" s="30" t="s">
        <v>6</v>
      </c>
      <c r="G232" s="30" t="s">
        <v>454</v>
      </c>
      <c r="H232" s="30" t="s">
        <v>461</v>
      </c>
      <c r="I232" s="30" t="s">
        <v>32</v>
      </c>
      <c r="J232" s="34" t="s">
        <v>143</v>
      </c>
      <c r="K232" s="731">
        <f>28*1.105*10%</f>
        <v>3.0939999999999999</v>
      </c>
      <c r="L232" s="580">
        <v>2080</v>
      </c>
      <c r="M232" s="580"/>
      <c r="N232" s="580">
        <f t="shared" si="407"/>
        <v>6435.5199999999995</v>
      </c>
      <c r="O232" s="580"/>
      <c r="P232" s="580">
        <f t="shared" si="375"/>
        <v>2303.9161599999998</v>
      </c>
      <c r="Q232" s="580">
        <f t="shared" si="408"/>
        <v>93.315039999999996</v>
      </c>
      <c r="R232" s="580">
        <v>0</v>
      </c>
      <c r="S232" s="580">
        <f>IF(H232="1",3242.52*2,0)</f>
        <v>6485.04</v>
      </c>
      <c r="T232" s="580">
        <f>IF(H232="1",387.12*2,0)</f>
        <v>774.24</v>
      </c>
      <c r="U232" s="580">
        <f>IF(H232="1",162*2,0)</f>
        <v>324</v>
      </c>
      <c r="V232" s="473">
        <f t="shared" ref="V232" si="445">SUM(N232:U232)</f>
        <v>16416.031199999998</v>
      </c>
      <c r="W232" s="580">
        <f t="shared" ref="W232" si="446">IF(P232&lt;&gt;"",V232*$W$27,0)</f>
        <v>0</v>
      </c>
      <c r="X232" s="580"/>
      <c r="Y232" s="581">
        <f t="shared" ref="Y232" si="447">X232+W232+V232</f>
        <v>16416.031199999998</v>
      </c>
    </row>
    <row r="233" spans="1:26" s="432" customFormat="1" ht="12.75" customHeight="1" x14ac:dyDescent="0.2">
      <c r="A233" s="30"/>
      <c r="B233" s="30"/>
      <c r="C233" s="30" t="s">
        <v>253</v>
      </c>
      <c r="D233" s="426">
        <v>613</v>
      </c>
      <c r="E233" s="30" t="s">
        <v>358</v>
      </c>
      <c r="F233" s="30" t="s">
        <v>6</v>
      </c>
      <c r="G233" s="30" t="s">
        <v>454</v>
      </c>
      <c r="H233" s="30" t="s">
        <v>461</v>
      </c>
      <c r="I233" s="30" t="s">
        <v>32</v>
      </c>
      <c r="J233" s="34" t="s">
        <v>114</v>
      </c>
      <c r="K233" s="731">
        <f>28*1.105*10%</f>
        <v>3.0939999999999999</v>
      </c>
      <c r="L233" s="580">
        <v>2080</v>
      </c>
      <c r="M233" s="580"/>
      <c r="N233" s="580">
        <f t="shared" si="407"/>
        <v>6435.5199999999995</v>
      </c>
      <c r="O233" s="580"/>
      <c r="P233" s="580">
        <f t="shared" si="375"/>
        <v>2303.9161599999998</v>
      </c>
      <c r="Q233" s="580">
        <f t="shared" si="408"/>
        <v>93.315039999999996</v>
      </c>
      <c r="R233" s="580">
        <v>0</v>
      </c>
      <c r="S233" s="580"/>
      <c r="T233" s="580"/>
      <c r="U233" s="580"/>
      <c r="V233" s="473">
        <f t="shared" ref="V233" si="448">SUM(N233:U233)</f>
        <v>8832.7511999999988</v>
      </c>
      <c r="W233" s="580">
        <f t="shared" ref="W233" si="449">IF(P233&lt;&gt;"",V233*$W$27,0)</f>
        <v>0</v>
      </c>
      <c r="X233" s="580"/>
      <c r="Y233" s="581">
        <f t="shared" ref="Y233" si="450">X233+W233+V233</f>
        <v>8832.7511999999988</v>
      </c>
    </row>
    <row r="234" spans="1:26" s="432" customFormat="1" ht="12.75" customHeight="1" x14ac:dyDescent="0.2">
      <c r="A234" s="30"/>
      <c r="B234" s="30"/>
      <c r="C234" s="30" t="s">
        <v>253</v>
      </c>
      <c r="D234" s="426">
        <v>613</v>
      </c>
      <c r="E234" s="30" t="s">
        <v>358</v>
      </c>
      <c r="F234" s="30" t="s">
        <v>6</v>
      </c>
      <c r="G234" s="30" t="s">
        <v>454</v>
      </c>
      <c r="H234" s="30" t="s">
        <v>461</v>
      </c>
      <c r="I234" s="30" t="s">
        <v>32</v>
      </c>
      <c r="J234" s="34" t="s">
        <v>692</v>
      </c>
      <c r="K234" s="731">
        <f>28*1.105*25%</f>
        <v>7.7349999999999994</v>
      </c>
      <c r="L234" s="580">
        <v>2080</v>
      </c>
      <c r="M234" s="580"/>
      <c r="N234" s="580">
        <f t="shared" si="407"/>
        <v>16088.8</v>
      </c>
      <c r="O234" s="580"/>
      <c r="P234" s="580">
        <f t="shared" si="375"/>
        <v>5759.7903999999999</v>
      </c>
      <c r="Q234" s="580">
        <f t="shared" si="408"/>
        <v>233.2876</v>
      </c>
      <c r="R234" s="580">
        <v>0</v>
      </c>
      <c r="S234" s="580"/>
      <c r="T234" s="580"/>
      <c r="U234" s="580"/>
      <c r="V234" s="473">
        <f t="shared" ref="V234" si="451">SUM(N234:U234)</f>
        <v>22081.878000000001</v>
      </c>
      <c r="W234" s="580">
        <f t="shared" ref="W234" si="452">IF(P234&lt;&gt;"",V234*$W$27,0)</f>
        <v>0</v>
      </c>
      <c r="X234" s="580"/>
      <c r="Y234" s="581">
        <f t="shared" ref="Y234" si="453">X234+W234+V234</f>
        <v>22081.878000000001</v>
      </c>
    </row>
    <row r="235" spans="1:26" s="432" customFormat="1" ht="12.75" customHeight="1" x14ac:dyDescent="0.2">
      <c r="A235" s="30"/>
      <c r="B235" s="30"/>
      <c r="C235" s="30" t="s">
        <v>253</v>
      </c>
      <c r="D235" s="426">
        <v>613</v>
      </c>
      <c r="E235" s="30" t="s">
        <v>358</v>
      </c>
      <c r="F235" s="30" t="s">
        <v>6</v>
      </c>
      <c r="G235" s="30" t="s">
        <v>454</v>
      </c>
      <c r="H235" s="30" t="s">
        <v>461</v>
      </c>
      <c r="I235" s="30" t="s">
        <v>32</v>
      </c>
      <c r="J235" s="34" t="s">
        <v>121</v>
      </c>
      <c r="K235" s="731">
        <f>28*1.105*10%</f>
        <v>3.0939999999999999</v>
      </c>
      <c r="L235" s="580">
        <v>2080</v>
      </c>
      <c r="M235" s="580"/>
      <c r="N235" s="580">
        <f t="shared" si="407"/>
        <v>6435.5199999999995</v>
      </c>
      <c r="O235" s="580"/>
      <c r="P235" s="580">
        <f t="shared" si="375"/>
        <v>2303.9161599999998</v>
      </c>
      <c r="Q235" s="580">
        <f t="shared" si="408"/>
        <v>93.315039999999996</v>
      </c>
      <c r="R235" s="580">
        <v>0</v>
      </c>
      <c r="S235" s="580"/>
      <c r="T235" s="580"/>
      <c r="U235" s="580"/>
      <c r="V235" s="473">
        <f t="shared" ref="V235" si="454">SUM(N235:U235)</f>
        <v>8832.7511999999988</v>
      </c>
      <c r="W235" s="580">
        <f t="shared" ref="W235" si="455">IF(P235&lt;&gt;"",V235*$W$27,0)</f>
        <v>0</v>
      </c>
      <c r="X235" s="580"/>
      <c r="Y235" s="581">
        <f t="shared" ref="Y235" si="456">X235+W235+V235</f>
        <v>8832.7511999999988</v>
      </c>
    </row>
    <row r="236" spans="1:26" s="432" customFormat="1" ht="12.75" customHeight="1" x14ac:dyDescent="0.2">
      <c r="A236" s="30"/>
      <c r="B236" s="30"/>
      <c r="C236" s="30" t="s">
        <v>253</v>
      </c>
      <c r="D236" s="426">
        <v>613</v>
      </c>
      <c r="E236" s="30" t="s">
        <v>358</v>
      </c>
      <c r="F236" s="30" t="s">
        <v>6</v>
      </c>
      <c r="G236" s="30" t="s">
        <v>454</v>
      </c>
      <c r="H236" s="30" t="s">
        <v>461</v>
      </c>
      <c r="I236" s="30" t="s">
        <v>32</v>
      </c>
      <c r="J236" s="34" t="s">
        <v>117</v>
      </c>
      <c r="K236" s="731">
        <f>28*1.105*10%</f>
        <v>3.0939999999999999</v>
      </c>
      <c r="L236" s="580">
        <v>2080</v>
      </c>
      <c r="M236" s="580"/>
      <c r="N236" s="580">
        <f t="shared" si="407"/>
        <v>6435.5199999999995</v>
      </c>
      <c r="O236" s="580"/>
      <c r="P236" s="580">
        <f t="shared" si="375"/>
        <v>2303.9161599999998</v>
      </c>
      <c r="Q236" s="580">
        <f t="shared" si="408"/>
        <v>93.315039999999996</v>
      </c>
      <c r="R236" s="580">
        <v>0</v>
      </c>
      <c r="S236" s="580"/>
      <c r="T236" s="580"/>
      <c r="U236" s="580"/>
      <c r="V236" s="473">
        <f t="shared" ref="V236" si="457">SUM(N236:U236)</f>
        <v>8832.7511999999988</v>
      </c>
      <c r="W236" s="580">
        <f t="shared" ref="W236" si="458">IF(P236&lt;&gt;"",V236*$W$27,0)</f>
        <v>0</v>
      </c>
      <c r="X236" s="580"/>
      <c r="Y236" s="581">
        <f t="shared" ref="Y236" si="459">X236+W236+V236</f>
        <v>8832.7511999999988</v>
      </c>
    </row>
    <row r="237" spans="1:26" ht="12.75" customHeight="1" x14ac:dyDescent="0.2">
      <c r="A237" s="30"/>
      <c r="B237" s="30"/>
      <c r="C237" s="30" t="s">
        <v>253</v>
      </c>
      <c r="D237" s="426">
        <v>613</v>
      </c>
      <c r="E237" s="30" t="s">
        <v>358</v>
      </c>
      <c r="F237" s="30" t="s">
        <v>6</v>
      </c>
      <c r="G237" s="30" t="s">
        <v>454</v>
      </c>
      <c r="H237" s="30" t="s">
        <v>461</v>
      </c>
      <c r="I237" s="30" t="s">
        <v>32</v>
      </c>
      <c r="J237" s="34" t="s">
        <v>116</v>
      </c>
      <c r="K237" s="731">
        <f>28*1.105*10%</f>
        <v>3.0939999999999999</v>
      </c>
      <c r="L237" s="580">
        <v>2080</v>
      </c>
      <c r="M237" s="580"/>
      <c r="N237" s="580">
        <f t="shared" si="407"/>
        <v>6435.5199999999995</v>
      </c>
      <c r="O237" s="580"/>
      <c r="P237" s="580">
        <f t="shared" si="375"/>
        <v>2303.9161599999998</v>
      </c>
      <c r="Q237" s="580">
        <f t="shared" si="408"/>
        <v>93.315039999999996</v>
      </c>
      <c r="R237" s="580">
        <v>0</v>
      </c>
      <c r="S237" s="580"/>
      <c r="T237" s="580"/>
      <c r="U237" s="580"/>
      <c r="V237" s="473">
        <f t="shared" ref="V237" si="460">SUM(N237:U237)</f>
        <v>8832.7511999999988</v>
      </c>
      <c r="W237" s="580">
        <f t="shared" ref="W237" si="461">IF(P237&lt;&gt;"",V237*$W$27,0)</f>
        <v>0</v>
      </c>
      <c r="X237" s="580"/>
      <c r="Y237" s="581">
        <f t="shared" ref="Y237" si="462">X237+W237+V237</f>
        <v>8832.7511999999988</v>
      </c>
      <c r="Z237" s="432"/>
    </row>
    <row r="238" spans="1:26" s="432" customFormat="1" ht="12.75" customHeight="1" x14ac:dyDescent="0.2">
      <c r="A238" s="30"/>
      <c r="B238" s="30"/>
      <c r="C238" s="30" t="s">
        <v>253</v>
      </c>
      <c r="D238" s="426">
        <v>613</v>
      </c>
      <c r="E238" s="30" t="s">
        <v>358</v>
      </c>
      <c r="F238" s="30" t="s">
        <v>6</v>
      </c>
      <c r="G238" s="30" t="s">
        <v>454</v>
      </c>
      <c r="H238" s="30" t="s">
        <v>461</v>
      </c>
      <c r="I238" s="30" t="s">
        <v>32</v>
      </c>
      <c r="J238" s="34" t="s">
        <v>796</v>
      </c>
      <c r="K238" s="731">
        <f>28*1.105*10%</f>
        <v>3.0939999999999999</v>
      </c>
      <c r="L238" s="580">
        <v>2080</v>
      </c>
      <c r="M238" s="580"/>
      <c r="N238" s="580">
        <f t="shared" si="407"/>
        <v>6435.5199999999995</v>
      </c>
      <c r="O238" s="580"/>
      <c r="P238" s="580">
        <f t="shared" si="375"/>
        <v>2303.9161599999998</v>
      </c>
      <c r="Q238" s="580">
        <f t="shared" si="408"/>
        <v>93.315039999999996</v>
      </c>
      <c r="R238" s="580">
        <v>0</v>
      </c>
      <c r="S238" s="580"/>
      <c r="T238" s="580"/>
      <c r="U238" s="580"/>
      <c r="V238" s="473">
        <f t="shared" ref="V238" si="463">SUM(N238:U238)</f>
        <v>8832.7511999999988</v>
      </c>
      <c r="W238" s="580">
        <f t="shared" ref="W238" si="464">IF(P238&lt;&gt;"",V238*$W$27,0)</f>
        <v>0</v>
      </c>
      <c r="X238" s="580"/>
      <c r="Y238" s="581">
        <f t="shared" ref="Y238" si="465">X238+W238+V238</f>
        <v>8832.7511999999988</v>
      </c>
    </row>
    <row r="239" spans="1:26" s="432" customFormat="1" ht="12.75" customHeight="1" x14ac:dyDescent="0.2">
      <c r="A239" s="30"/>
      <c r="B239" s="30"/>
      <c r="C239" s="30" t="s">
        <v>253</v>
      </c>
      <c r="D239" s="426">
        <v>613</v>
      </c>
      <c r="E239" s="30" t="s">
        <v>358</v>
      </c>
      <c r="F239" s="30" t="s">
        <v>6</v>
      </c>
      <c r="G239" s="30" t="s">
        <v>454</v>
      </c>
      <c r="H239" s="30" t="s">
        <v>461</v>
      </c>
      <c r="I239" s="30" t="s">
        <v>32</v>
      </c>
      <c r="J239" s="34" t="s">
        <v>62</v>
      </c>
      <c r="K239" s="731">
        <f>28*1.105*15%</f>
        <v>4.6409999999999991</v>
      </c>
      <c r="L239" s="580">
        <v>2080</v>
      </c>
      <c r="M239" s="580"/>
      <c r="N239" s="580">
        <f t="shared" si="407"/>
        <v>9653.2799999999988</v>
      </c>
      <c r="O239" s="580"/>
      <c r="P239" s="580">
        <f t="shared" si="375"/>
        <v>3455.8742399999996</v>
      </c>
      <c r="Q239" s="580">
        <f t="shared" si="408"/>
        <v>139.97255999999999</v>
      </c>
      <c r="R239" s="580">
        <v>0</v>
      </c>
      <c r="S239" s="580"/>
      <c r="T239" s="580"/>
      <c r="U239" s="580"/>
      <c r="V239" s="473">
        <f t="shared" ref="V239" si="466">SUM(N239:U239)</f>
        <v>13249.126799999998</v>
      </c>
      <c r="W239" s="580">
        <f t="shared" ref="W239" si="467">IF(P239&lt;&gt;"",V239*$W$27,0)</f>
        <v>0</v>
      </c>
      <c r="X239" s="580"/>
      <c r="Y239" s="581">
        <f t="shared" ref="Y239" si="468">X239+W239+V239</f>
        <v>13249.126799999998</v>
      </c>
    </row>
    <row r="240" spans="1:26" s="432" customFormat="1" ht="12.75" customHeight="1" x14ac:dyDescent="0.2">
      <c r="A240" s="30">
        <v>201635</v>
      </c>
      <c r="B240" s="30"/>
      <c r="C240" s="30" t="s">
        <v>262</v>
      </c>
      <c r="D240" s="426">
        <v>618</v>
      </c>
      <c r="E240" s="30" t="s">
        <v>363</v>
      </c>
      <c r="F240" s="30" t="s">
        <v>6</v>
      </c>
      <c r="G240" s="30" t="s">
        <v>454</v>
      </c>
      <c r="H240" s="30" t="s">
        <v>461</v>
      </c>
      <c r="I240" s="34" t="s">
        <v>41</v>
      </c>
      <c r="J240" s="34" t="s">
        <v>692</v>
      </c>
      <c r="K240" s="580">
        <f>32.92*20%</f>
        <v>6.5840000000000005</v>
      </c>
      <c r="L240" s="580">
        <v>2080</v>
      </c>
      <c r="M240" s="580"/>
      <c r="N240" s="580">
        <f t="shared" si="407"/>
        <v>13694.720000000001</v>
      </c>
      <c r="O240" s="580"/>
      <c r="P240" s="580">
        <f t="shared" si="375"/>
        <v>4902.7097600000006</v>
      </c>
      <c r="Q240" s="580">
        <f t="shared" si="408"/>
        <v>198.57344000000003</v>
      </c>
      <c r="R240" s="580">
        <v>0</v>
      </c>
      <c r="S240" s="580">
        <f>IF(H240="1",3242.52*2,0)</f>
        <v>6485.04</v>
      </c>
      <c r="T240" s="580">
        <f>IF(H240="1",276.36*2,0)</f>
        <v>552.72</v>
      </c>
      <c r="U240" s="580">
        <f>IF(H240="1",162*2,0)</f>
        <v>324</v>
      </c>
      <c r="V240" s="473">
        <f t="shared" ref="V240" si="469">SUM(N240:U240)</f>
        <v>26157.763200000005</v>
      </c>
      <c r="W240" s="580">
        <f t="shared" ref="W240" si="470">IF(P240&lt;&gt;"",V240*$W$27,0)</f>
        <v>0</v>
      </c>
      <c r="X240" s="580"/>
      <c r="Y240" s="581">
        <f t="shared" ref="Y240" si="471">X240+W240+V240</f>
        <v>26157.763200000005</v>
      </c>
    </row>
    <row r="241" spans="1:26" s="432" customFormat="1" ht="12.75" customHeight="1" x14ac:dyDescent="0.2">
      <c r="A241" s="30"/>
      <c r="B241" s="30"/>
      <c r="C241" s="30" t="s">
        <v>262</v>
      </c>
      <c r="D241" s="426">
        <v>618</v>
      </c>
      <c r="E241" s="30" t="s">
        <v>363</v>
      </c>
      <c r="F241" s="30" t="s">
        <v>6</v>
      </c>
      <c r="G241" s="30" t="s">
        <v>454</v>
      </c>
      <c r="H241" s="30" t="s">
        <v>461</v>
      </c>
      <c r="I241" s="34" t="s">
        <v>41</v>
      </c>
      <c r="J241" s="34" t="s">
        <v>114</v>
      </c>
      <c r="K241" s="580">
        <f>32.92*30%</f>
        <v>9.8759999999999994</v>
      </c>
      <c r="L241" s="580">
        <v>2080</v>
      </c>
      <c r="M241" s="580"/>
      <c r="N241" s="580">
        <f t="shared" si="407"/>
        <v>20542.079999999998</v>
      </c>
      <c r="O241" s="580"/>
      <c r="P241" s="580">
        <f t="shared" si="375"/>
        <v>7354.0646399999987</v>
      </c>
      <c r="Q241" s="580">
        <f t="shared" si="408"/>
        <v>297.86016000000001</v>
      </c>
      <c r="R241" s="580">
        <v>0</v>
      </c>
      <c r="S241" s="580"/>
      <c r="T241" s="580"/>
      <c r="U241" s="580"/>
      <c r="V241" s="473">
        <f t="shared" ref="V241" si="472">SUM(N241:U241)</f>
        <v>28194.004799999999</v>
      </c>
      <c r="W241" s="580">
        <f t="shared" ref="W241" si="473">IF(P241&lt;&gt;"",V241*$W$27,0)</f>
        <v>0</v>
      </c>
      <c r="X241" s="580"/>
      <c r="Y241" s="581">
        <f t="shared" ref="Y241" si="474">X241+W241+V241</f>
        <v>28194.004799999999</v>
      </c>
    </row>
    <row r="242" spans="1:26" ht="12.75" customHeight="1" x14ac:dyDescent="0.2">
      <c r="A242" s="30"/>
      <c r="B242" s="30"/>
      <c r="C242" s="30" t="s">
        <v>262</v>
      </c>
      <c r="D242" s="426">
        <v>618</v>
      </c>
      <c r="E242" s="30" t="s">
        <v>363</v>
      </c>
      <c r="F242" s="30" t="s">
        <v>6</v>
      </c>
      <c r="G242" s="30" t="s">
        <v>454</v>
      </c>
      <c r="H242" s="30" t="s">
        <v>461</v>
      </c>
      <c r="I242" s="34" t="s">
        <v>41</v>
      </c>
      <c r="J242" s="34" t="s">
        <v>117</v>
      </c>
      <c r="K242" s="580">
        <f>32.92*40%</f>
        <v>13.168000000000001</v>
      </c>
      <c r="L242" s="580">
        <v>2080</v>
      </c>
      <c r="M242" s="580"/>
      <c r="N242" s="580">
        <f t="shared" si="407"/>
        <v>27389.440000000002</v>
      </c>
      <c r="O242" s="580"/>
      <c r="P242" s="580">
        <f t="shared" si="375"/>
        <v>9805.4195200000013</v>
      </c>
      <c r="Q242" s="580">
        <f t="shared" si="408"/>
        <v>397.14688000000007</v>
      </c>
      <c r="R242" s="580">
        <v>0</v>
      </c>
      <c r="S242" s="580"/>
      <c r="T242" s="580"/>
      <c r="U242" s="580"/>
      <c r="V242" s="473">
        <f t="shared" ref="V242" si="475">SUM(N242:U242)</f>
        <v>37592.006400000006</v>
      </c>
      <c r="W242" s="580">
        <f t="shared" ref="W242" si="476">IF(P242&lt;&gt;"",V242*$W$27,0)</f>
        <v>0</v>
      </c>
      <c r="X242" s="580"/>
      <c r="Y242" s="581">
        <f t="shared" ref="Y242" si="477">X242+W242+V242</f>
        <v>37592.006400000006</v>
      </c>
      <c r="Z242" s="432"/>
    </row>
    <row r="243" spans="1:26" s="432" customFormat="1" ht="12.75" customHeight="1" x14ac:dyDescent="0.2">
      <c r="A243" s="30"/>
      <c r="B243" s="30"/>
      <c r="C243" s="30" t="s">
        <v>262</v>
      </c>
      <c r="D243" s="426">
        <v>618</v>
      </c>
      <c r="E243" s="30" t="s">
        <v>363</v>
      </c>
      <c r="F243" s="30" t="s">
        <v>6</v>
      </c>
      <c r="G243" s="30" t="s">
        <v>454</v>
      </c>
      <c r="H243" s="30" t="s">
        <v>461</v>
      </c>
      <c r="I243" s="34" t="s">
        <v>41</v>
      </c>
      <c r="J243" s="34" t="s">
        <v>137</v>
      </c>
      <c r="K243" s="580">
        <f>32.92*3%</f>
        <v>0.98760000000000003</v>
      </c>
      <c r="L243" s="580">
        <v>2080</v>
      </c>
      <c r="M243" s="580"/>
      <c r="N243" s="580">
        <f t="shared" si="407"/>
        <v>2054.2080000000001</v>
      </c>
      <c r="O243" s="580"/>
      <c r="P243" s="580">
        <f t="shared" si="375"/>
        <v>735.40646400000003</v>
      </c>
      <c r="Q243" s="580">
        <f t="shared" si="408"/>
        <v>29.786016000000004</v>
      </c>
      <c r="R243" s="580">
        <v>0</v>
      </c>
      <c r="S243" s="580"/>
      <c r="T243" s="580"/>
      <c r="U243" s="580"/>
      <c r="V243" s="473">
        <f t="shared" ref="V243" si="478">SUM(N243:U243)</f>
        <v>2819.4004800000002</v>
      </c>
      <c r="W243" s="580">
        <f t="shared" ref="W243" si="479">IF(P243&lt;&gt;"",V243*$W$27,0)</f>
        <v>0</v>
      </c>
      <c r="X243" s="580"/>
      <c r="Y243" s="581">
        <f t="shared" ref="Y243" si="480">X243+W243+V243</f>
        <v>2819.4004800000002</v>
      </c>
    </row>
    <row r="244" spans="1:26" ht="12.75" customHeight="1" x14ac:dyDescent="0.2">
      <c r="A244" s="30"/>
      <c r="B244" s="30"/>
      <c r="C244" s="30" t="s">
        <v>262</v>
      </c>
      <c r="D244" s="426">
        <v>618</v>
      </c>
      <c r="E244" s="30" t="s">
        <v>363</v>
      </c>
      <c r="F244" s="30" t="s">
        <v>6</v>
      </c>
      <c r="G244" s="30" t="s">
        <v>454</v>
      </c>
      <c r="H244" s="30" t="s">
        <v>461</v>
      </c>
      <c r="I244" s="34" t="s">
        <v>41</v>
      </c>
      <c r="J244" s="34" t="s">
        <v>1477</v>
      </c>
      <c r="K244" s="580">
        <f>32.92*7%</f>
        <v>2.3044000000000002</v>
      </c>
      <c r="L244" s="580">
        <v>2080</v>
      </c>
      <c r="M244" s="580"/>
      <c r="N244" s="580">
        <f t="shared" si="407"/>
        <v>4793.152</v>
      </c>
      <c r="O244" s="580"/>
      <c r="P244" s="580">
        <f t="shared" si="375"/>
        <v>1715.948416</v>
      </c>
      <c r="Q244" s="580">
        <f t="shared" si="408"/>
        <v>69.500703999999999</v>
      </c>
      <c r="R244" s="580">
        <v>0</v>
      </c>
      <c r="S244" s="580"/>
      <c r="T244" s="580"/>
      <c r="U244" s="580"/>
      <c r="V244" s="473">
        <f t="shared" ref="V244" si="481">SUM(N244:U244)</f>
        <v>6578.6011200000003</v>
      </c>
      <c r="W244" s="580">
        <f t="shared" ref="W244" si="482">IF(P244&lt;&gt;"",V244*$W$27,0)</f>
        <v>0</v>
      </c>
      <c r="X244" s="580"/>
      <c r="Y244" s="581">
        <f t="shared" ref="Y244" si="483">X244+W244+V244</f>
        <v>6578.6011200000003</v>
      </c>
      <c r="Z244" s="432"/>
    </row>
    <row r="245" spans="1:26" ht="12.75" customHeight="1" x14ac:dyDescent="0.2">
      <c r="A245" s="30">
        <v>196509</v>
      </c>
      <c r="B245" s="30"/>
      <c r="C245" s="30" t="s">
        <v>266</v>
      </c>
      <c r="D245" s="426">
        <v>615</v>
      </c>
      <c r="E245" s="30" t="s">
        <v>354</v>
      </c>
      <c r="F245" s="30" t="s">
        <v>6</v>
      </c>
      <c r="G245" s="30" t="s">
        <v>454</v>
      </c>
      <c r="H245" s="30" t="s">
        <v>461</v>
      </c>
      <c r="I245" s="34" t="s">
        <v>37</v>
      </c>
      <c r="J245" s="34" t="s">
        <v>116</v>
      </c>
      <c r="K245" s="580">
        <f>21.91*75%</f>
        <v>16.432500000000001</v>
      </c>
      <c r="L245" s="580">
        <v>2080</v>
      </c>
      <c r="M245" s="580"/>
      <c r="N245" s="580">
        <f t="shared" si="407"/>
        <v>34179.599999999999</v>
      </c>
      <c r="O245" s="580"/>
      <c r="P245" s="580">
        <f>(N245-(M245*K245))*$P$27</f>
        <v>12236.296799999998</v>
      </c>
      <c r="Q245" s="580">
        <f t="shared" si="408"/>
        <v>495.60419999999999</v>
      </c>
      <c r="R245" s="580">
        <v>0</v>
      </c>
      <c r="S245" s="580">
        <f>IF(H245="1",2828.52*2,0)</f>
        <v>5657.04</v>
      </c>
      <c r="T245" s="580">
        <f>IF(H245="1",154.92*2,0)</f>
        <v>309.83999999999997</v>
      </c>
      <c r="U245" s="580">
        <v>0</v>
      </c>
      <c r="V245" s="473">
        <f t="shared" ref="V245" si="484">SUM(N245:U245)</f>
        <v>52878.380999999994</v>
      </c>
      <c r="W245" s="580">
        <f t="shared" ref="W245" si="485">IF(P245&lt;&gt;"",V245*$W$27,0)</f>
        <v>0</v>
      </c>
      <c r="X245" s="580"/>
      <c r="Y245" s="581">
        <f t="shared" ref="Y245" si="486">X245+W245+V245</f>
        <v>52878.380999999994</v>
      </c>
      <c r="Z245" s="432"/>
    </row>
    <row r="246" spans="1:26" s="432" customFormat="1" ht="12.75" customHeight="1" x14ac:dyDescent="0.2">
      <c r="A246" s="30"/>
      <c r="B246" s="30"/>
      <c r="C246" s="30" t="s">
        <v>266</v>
      </c>
      <c r="D246" s="426">
        <v>615</v>
      </c>
      <c r="E246" s="30" t="s">
        <v>354</v>
      </c>
      <c r="F246" s="30" t="s">
        <v>6</v>
      </c>
      <c r="G246" s="30" t="s">
        <v>454</v>
      </c>
      <c r="H246" s="30" t="s">
        <v>461</v>
      </c>
      <c r="I246" s="34" t="s">
        <v>37</v>
      </c>
      <c r="J246" s="34" t="s">
        <v>143</v>
      </c>
      <c r="K246" s="580">
        <f>21.91*25%</f>
        <v>5.4775</v>
      </c>
      <c r="L246" s="580">
        <v>2080</v>
      </c>
      <c r="M246" s="580"/>
      <c r="N246" s="580">
        <f t="shared" si="407"/>
        <v>11393.2</v>
      </c>
      <c r="O246" s="580"/>
      <c r="P246" s="580">
        <f>(N246-(M246*K246))*$P$27</f>
        <v>4078.7656000000002</v>
      </c>
      <c r="Q246" s="580">
        <f t="shared" si="408"/>
        <v>165.20140000000001</v>
      </c>
      <c r="R246" s="580">
        <v>0</v>
      </c>
      <c r="S246" s="580"/>
      <c r="T246" s="580"/>
      <c r="U246" s="580"/>
      <c r="V246" s="473">
        <f t="shared" ref="V246" si="487">SUM(N246:U246)</f>
        <v>15637.167000000001</v>
      </c>
      <c r="W246" s="580">
        <f t="shared" ref="W246" si="488">IF(P246&lt;&gt;"",V246*$W$27,0)</f>
        <v>0</v>
      </c>
      <c r="X246" s="580"/>
      <c r="Y246" s="581">
        <f t="shared" ref="Y246" si="489">X246+W246+V246</f>
        <v>15637.167000000001</v>
      </c>
    </row>
    <row r="247" spans="1:26" s="432" customFormat="1" ht="12.75" customHeight="1" x14ac:dyDescent="0.2">
      <c r="A247" s="30">
        <v>304839</v>
      </c>
      <c r="B247" s="30"/>
      <c r="C247" s="34" t="s">
        <v>1417</v>
      </c>
      <c r="D247" s="426" t="s">
        <v>333</v>
      </c>
      <c r="E247" s="30" t="s">
        <v>747</v>
      </c>
      <c r="F247" s="34" t="s">
        <v>453</v>
      </c>
      <c r="G247" s="34" t="s">
        <v>792</v>
      </c>
      <c r="H247" s="30" t="s">
        <v>461</v>
      </c>
      <c r="I247" s="34" t="s">
        <v>27</v>
      </c>
      <c r="J247" s="34" t="s">
        <v>62</v>
      </c>
      <c r="K247" s="580">
        <v>50</v>
      </c>
      <c r="L247" s="580">
        <v>18</v>
      </c>
      <c r="M247" s="580"/>
      <c r="N247" s="580">
        <f t="shared" si="407"/>
        <v>900</v>
      </c>
      <c r="O247" s="580"/>
      <c r="P247" s="580">
        <v>0</v>
      </c>
      <c r="Q247" s="580">
        <f t="shared" si="408"/>
        <v>13.05</v>
      </c>
      <c r="R247" s="580">
        <f>N247*$R$27</f>
        <v>55.8</v>
      </c>
      <c r="S247" s="580">
        <v>0</v>
      </c>
      <c r="T247" s="580">
        <v>0</v>
      </c>
      <c r="U247" s="580">
        <v>0</v>
      </c>
      <c r="V247" s="473">
        <f t="shared" ref="V247" si="490">SUM(N247:U247)</f>
        <v>968.84999999999991</v>
      </c>
      <c r="W247" s="580">
        <f t="shared" ref="W247" si="491">IF(P247&lt;&gt;"",V247*$W$27,0)</f>
        <v>0</v>
      </c>
      <c r="X247" s="580"/>
      <c r="Y247" s="581">
        <f t="shared" ref="Y247" si="492">X247+W247+V247</f>
        <v>968.84999999999991</v>
      </c>
    </row>
    <row r="248" spans="1:26" s="432" customFormat="1" ht="12.75" customHeight="1" x14ac:dyDescent="0.2">
      <c r="A248" s="30">
        <v>151240</v>
      </c>
      <c r="B248" s="30"/>
      <c r="C248" s="30" t="s">
        <v>286</v>
      </c>
      <c r="D248" s="426">
        <v>623</v>
      </c>
      <c r="E248" s="30" t="s">
        <v>327</v>
      </c>
      <c r="F248" s="30" t="s">
        <v>6</v>
      </c>
      <c r="G248" s="30" t="s">
        <v>454</v>
      </c>
      <c r="H248" s="30" t="s">
        <v>461</v>
      </c>
      <c r="I248" s="34" t="s">
        <v>38</v>
      </c>
      <c r="J248" s="34" t="s">
        <v>133</v>
      </c>
      <c r="K248" s="580">
        <f>49.44*10%</f>
        <v>4.944</v>
      </c>
      <c r="L248" s="580">
        <v>2080</v>
      </c>
      <c r="M248" s="580"/>
      <c r="N248" s="580">
        <f t="shared" si="407"/>
        <v>10283.52</v>
      </c>
      <c r="O248" s="580"/>
      <c r="P248" s="580">
        <f>(N248-(M248*K248))*$P$27</f>
        <v>3681.5001600000001</v>
      </c>
      <c r="Q248" s="580">
        <f t="shared" si="408"/>
        <v>149.11104</v>
      </c>
      <c r="R248" s="580">
        <v>0</v>
      </c>
      <c r="S248" s="580">
        <f>IF(H248="1",((1067.04*2)+775),0)</f>
        <v>2909.08</v>
      </c>
      <c r="T248" s="580">
        <f>IF(H248="1",154.92*2,0)</f>
        <v>309.83999999999997</v>
      </c>
      <c r="U248" s="580">
        <f>IF(H248="1",162*2,0)</f>
        <v>324</v>
      </c>
      <c r="V248" s="473">
        <f t="shared" ref="V248" si="493">SUM(N248:U248)</f>
        <v>17657.051199999998</v>
      </c>
      <c r="W248" s="580">
        <f t="shared" ref="W248" si="494">IF(P248&lt;&gt;"",V248*$W$27,0)</f>
        <v>0</v>
      </c>
      <c r="X248" s="580"/>
      <c r="Y248" s="581">
        <f t="shared" ref="Y248" si="495">X248+W248+V248</f>
        <v>17657.051199999998</v>
      </c>
    </row>
    <row r="249" spans="1:26" s="432" customFormat="1" ht="12.75" customHeight="1" x14ac:dyDescent="0.2">
      <c r="A249" s="30"/>
      <c r="B249" s="30"/>
      <c r="C249" s="30" t="s">
        <v>286</v>
      </c>
      <c r="D249" s="426">
        <v>623</v>
      </c>
      <c r="E249" s="30" t="s">
        <v>327</v>
      </c>
      <c r="F249" s="30" t="s">
        <v>6</v>
      </c>
      <c r="G249" s="30" t="s">
        <v>454</v>
      </c>
      <c r="H249" s="30" t="s">
        <v>461</v>
      </c>
      <c r="I249" s="34" t="s">
        <v>38</v>
      </c>
      <c r="J249" s="34" t="s">
        <v>131</v>
      </c>
      <c r="K249" s="580">
        <f>49.44*15%</f>
        <v>7.4159999999999995</v>
      </c>
      <c r="L249" s="580">
        <v>2080</v>
      </c>
      <c r="M249" s="580"/>
      <c r="N249" s="580">
        <f t="shared" si="407"/>
        <v>15425.279999999999</v>
      </c>
      <c r="O249" s="580"/>
      <c r="P249" s="580">
        <f t="shared" ref="P249:P255" si="496">(N249-(M249*K249))*$P$27</f>
        <v>5522.2502399999994</v>
      </c>
      <c r="Q249" s="580">
        <f t="shared" si="408"/>
        <v>223.66656</v>
      </c>
      <c r="R249" s="580">
        <v>0</v>
      </c>
      <c r="S249" s="580"/>
      <c r="T249" s="580"/>
      <c r="U249" s="580"/>
      <c r="V249" s="473">
        <f t="shared" ref="V249" si="497">SUM(N249:U249)</f>
        <v>21171.196800000002</v>
      </c>
      <c r="W249" s="580">
        <f t="shared" ref="W249" si="498">IF(P249&lt;&gt;"",V249*$W$27,0)</f>
        <v>0</v>
      </c>
      <c r="X249" s="580"/>
      <c r="Y249" s="581">
        <f t="shared" ref="Y249" si="499">X249+W249+V249</f>
        <v>21171.196800000002</v>
      </c>
    </row>
    <row r="250" spans="1:26" s="432" customFormat="1" ht="12.75" customHeight="1" x14ac:dyDescent="0.2">
      <c r="A250" s="30"/>
      <c r="B250" s="30"/>
      <c r="C250" s="30" t="s">
        <v>286</v>
      </c>
      <c r="D250" s="426">
        <v>623</v>
      </c>
      <c r="E250" s="30" t="s">
        <v>327</v>
      </c>
      <c r="F250" s="30" t="s">
        <v>6</v>
      </c>
      <c r="G250" s="30" t="s">
        <v>454</v>
      </c>
      <c r="H250" s="30" t="s">
        <v>461</v>
      </c>
      <c r="I250" s="34" t="s">
        <v>38</v>
      </c>
      <c r="J250" s="34" t="s">
        <v>130</v>
      </c>
      <c r="K250" s="580">
        <f>49.44*12%</f>
        <v>5.9327999999999994</v>
      </c>
      <c r="L250" s="580">
        <v>2080</v>
      </c>
      <c r="M250" s="580"/>
      <c r="N250" s="580">
        <f t="shared" si="407"/>
        <v>12340.223999999998</v>
      </c>
      <c r="O250" s="580"/>
      <c r="P250" s="580">
        <f t="shared" si="496"/>
        <v>4417.8001919999988</v>
      </c>
      <c r="Q250" s="580">
        <f t="shared" si="408"/>
        <v>178.93324799999999</v>
      </c>
      <c r="R250" s="580">
        <v>0</v>
      </c>
      <c r="S250" s="580"/>
      <c r="T250" s="580"/>
      <c r="U250" s="580"/>
      <c r="V250" s="473">
        <f t="shared" ref="V250" si="500">SUM(N250:U250)</f>
        <v>16936.957439999998</v>
      </c>
      <c r="W250" s="580">
        <f t="shared" ref="W250" si="501">IF(P250&lt;&gt;"",V250*$W$27,0)</f>
        <v>0</v>
      </c>
      <c r="X250" s="580"/>
      <c r="Y250" s="581">
        <f t="shared" ref="Y250" si="502">X250+W250+V250</f>
        <v>16936.957439999998</v>
      </c>
    </row>
    <row r="251" spans="1:26" s="432" customFormat="1" ht="12.75" customHeight="1" x14ac:dyDescent="0.2">
      <c r="A251" s="30"/>
      <c r="B251" s="30"/>
      <c r="C251" s="30" t="s">
        <v>286</v>
      </c>
      <c r="D251" s="426">
        <v>623</v>
      </c>
      <c r="E251" s="30" t="s">
        <v>327</v>
      </c>
      <c r="F251" s="30" t="s">
        <v>6</v>
      </c>
      <c r="G251" s="30" t="s">
        <v>454</v>
      </c>
      <c r="H251" s="30" t="s">
        <v>461</v>
      </c>
      <c r="I251" s="34" t="s">
        <v>38</v>
      </c>
      <c r="J251" s="34" t="s">
        <v>1478</v>
      </c>
      <c r="K251" s="580">
        <f>49.44*12%</f>
        <v>5.9327999999999994</v>
      </c>
      <c r="L251" s="580">
        <v>2080</v>
      </c>
      <c r="M251" s="580"/>
      <c r="N251" s="580">
        <f t="shared" si="407"/>
        <v>12340.223999999998</v>
      </c>
      <c r="O251" s="580"/>
      <c r="P251" s="580">
        <f t="shared" si="496"/>
        <v>4417.8001919999988</v>
      </c>
      <c r="Q251" s="580">
        <f t="shared" si="408"/>
        <v>178.93324799999999</v>
      </c>
      <c r="R251" s="580">
        <v>0</v>
      </c>
      <c r="S251" s="580"/>
      <c r="T251" s="580"/>
      <c r="U251" s="580"/>
      <c r="V251" s="473">
        <f t="shared" ref="V251" si="503">SUM(N251:U251)</f>
        <v>16936.957439999998</v>
      </c>
      <c r="W251" s="580">
        <f t="shared" ref="W251" si="504">IF(P251&lt;&gt;"",V251*$W$27,0)</f>
        <v>0</v>
      </c>
      <c r="X251" s="580"/>
      <c r="Y251" s="581">
        <f t="shared" ref="Y251" si="505">X251+W251+V251</f>
        <v>16936.957439999998</v>
      </c>
    </row>
    <row r="252" spans="1:26" s="432" customFormat="1" ht="12.75" customHeight="1" x14ac:dyDescent="0.2">
      <c r="A252" s="30"/>
      <c r="B252" s="30"/>
      <c r="C252" s="30" t="s">
        <v>286</v>
      </c>
      <c r="D252" s="426">
        <v>623</v>
      </c>
      <c r="E252" s="30" t="s">
        <v>327</v>
      </c>
      <c r="F252" s="30" t="s">
        <v>6</v>
      </c>
      <c r="G252" s="30" t="s">
        <v>454</v>
      </c>
      <c r="H252" s="30" t="s">
        <v>461</v>
      </c>
      <c r="I252" s="34" t="s">
        <v>38</v>
      </c>
      <c r="J252" s="34" t="s">
        <v>128</v>
      </c>
      <c r="K252" s="580">
        <f>49.44*15%</f>
        <v>7.4159999999999995</v>
      </c>
      <c r="L252" s="580">
        <v>2080</v>
      </c>
      <c r="M252" s="580"/>
      <c r="N252" s="580">
        <f t="shared" si="407"/>
        <v>15425.279999999999</v>
      </c>
      <c r="O252" s="580"/>
      <c r="P252" s="580">
        <f t="shared" si="496"/>
        <v>5522.2502399999994</v>
      </c>
      <c r="Q252" s="580">
        <f t="shared" si="408"/>
        <v>223.66656</v>
      </c>
      <c r="R252" s="580">
        <v>0</v>
      </c>
      <c r="S252" s="580"/>
      <c r="T252" s="580"/>
      <c r="U252" s="580"/>
      <c r="V252" s="473">
        <f t="shared" ref="V252" si="506">SUM(N252:U252)</f>
        <v>21171.196800000002</v>
      </c>
      <c r="W252" s="580">
        <f t="shared" ref="W252" si="507">IF(P252&lt;&gt;"",V252*$W$27,0)</f>
        <v>0</v>
      </c>
      <c r="X252" s="580"/>
      <c r="Y252" s="581">
        <f t="shared" ref="Y252" si="508">X252+W252+V252</f>
        <v>21171.196800000002</v>
      </c>
    </row>
    <row r="253" spans="1:26" ht="12.75" customHeight="1" x14ac:dyDescent="0.2">
      <c r="A253" s="30"/>
      <c r="B253" s="30"/>
      <c r="C253" s="30" t="s">
        <v>286</v>
      </c>
      <c r="D253" s="426">
        <v>623</v>
      </c>
      <c r="E253" s="30" t="s">
        <v>327</v>
      </c>
      <c r="F253" s="30" t="s">
        <v>6</v>
      </c>
      <c r="G253" s="30" t="s">
        <v>454</v>
      </c>
      <c r="H253" s="30" t="s">
        <v>461</v>
      </c>
      <c r="I253" s="34" t="s">
        <v>38</v>
      </c>
      <c r="J253" s="34" t="s">
        <v>129</v>
      </c>
      <c r="K253" s="580">
        <f>49.44*15%</f>
        <v>7.4159999999999995</v>
      </c>
      <c r="L253" s="580">
        <v>2080</v>
      </c>
      <c r="M253" s="580"/>
      <c r="N253" s="580">
        <f t="shared" si="407"/>
        <v>15425.279999999999</v>
      </c>
      <c r="O253" s="580"/>
      <c r="P253" s="580">
        <f t="shared" si="496"/>
        <v>5522.2502399999994</v>
      </c>
      <c r="Q253" s="580">
        <f t="shared" si="408"/>
        <v>223.66656</v>
      </c>
      <c r="R253" s="580">
        <v>0</v>
      </c>
      <c r="S253" s="580"/>
      <c r="T253" s="580"/>
      <c r="U253" s="580"/>
      <c r="V253" s="473">
        <f t="shared" ref="V253" si="509">SUM(N253:U253)</f>
        <v>21171.196800000002</v>
      </c>
      <c r="W253" s="580">
        <f t="shared" ref="W253" si="510">IF(P253&lt;&gt;"",V253*$W$27,0)</f>
        <v>0</v>
      </c>
      <c r="X253" s="580"/>
      <c r="Y253" s="581">
        <f t="shared" ref="Y253" si="511">X253+W253+V253</f>
        <v>21171.196800000002</v>
      </c>
      <c r="Z253" s="432"/>
    </row>
    <row r="254" spans="1:26" ht="12.75" customHeight="1" x14ac:dyDescent="0.2">
      <c r="A254" s="30"/>
      <c r="B254" s="30"/>
      <c r="C254" s="30" t="s">
        <v>286</v>
      </c>
      <c r="D254" s="426">
        <v>623</v>
      </c>
      <c r="E254" s="30" t="s">
        <v>327</v>
      </c>
      <c r="F254" s="30" t="s">
        <v>6</v>
      </c>
      <c r="G254" s="30" t="s">
        <v>454</v>
      </c>
      <c r="H254" s="30" t="s">
        <v>461</v>
      </c>
      <c r="I254" s="34" t="s">
        <v>38</v>
      </c>
      <c r="J254" s="34" t="s">
        <v>1136</v>
      </c>
      <c r="K254" s="580">
        <f t="shared" ref="K254" si="512">49.44*10%</f>
        <v>4.944</v>
      </c>
      <c r="L254" s="580">
        <v>2080</v>
      </c>
      <c r="M254" s="580"/>
      <c r="N254" s="580">
        <f t="shared" si="407"/>
        <v>10283.52</v>
      </c>
      <c r="O254" s="580"/>
      <c r="P254" s="580">
        <f t="shared" si="496"/>
        <v>3681.5001600000001</v>
      </c>
      <c r="Q254" s="580">
        <f t="shared" si="408"/>
        <v>149.11104</v>
      </c>
      <c r="R254" s="580">
        <v>0</v>
      </c>
      <c r="S254" s="580"/>
      <c r="T254" s="580"/>
      <c r="U254" s="580"/>
      <c r="V254" s="473">
        <f t="shared" ref="V254" si="513">SUM(N254:U254)</f>
        <v>14114.1312</v>
      </c>
      <c r="W254" s="580">
        <f t="shared" ref="W254" si="514">IF(P254&lt;&gt;"",V254*$W$27,0)</f>
        <v>0</v>
      </c>
      <c r="X254" s="580"/>
      <c r="Y254" s="581">
        <f t="shared" ref="Y254" si="515">X254+W254+V254</f>
        <v>14114.1312</v>
      </c>
      <c r="Z254" s="432"/>
    </row>
    <row r="255" spans="1:26" ht="12.75" customHeight="1" x14ac:dyDescent="0.2">
      <c r="A255" s="30"/>
      <c r="B255" s="30"/>
      <c r="C255" s="30" t="s">
        <v>286</v>
      </c>
      <c r="D255" s="426">
        <v>623</v>
      </c>
      <c r="E255" s="30" t="s">
        <v>327</v>
      </c>
      <c r="F255" s="30" t="s">
        <v>6</v>
      </c>
      <c r="G255" s="30" t="s">
        <v>454</v>
      </c>
      <c r="H255" s="30" t="s">
        <v>461</v>
      </c>
      <c r="I255" s="34" t="s">
        <v>38</v>
      </c>
      <c r="J255" s="34" t="s">
        <v>144</v>
      </c>
      <c r="K255" s="580">
        <f>49.44*11%</f>
        <v>5.4383999999999997</v>
      </c>
      <c r="L255" s="580">
        <v>2080</v>
      </c>
      <c r="M255" s="580"/>
      <c r="N255" s="580">
        <f t="shared" si="407"/>
        <v>11311.871999999999</v>
      </c>
      <c r="O255" s="580"/>
      <c r="P255" s="580">
        <f t="shared" si="496"/>
        <v>4049.6501759999996</v>
      </c>
      <c r="Q255" s="580">
        <f t="shared" si="408"/>
        <v>164.022144</v>
      </c>
      <c r="R255" s="580">
        <v>0</v>
      </c>
      <c r="S255" s="580"/>
      <c r="T255" s="580"/>
      <c r="U255" s="580"/>
      <c r="V255" s="473">
        <f t="shared" ref="V255" si="516">SUM(N255:U255)</f>
        <v>15525.544319999999</v>
      </c>
      <c r="W255" s="580">
        <f t="shared" ref="W255" si="517">IF(P255&lt;&gt;"",V255*$W$27,0)</f>
        <v>0</v>
      </c>
      <c r="X255" s="580"/>
      <c r="Y255" s="581">
        <f t="shared" ref="Y255" si="518">X255+W255+V255</f>
        <v>15525.544319999999</v>
      </c>
      <c r="Z255" s="432"/>
    </row>
    <row r="256" spans="1:26" s="432" customFormat="1" ht="12.75" customHeight="1" x14ac:dyDescent="0.2">
      <c r="A256" s="30">
        <v>269429</v>
      </c>
      <c r="B256" s="30"/>
      <c r="C256" s="30" t="s">
        <v>287</v>
      </c>
      <c r="D256" s="426">
        <v>614</v>
      </c>
      <c r="E256" s="30" t="s">
        <v>371</v>
      </c>
      <c r="F256" s="30" t="s">
        <v>6</v>
      </c>
      <c r="G256" s="30" t="s">
        <v>454</v>
      </c>
      <c r="H256" s="30" t="s">
        <v>461</v>
      </c>
      <c r="I256" s="34" t="s">
        <v>38</v>
      </c>
      <c r="J256" s="30" t="s">
        <v>133</v>
      </c>
      <c r="K256" s="580">
        <f>22.98</f>
        <v>22.98</v>
      </c>
      <c r="L256" s="580">
        <v>2080</v>
      </c>
      <c r="M256" s="580"/>
      <c r="N256" s="580">
        <f t="shared" si="407"/>
        <v>47798.400000000001</v>
      </c>
      <c r="O256" s="580"/>
      <c r="P256" s="580">
        <f>(N256-(M256*K256))*$P$27</f>
        <v>17111.8272</v>
      </c>
      <c r="Q256" s="580">
        <f t="shared" si="408"/>
        <v>693.07680000000005</v>
      </c>
      <c r="R256" s="580">
        <v>0</v>
      </c>
      <c r="S256" s="580">
        <f>IF(H256="1",3242.52*2,0)</f>
        <v>6485.04</v>
      </c>
      <c r="T256" s="580">
        <v>0</v>
      </c>
      <c r="U256" s="580">
        <v>0</v>
      </c>
      <c r="V256" s="473">
        <f t="shared" ref="V256" si="519">SUM(N256:U256)</f>
        <v>72088.343999999997</v>
      </c>
      <c r="W256" s="580">
        <f t="shared" ref="W256" si="520">IF(P256&lt;&gt;"",V256*$W$27,0)</f>
        <v>0</v>
      </c>
      <c r="X256" s="580"/>
      <c r="Y256" s="581">
        <f t="shared" ref="Y256" si="521">X256+W256+V256</f>
        <v>72088.343999999997</v>
      </c>
    </row>
    <row r="257" spans="1:26" s="432" customFormat="1" ht="12.75" customHeight="1" x14ac:dyDescent="0.2">
      <c r="A257" s="30">
        <v>199546</v>
      </c>
      <c r="B257" s="30"/>
      <c r="C257" s="30" t="s">
        <v>750</v>
      </c>
      <c r="D257" s="426" t="s">
        <v>333</v>
      </c>
      <c r="E257" s="30" t="s">
        <v>747</v>
      </c>
      <c r="F257" s="34" t="s">
        <v>453</v>
      </c>
      <c r="G257" s="34" t="s">
        <v>792</v>
      </c>
      <c r="H257" s="30" t="s">
        <v>461</v>
      </c>
      <c r="I257" s="34" t="s">
        <v>27</v>
      </c>
      <c r="J257" s="34" t="s">
        <v>62</v>
      </c>
      <c r="K257" s="580">
        <v>50</v>
      </c>
      <c r="L257" s="580">
        <v>18</v>
      </c>
      <c r="M257" s="580"/>
      <c r="N257" s="580">
        <f t="shared" si="407"/>
        <v>900</v>
      </c>
      <c r="O257" s="580"/>
      <c r="P257" s="580">
        <v>0</v>
      </c>
      <c r="Q257" s="580">
        <f t="shared" si="408"/>
        <v>13.05</v>
      </c>
      <c r="R257" s="580">
        <f>N257*$R$27</f>
        <v>55.8</v>
      </c>
      <c r="S257" s="580">
        <v>0</v>
      </c>
      <c r="T257" s="580"/>
      <c r="U257" s="580"/>
      <c r="V257" s="473">
        <f t="shared" ref="V257" si="522">SUM(N257:U257)</f>
        <v>968.84999999999991</v>
      </c>
      <c r="W257" s="580">
        <f t="shared" ref="W257" si="523">IF(P257&lt;&gt;"",V257*$W$27,0)</f>
        <v>0</v>
      </c>
      <c r="X257" s="580"/>
      <c r="Y257" s="581">
        <f t="shared" ref="Y257" si="524">X257+W257+V257</f>
        <v>968.84999999999991</v>
      </c>
    </row>
    <row r="258" spans="1:26" s="432" customFormat="1" ht="12.75" customHeight="1" x14ac:dyDescent="0.2">
      <c r="A258" s="30">
        <v>237761</v>
      </c>
      <c r="B258" s="30"/>
      <c r="C258" s="30" t="s">
        <v>241</v>
      </c>
      <c r="D258" s="426">
        <v>615</v>
      </c>
      <c r="E258" s="30" t="s">
        <v>345</v>
      </c>
      <c r="F258" s="30" t="s">
        <v>6</v>
      </c>
      <c r="G258" s="30" t="s">
        <v>454</v>
      </c>
      <c r="H258" s="30" t="s">
        <v>461</v>
      </c>
      <c r="I258" s="34" t="s">
        <v>31</v>
      </c>
      <c r="J258" s="34" t="s">
        <v>117</v>
      </c>
      <c r="K258" s="580">
        <f>27.65*1.105*30%</f>
        <v>9.1659749999999995</v>
      </c>
      <c r="L258" s="580">
        <v>2080</v>
      </c>
      <c r="M258" s="580"/>
      <c r="N258" s="580">
        <f t="shared" si="407"/>
        <v>19065.227999999999</v>
      </c>
      <c r="O258" s="580"/>
      <c r="P258" s="580">
        <f>(N258-(M258*K258))*$P$27</f>
        <v>6825.351623999999</v>
      </c>
      <c r="Q258" s="580">
        <f t="shared" si="408"/>
        <v>276.445806</v>
      </c>
      <c r="R258" s="580">
        <v>0</v>
      </c>
      <c r="S258" s="580">
        <f>IF(H258="1",2828.52*2,0)</f>
        <v>5657.04</v>
      </c>
      <c r="T258" s="580">
        <f>IF(H258="1",154.92*2,0)</f>
        <v>309.83999999999997</v>
      </c>
      <c r="U258" s="580">
        <v>0</v>
      </c>
      <c r="V258" s="473">
        <f t="shared" ref="V258" si="525">SUM(N258:U258)</f>
        <v>32133.905429999999</v>
      </c>
      <c r="W258" s="580">
        <f t="shared" ref="W258" si="526">IF(P258&lt;&gt;"",V258*$W$27,0)</f>
        <v>0</v>
      </c>
      <c r="X258" s="580"/>
      <c r="Y258" s="581">
        <f t="shared" ref="Y258" si="527">X258+W258+V258</f>
        <v>32133.905429999999</v>
      </c>
    </row>
    <row r="259" spans="1:26" s="432" customFormat="1" ht="12.75" customHeight="1" x14ac:dyDescent="0.2">
      <c r="A259" s="30"/>
      <c r="B259" s="30"/>
      <c r="C259" s="30" t="s">
        <v>241</v>
      </c>
      <c r="D259" s="426">
        <v>615</v>
      </c>
      <c r="E259" s="30" t="s">
        <v>345</v>
      </c>
      <c r="F259" s="30" t="s">
        <v>6</v>
      </c>
      <c r="G259" s="30" t="s">
        <v>454</v>
      </c>
      <c r="H259" s="30" t="s">
        <v>461</v>
      </c>
      <c r="I259" s="34" t="s">
        <v>31</v>
      </c>
      <c r="J259" s="34" t="s">
        <v>114</v>
      </c>
      <c r="K259" s="580">
        <f>27.65*1.105*30%</f>
        <v>9.1659749999999995</v>
      </c>
      <c r="L259" s="580">
        <v>2080</v>
      </c>
      <c r="M259" s="580"/>
      <c r="N259" s="580">
        <f t="shared" si="407"/>
        <v>19065.227999999999</v>
      </c>
      <c r="O259" s="580"/>
      <c r="P259" s="580">
        <f t="shared" ref="P259:P262" si="528">(N259-(M259*K259))*$P$27</f>
        <v>6825.351623999999</v>
      </c>
      <c r="Q259" s="580">
        <f t="shared" si="408"/>
        <v>276.445806</v>
      </c>
      <c r="R259" s="580">
        <v>0</v>
      </c>
      <c r="S259" s="580"/>
      <c r="T259" s="580"/>
      <c r="U259" s="580"/>
      <c r="V259" s="473">
        <f t="shared" ref="V259" si="529">SUM(N259:U259)</f>
        <v>26167.025429999998</v>
      </c>
      <c r="W259" s="580">
        <f t="shared" ref="W259" si="530">IF(P259&lt;&gt;"",V259*$W$27,0)</f>
        <v>0</v>
      </c>
      <c r="X259" s="580"/>
      <c r="Y259" s="581">
        <f t="shared" ref="Y259" si="531">X259+W259+V259</f>
        <v>26167.025429999998</v>
      </c>
    </row>
    <row r="260" spans="1:26" ht="12.75" customHeight="1" x14ac:dyDescent="0.2">
      <c r="A260" s="30"/>
      <c r="B260" s="30"/>
      <c r="C260" s="30" t="s">
        <v>241</v>
      </c>
      <c r="D260" s="426">
        <v>615</v>
      </c>
      <c r="E260" s="30" t="s">
        <v>345</v>
      </c>
      <c r="F260" s="30" t="s">
        <v>6</v>
      </c>
      <c r="G260" s="30" t="s">
        <v>454</v>
      </c>
      <c r="H260" s="30" t="s">
        <v>461</v>
      </c>
      <c r="I260" s="34" t="s">
        <v>31</v>
      </c>
      <c r="J260" s="34" t="s">
        <v>133</v>
      </c>
      <c r="K260" s="580">
        <f>27.65*1.105*10%</f>
        <v>3.0553249999999998</v>
      </c>
      <c r="L260" s="580">
        <v>2080</v>
      </c>
      <c r="M260" s="580"/>
      <c r="N260" s="580">
        <f t="shared" si="407"/>
        <v>6355.076</v>
      </c>
      <c r="O260" s="580"/>
      <c r="P260" s="580">
        <f t="shared" si="528"/>
        <v>2275.1172080000001</v>
      </c>
      <c r="Q260" s="580">
        <f t="shared" si="408"/>
        <v>92.148602000000011</v>
      </c>
      <c r="R260" s="580">
        <v>0</v>
      </c>
      <c r="S260" s="580"/>
      <c r="T260" s="580"/>
      <c r="U260" s="580"/>
      <c r="V260" s="473">
        <f t="shared" ref="V260" si="532">SUM(N260:U260)</f>
        <v>8722.3418099999999</v>
      </c>
      <c r="W260" s="580">
        <f t="shared" ref="W260" si="533">IF(P260&lt;&gt;"",V260*$W$27,0)</f>
        <v>0</v>
      </c>
      <c r="X260" s="580"/>
      <c r="Y260" s="581">
        <f t="shared" ref="Y260" si="534">X260+W260+V260</f>
        <v>8722.3418099999999</v>
      </c>
      <c r="Z260" s="432"/>
    </row>
    <row r="261" spans="1:26" s="432" customFormat="1" ht="12.75" customHeight="1" x14ac:dyDescent="0.2">
      <c r="A261" s="30"/>
      <c r="B261" s="30"/>
      <c r="C261" s="30" t="s">
        <v>241</v>
      </c>
      <c r="D261" s="426">
        <v>615</v>
      </c>
      <c r="E261" s="30" t="s">
        <v>345</v>
      </c>
      <c r="F261" s="30" t="s">
        <v>6</v>
      </c>
      <c r="G261" s="30" t="s">
        <v>454</v>
      </c>
      <c r="H261" s="30" t="s">
        <v>461</v>
      </c>
      <c r="I261" s="34" t="s">
        <v>31</v>
      </c>
      <c r="J261" s="34" t="s">
        <v>692</v>
      </c>
      <c r="K261" s="580">
        <f>27.65*1.105*20%</f>
        <v>6.1106499999999997</v>
      </c>
      <c r="L261" s="580">
        <v>2080</v>
      </c>
      <c r="M261" s="580"/>
      <c r="N261" s="580">
        <f t="shared" si="407"/>
        <v>12710.152</v>
      </c>
      <c r="O261" s="580"/>
      <c r="P261" s="580">
        <f t="shared" si="528"/>
        <v>4550.2344160000002</v>
      </c>
      <c r="Q261" s="580">
        <f t="shared" si="408"/>
        <v>184.29720400000002</v>
      </c>
      <c r="R261" s="580">
        <v>0</v>
      </c>
      <c r="S261" s="580"/>
      <c r="T261" s="580"/>
      <c r="U261" s="580"/>
      <c r="V261" s="473">
        <f t="shared" ref="V261" si="535">SUM(N261:U261)</f>
        <v>17444.68362</v>
      </c>
      <c r="W261" s="580">
        <f t="shared" ref="W261" si="536">IF(P261&lt;&gt;"",V261*$W$27,0)</f>
        <v>0</v>
      </c>
      <c r="X261" s="580"/>
      <c r="Y261" s="581">
        <f t="shared" ref="Y261" si="537">X261+W261+V261</f>
        <v>17444.68362</v>
      </c>
    </row>
    <row r="262" spans="1:26" s="432" customFormat="1" ht="12.75" customHeight="1" x14ac:dyDescent="0.2">
      <c r="A262" s="30"/>
      <c r="B262" s="30"/>
      <c r="C262" s="30" t="s">
        <v>241</v>
      </c>
      <c r="D262" s="426">
        <v>615</v>
      </c>
      <c r="E262" s="30" t="s">
        <v>345</v>
      </c>
      <c r="F262" s="30" t="s">
        <v>6</v>
      </c>
      <c r="G262" s="30" t="s">
        <v>454</v>
      </c>
      <c r="H262" s="30" t="s">
        <v>461</v>
      </c>
      <c r="I262" s="34" t="s">
        <v>31</v>
      </c>
      <c r="J262" s="34" t="s">
        <v>116</v>
      </c>
      <c r="K262" s="580">
        <f>27.65*1.105*10%</f>
        <v>3.0553249999999998</v>
      </c>
      <c r="L262" s="580">
        <v>2080</v>
      </c>
      <c r="M262" s="580"/>
      <c r="N262" s="580">
        <f t="shared" si="407"/>
        <v>6355.076</v>
      </c>
      <c r="O262" s="580"/>
      <c r="P262" s="580">
        <f t="shared" si="528"/>
        <v>2275.1172080000001</v>
      </c>
      <c r="Q262" s="580">
        <f t="shared" si="408"/>
        <v>92.148602000000011</v>
      </c>
      <c r="R262" s="580">
        <v>0</v>
      </c>
      <c r="S262" s="580"/>
      <c r="T262" s="580"/>
      <c r="U262" s="580"/>
      <c r="V262" s="473">
        <f t="shared" ref="V262" si="538">SUM(N262:U262)</f>
        <v>8722.3418099999999</v>
      </c>
      <c r="W262" s="580">
        <f t="shared" ref="W262" si="539">IF(P262&lt;&gt;"",V262*$W$27,0)</f>
        <v>0</v>
      </c>
      <c r="X262" s="580"/>
      <c r="Y262" s="581">
        <f t="shared" ref="Y262" si="540">X262+W262+V262</f>
        <v>8722.3418099999999</v>
      </c>
    </row>
    <row r="263" spans="1:26" s="432" customFormat="1" ht="12.75" customHeight="1" x14ac:dyDescent="0.2">
      <c r="A263" s="30">
        <v>161072</v>
      </c>
      <c r="B263" s="30"/>
      <c r="C263" s="30" t="s">
        <v>242</v>
      </c>
      <c r="D263" s="426">
        <v>622</v>
      </c>
      <c r="E263" s="30" t="s">
        <v>346</v>
      </c>
      <c r="F263" s="30" t="s">
        <v>6</v>
      </c>
      <c r="G263" s="30" t="s">
        <v>454</v>
      </c>
      <c r="H263" s="30" t="s">
        <v>461</v>
      </c>
      <c r="I263" s="34" t="s">
        <v>31</v>
      </c>
      <c r="J263" s="34" t="s">
        <v>692</v>
      </c>
      <c r="K263" s="580">
        <f>45.75*50%</f>
        <v>22.875</v>
      </c>
      <c r="L263" s="580">
        <v>2080</v>
      </c>
      <c r="M263" s="580"/>
      <c r="N263" s="580">
        <f t="shared" si="407"/>
        <v>47580</v>
      </c>
      <c r="O263" s="580"/>
      <c r="P263" s="580">
        <f>(N263-(M263*K263))*$P$27</f>
        <v>17033.64</v>
      </c>
      <c r="Q263" s="580">
        <f t="shared" si="408"/>
        <v>689.91000000000008</v>
      </c>
      <c r="R263" s="580">
        <v>0</v>
      </c>
      <c r="S263" s="580">
        <f>IF(H263="1",3242.52*2,0)</f>
        <v>6485.04</v>
      </c>
      <c r="T263" s="580">
        <f>IF(H263="1",361.92*2,0)</f>
        <v>723.84</v>
      </c>
      <c r="U263" s="580">
        <f>IF(H263="1",162*2,0)</f>
        <v>324</v>
      </c>
      <c r="V263" s="473">
        <f t="shared" ref="V263" si="541">SUM(N263:U263)</f>
        <v>72836.429999999993</v>
      </c>
      <c r="W263" s="580">
        <f t="shared" ref="W263" si="542">IF(P263&lt;&gt;"",V263*$W$27,0)</f>
        <v>0</v>
      </c>
      <c r="X263" s="580"/>
      <c r="Y263" s="581">
        <f t="shared" ref="Y263" si="543">X263+W263+V263</f>
        <v>72836.429999999993</v>
      </c>
    </row>
    <row r="264" spans="1:26" s="432" customFormat="1" ht="12.75" customHeight="1" x14ac:dyDescent="0.2">
      <c r="A264" s="30"/>
      <c r="B264" s="30"/>
      <c r="C264" s="30" t="s">
        <v>242</v>
      </c>
      <c r="D264" s="426">
        <v>622</v>
      </c>
      <c r="E264" s="30" t="s">
        <v>346</v>
      </c>
      <c r="F264" s="30" t="s">
        <v>6</v>
      </c>
      <c r="G264" s="30" t="s">
        <v>454</v>
      </c>
      <c r="H264" s="30" t="s">
        <v>461</v>
      </c>
      <c r="I264" s="34" t="s">
        <v>31</v>
      </c>
      <c r="J264" s="34" t="s">
        <v>117</v>
      </c>
      <c r="K264" s="580">
        <f>45.75*10%</f>
        <v>4.5750000000000002</v>
      </c>
      <c r="L264" s="580">
        <v>2080</v>
      </c>
      <c r="M264" s="580"/>
      <c r="N264" s="580">
        <f t="shared" si="407"/>
        <v>9516</v>
      </c>
      <c r="O264" s="580"/>
      <c r="P264" s="580">
        <f t="shared" ref="P264:P267" si="544">(N264-(M264*K264))*$P$27</f>
        <v>3406.7280000000001</v>
      </c>
      <c r="Q264" s="580">
        <f t="shared" si="408"/>
        <v>137.982</v>
      </c>
      <c r="R264" s="580">
        <v>0</v>
      </c>
      <c r="S264" s="580"/>
      <c r="T264" s="580"/>
      <c r="U264" s="580"/>
      <c r="V264" s="473">
        <f t="shared" ref="V264" si="545">SUM(N264:U264)</f>
        <v>13060.71</v>
      </c>
      <c r="W264" s="580">
        <f t="shared" ref="W264" si="546">IF(P264&lt;&gt;"",V264*$W$27,0)</f>
        <v>0</v>
      </c>
      <c r="X264" s="580"/>
      <c r="Y264" s="581">
        <f t="shared" ref="Y264" si="547">X264+W264+V264</f>
        <v>13060.71</v>
      </c>
    </row>
    <row r="265" spans="1:26" ht="12.75" customHeight="1" x14ac:dyDescent="0.2">
      <c r="A265" s="30"/>
      <c r="B265" s="30"/>
      <c r="C265" s="30" t="s">
        <v>242</v>
      </c>
      <c r="D265" s="426">
        <v>622</v>
      </c>
      <c r="E265" s="30" t="s">
        <v>346</v>
      </c>
      <c r="F265" s="30" t="s">
        <v>6</v>
      </c>
      <c r="G265" s="30" t="s">
        <v>454</v>
      </c>
      <c r="H265" s="30" t="s">
        <v>461</v>
      </c>
      <c r="I265" s="34" t="s">
        <v>31</v>
      </c>
      <c r="J265" s="34" t="s">
        <v>114</v>
      </c>
      <c r="K265" s="580">
        <f>45.75*15%</f>
        <v>6.8624999999999998</v>
      </c>
      <c r="L265" s="580">
        <v>2080</v>
      </c>
      <c r="M265" s="580"/>
      <c r="N265" s="580">
        <f t="shared" si="407"/>
        <v>14274</v>
      </c>
      <c r="O265" s="580"/>
      <c r="P265" s="580">
        <f t="shared" si="544"/>
        <v>5110.0919999999996</v>
      </c>
      <c r="Q265" s="580">
        <f t="shared" si="408"/>
        <v>206.97300000000001</v>
      </c>
      <c r="R265" s="580">
        <v>0</v>
      </c>
      <c r="S265" s="580"/>
      <c r="T265" s="580"/>
      <c r="U265" s="580"/>
      <c r="V265" s="473">
        <f t="shared" ref="V265" si="548">SUM(N265:U265)</f>
        <v>19591.065000000002</v>
      </c>
      <c r="W265" s="580">
        <f t="shared" ref="W265" si="549">IF(P265&lt;&gt;"",V265*$W$27,0)</f>
        <v>0</v>
      </c>
      <c r="X265" s="580"/>
      <c r="Y265" s="581">
        <f t="shared" ref="Y265" si="550">X265+W265+V265</f>
        <v>19591.065000000002</v>
      </c>
      <c r="Z265" s="432"/>
    </row>
    <row r="266" spans="1:26" s="432" customFormat="1" ht="12.75" customHeight="1" x14ac:dyDescent="0.2">
      <c r="A266" s="30"/>
      <c r="B266" s="30"/>
      <c r="C266" s="30" t="s">
        <v>242</v>
      </c>
      <c r="D266" s="426">
        <v>622</v>
      </c>
      <c r="E266" s="30" t="s">
        <v>346</v>
      </c>
      <c r="F266" s="30" t="s">
        <v>6</v>
      </c>
      <c r="G266" s="30" t="s">
        <v>454</v>
      </c>
      <c r="H266" s="30" t="s">
        <v>461</v>
      </c>
      <c r="I266" s="34" t="s">
        <v>31</v>
      </c>
      <c r="J266" s="34" t="s">
        <v>116</v>
      </c>
      <c r="K266" s="580">
        <f>45.75*10%</f>
        <v>4.5750000000000002</v>
      </c>
      <c r="L266" s="580">
        <v>2080</v>
      </c>
      <c r="M266" s="580"/>
      <c r="N266" s="580">
        <f t="shared" si="407"/>
        <v>9516</v>
      </c>
      <c r="O266" s="580"/>
      <c r="P266" s="580">
        <f t="shared" si="544"/>
        <v>3406.7280000000001</v>
      </c>
      <c r="Q266" s="580">
        <f t="shared" si="408"/>
        <v>137.982</v>
      </c>
      <c r="R266" s="580">
        <v>0</v>
      </c>
      <c r="S266" s="580"/>
      <c r="T266" s="580"/>
      <c r="U266" s="580"/>
      <c r="V266" s="473">
        <f t="shared" ref="V266" si="551">SUM(N266:U266)</f>
        <v>13060.71</v>
      </c>
      <c r="W266" s="580">
        <f t="shared" ref="W266" si="552">IF(P266&lt;&gt;"",V266*$W$27,0)</f>
        <v>0</v>
      </c>
      <c r="X266" s="580"/>
      <c r="Y266" s="581">
        <f t="shared" ref="Y266" si="553">X266+W266+V266</f>
        <v>13060.71</v>
      </c>
    </row>
    <row r="267" spans="1:26" s="432" customFormat="1" ht="12.75" customHeight="1" x14ac:dyDescent="0.2">
      <c r="A267" s="30"/>
      <c r="B267" s="30"/>
      <c r="C267" s="30" t="s">
        <v>242</v>
      </c>
      <c r="D267" s="426">
        <v>622</v>
      </c>
      <c r="E267" s="30" t="s">
        <v>346</v>
      </c>
      <c r="F267" s="30" t="s">
        <v>6</v>
      </c>
      <c r="G267" s="30" t="s">
        <v>454</v>
      </c>
      <c r="H267" s="30" t="s">
        <v>461</v>
      </c>
      <c r="I267" s="34" t="s">
        <v>31</v>
      </c>
      <c r="J267" s="34" t="s">
        <v>143</v>
      </c>
      <c r="K267" s="580">
        <f>45.75*15%</f>
        <v>6.8624999999999998</v>
      </c>
      <c r="L267" s="580">
        <v>2080</v>
      </c>
      <c r="M267" s="580"/>
      <c r="N267" s="580">
        <f t="shared" si="407"/>
        <v>14274</v>
      </c>
      <c r="O267" s="580"/>
      <c r="P267" s="580">
        <f t="shared" si="544"/>
        <v>5110.0919999999996</v>
      </c>
      <c r="Q267" s="580">
        <f t="shared" si="408"/>
        <v>206.97300000000001</v>
      </c>
      <c r="R267" s="580">
        <v>0</v>
      </c>
      <c r="S267" s="580"/>
      <c r="T267" s="580"/>
      <c r="U267" s="580"/>
      <c r="V267" s="473">
        <f t="shared" ref="V267" si="554">SUM(N267:U267)</f>
        <v>19591.065000000002</v>
      </c>
      <c r="W267" s="580">
        <f t="shared" ref="W267" si="555">IF(P267&lt;&gt;"",V267*$W$27,0)</f>
        <v>0</v>
      </c>
      <c r="X267" s="580"/>
      <c r="Y267" s="581">
        <f t="shared" ref="Y267" si="556">X267+W267+V267</f>
        <v>19591.065000000002</v>
      </c>
    </row>
    <row r="268" spans="1:26" s="432" customFormat="1" ht="12.75" customHeight="1" x14ac:dyDescent="0.2">
      <c r="A268" s="30">
        <v>197347</v>
      </c>
      <c r="B268" s="30"/>
      <c r="C268" s="30" t="s">
        <v>220</v>
      </c>
      <c r="D268" s="426">
        <v>618</v>
      </c>
      <c r="E268" s="30" t="s">
        <v>324</v>
      </c>
      <c r="F268" s="30" t="s">
        <v>6</v>
      </c>
      <c r="G268" s="30" t="s">
        <v>454</v>
      </c>
      <c r="H268" s="30" t="s">
        <v>461</v>
      </c>
      <c r="I268" s="34" t="s">
        <v>28</v>
      </c>
      <c r="J268" s="34" t="s">
        <v>116</v>
      </c>
      <c r="K268" s="580">
        <f>34.12*25%</f>
        <v>8.5299999999999994</v>
      </c>
      <c r="L268" s="580">
        <v>2080</v>
      </c>
      <c r="M268" s="580"/>
      <c r="N268" s="580">
        <f t="shared" si="407"/>
        <v>17742.399999999998</v>
      </c>
      <c r="O268" s="580"/>
      <c r="P268" s="580">
        <f>(N268-(M268*K268))*$P$27</f>
        <v>6351.779199999999</v>
      </c>
      <c r="Q268" s="580">
        <f t="shared" si="408"/>
        <v>257.26479999999998</v>
      </c>
      <c r="R268" s="580">
        <v>0</v>
      </c>
      <c r="S268" s="580">
        <v>0</v>
      </c>
      <c r="T268" s="580">
        <v>0</v>
      </c>
      <c r="U268" s="580">
        <v>0</v>
      </c>
      <c r="V268" s="473">
        <f t="shared" ref="V268" si="557">SUM(N268:U268)</f>
        <v>24351.444</v>
      </c>
      <c r="W268" s="580">
        <f t="shared" ref="W268" si="558">IF(P268&lt;&gt;"",V268*$W$27,0)</f>
        <v>0</v>
      </c>
      <c r="X268" s="580"/>
      <c r="Y268" s="581">
        <f t="shared" ref="Y268" si="559">X268+W268+V268</f>
        <v>24351.444</v>
      </c>
    </row>
    <row r="269" spans="1:26" s="432" customFormat="1" ht="12.75" customHeight="1" x14ac:dyDescent="0.2">
      <c r="A269" s="30"/>
      <c r="B269" s="30"/>
      <c r="C269" s="30" t="s">
        <v>220</v>
      </c>
      <c r="D269" s="426">
        <v>618</v>
      </c>
      <c r="E269" s="30" t="s">
        <v>324</v>
      </c>
      <c r="F269" s="30" t="s">
        <v>6</v>
      </c>
      <c r="G269" s="30" t="s">
        <v>454</v>
      </c>
      <c r="H269" s="30" t="s">
        <v>461</v>
      </c>
      <c r="I269" s="34" t="s">
        <v>28</v>
      </c>
      <c r="J269" s="34" t="s">
        <v>125</v>
      </c>
      <c r="K269" s="580">
        <f>34.12*0.5%</f>
        <v>0.1706</v>
      </c>
      <c r="L269" s="580">
        <v>2080</v>
      </c>
      <c r="M269" s="580"/>
      <c r="N269" s="580">
        <f t="shared" si="407"/>
        <v>354.84800000000001</v>
      </c>
      <c r="O269" s="580"/>
      <c r="P269" s="580">
        <f t="shared" ref="P269:P276" si="560">(N269-(M269*K269))*$P$27</f>
        <v>127.035584</v>
      </c>
      <c r="Q269" s="580">
        <f t="shared" si="408"/>
        <v>5.1452960000000001</v>
      </c>
      <c r="R269" s="580">
        <v>0</v>
      </c>
      <c r="S269" s="580"/>
      <c r="T269" s="580"/>
      <c r="U269" s="580"/>
      <c r="V269" s="473">
        <f t="shared" ref="V269" si="561">SUM(N269:U269)</f>
        <v>487.02888000000002</v>
      </c>
      <c r="W269" s="580">
        <f t="shared" ref="W269" si="562">IF(P269&lt;&gt;"",V269*$W$27,0)</f>
        <v>0</v>
      </c>
      <c r="X269" s="580"/>
      <c r="Y269" s="581">
        <f t="shared" ref="Y269" si="563">X269+W269+V269</f>
        <v>487.02888000000002</v>
      </c>
    </row>
    <row r="270" spans="1:26" s="432" customFormat="1" ht="12.75" customHeight="1" x14ac:dyDescent="0.2">
      <c r="A270" s="30"/>
      <c r="B270" s="30"/>
      <c r="C270" s="30" t="s">
        <v>220</v>
      </c>
      <c r="D270" s="426">
        <v>618</v>
      </c>
      <c r="E270" s="30" t="s">
        <v>324</v>
      </c>
      <c r="F270" s="30" t="s">
        <v>6</v>
      </c>
      <c r="G270" s="30" t="s">
        <v>454</v>
      </c>
      <c r="H270" s="30" t="s">
        <v>461</v>
      </c>
      <c r="I270" s="34" t="s">
        <v>28</v>
      </c>
      <c r="J270" s="34" t="s">
        <v>134</v>
      </c>
      <c r="K270" s="580">
        <f>34.12*0.5%</f>
        <v>0.1706</v>
      </c>
      <c r="L270" s="580">
        <v>2080</v>
      </c>
      <c r="M270" s="580"/>
      <c r="N270" s="580">
        <f t="shared" si="407"/>
        <v>354.84800000000001</v>
      </c>
      <c r="O270" s="580"/>
      <c r="P270" s="580">
        <f t="shared" si="560"/>
        <v>127.035584</v>
      </c>
      <c r="Q270" s="580">
        <f t="shared" si="408"/>
        <v>5.1452960000000001</v>
      </c>
      <c r="R270" s="580">
        <v>0</v>
      </c>
      <c r="S270" s="580"/>
      <c r="T270" s="580"/>
      <c r="U270" s="580"/>
      <c r="V270" s="473">
        <f t="shared" ref="V270" si="564">SUM(N270:U270)</f>
        <v>487.02888000000002</v>
      </c>
      <c r="W270" s="580">
        <f t="shared" ref="W270" si="565">IF(P270&lt;&gt;"",V270*$W$27,0)</f>
        <v>0</v>
      </c>
      <c r="X270" s="580"/>
      <c r="Y270" s="581">
        <f t="shared" ref="Y270" si="566">X270+W270+V270</f>
        <v>487.02888000000002</v>
      </c>
    </row>
    <row r="271" spans="1:26" s="432" customFormat="1" ht="12.75" customHeight="1" x14ac:dyDescent="0.2">
      <c r="A271" s="30"/>
      <c r="B271" s="30"/>
      <c r="C271" s="30" t="s">
        <v>220</v>
      </c>
      <c r="D271" s="426">
        <v>618</v>
      </c>
      <c r="E271" s="30" t="s">
        <v>324</v>
      </c>
      <c r="F271" s="30" t="s">
        <v>6</v>
      </c>
      <c r="G271" s="30" t="s">
        <v>454</v>
      </c>
      <c r="H271" s="30" t="s">
        <v>461</v>
      </c>
      <c r="I271" s="34" t="s">
        <v>28</v>
      </c>
      <c r="J271" s="34" t="s">
        <v>143</v>
      </c>
      <c r="K271" s="580">
        <f>34.12*2%</f>
        <v>0.68240000000000001</v>
      </c>
      <c r="L271" s="580">
        <v>2080</v>
      </c>
      <c r="M271" s="580"/>
      <c r="N271" s="580">
        <f t="shared" si="407"/>
        <v>1419.3920000000001</v>
      </c>
      <c r="O271" s="580"/>
      <c r="P271" s="580">
        <f t="shared" si="560"/>
        <v>508.142336</v>
      </c>
      <c r="Q271" s="580">
        <f t="shared" si="408"/>
        <v>20.581184</v>
      </c>
      <c r="R271" s="580">
        <v>0</v>
      </c>
      <c r="S271" s="580"/>
      <c r="T271" s="580"/>
      <c r="U271" s="580"/>
      <c r="V271" s="473">
        <f t="shared" ref="V271" si="567">SUM(N271:U271)</f>
        <v>1948.1155200000001</v>
      </c>
      <c r="W271" s="580">
        <f t="shared" ref="W271" si="568">IF(P271&lt;&gt;"",V271*$W$27,0)</f>
        <v>0</v>
      </c>
      <c r="X271" s="580"/>
      <c r="Y271" s="581">
        <f t="shared" ref="Y271" si="569">X271+W271+V271</f>
        <v>1948.1155200000001</v>
      </c>
    </row>
    <row r="272" spans="1:26" s="432" customFormat="1" ht="12.75" customHeight="1" x14ac:dyDescent="0.2">
      <c r="A272" s="30"/>
      <c r="B272" s="30"/>
      <c r="C272" s="30" t="s">
        <v>220</v>
      </c>
      <c r="D272" s="426">
        <v>618</v>
      </c>
      <c r="E272" s="30" t="s">
        <v>324</v>
      </c>
      <c r="F272" s="30" t="s">
        <v>6</v>
      </c>
      <c r="G272" s="30" t="s">
        <v>454</v>
      </c>
      <c r="H272" s="30" t="s">
        <v>461</v>
      </c>
      <c r="I272" s="34" t="s">
        <v>28</v>
      </c>
      <c r="J272" s="34" t="s">
        <v>148</v>
      </c>
      <c r="K272" s="580">
        <f>34.12*0.5%</f>
        <v>0.1706</v>
      </c>
      <c r="L272" s="580">
        <v>2080</v>
      </c>
      <c r="M272" s="580"/>
      <c r="N272" s="580">
        <f t="shared" si="407"/>
        <v>354.84800000000001</v>
      </c>
      <c r="O272" s="580"/>
      <c r="P272" s="580">
        <f t="shared" si="560"/>
        <v>127.035584</v>
      </c>
      <c r="Q272" s="580">
        <f t="shared" si="408"/>
        <v>5.1452960000000001</v>
      </c>
      <c r="R272" s="580">
        <v>0</v>
      </c>
      <c r="S272" s="580"/>
      <c r="T272" s="580"/>
      <c r="U272" s="580"/>
      <c r="V272" s="473">
        <f t="shared" ref="V272" si="570">SUM(N272:U272)</f>
        <v>487.02888000000002</v>
      </c>
      <c r="W272" s="580">
        <f t="shared" ref="W272" si="571">IF(P272&lt;&gt;"",V272*$W$27,0)</f>
        <v>0</v>
      </c>
      <c r="X272" s="580"/>
      <c r="Y272" s="581">
        <f t="shared" ref="Y272" si="572">X272+W272+V272</f>
        <v>487.02888000000002</v>
      </c>
    </row>
    <row r="273" spans="1:26" s="432" customFormat="1" ht="12.75" customHeight="1" x14ac:dyDescent="0.2">
      <c r="A273" s="30"/>
      <c r="B273" s="30"/>
      <c r="C273" s="30" t="s">
        <v>220</v>
      </c>
      <c r="D273" s="426">
        <v>618</v>
      </c>
      <c r="E273" s="30" t="s">
        <v>324</v>
      </c>
      <c r="F273" s="30" t="s">
        <v>6</v>
      </c>
      <c r="G273" s="30" t="s">
        <v>454</v>
      </c>
      <c r="H273" s="30" t="s">
        <v>461</v>
      </c>
      <c r="I273" s="34" t="s">
        <v>28</v>
      </c>
      <c r="J273" s="34" t="s">
        <v>150</v>
      </c>
      <c r="K273" s="580">
        <f>34.12*0.5%</f>
        <v>0.1706</v>
      </c>
      <c r="L273" s="580">
        <v>2080</v>
      </c>
      <c r="M273" s="580"/>
      <c r="N273" s="580">
        <f t="shared" si="407"/>
        <v>354.84800000000001</v>
      </c>
      <c r="O273" s="580"/>
      <c r="P273" s="580">
        <f t="shared" si="560"/>
        <v>127.035584</v>
      </c>
      <c r="Q273" s="580">
        <f t="shared" si="408"/>
        <v>5.1452960000000001</v>
      </c>
      <c r="R273" s="580">
        <v>0</v>
      </c>
      <c r="S273" s="580"/>
      <c r="T273" s="580"/>
      <c r="U273" s="580"/>
      <c r="V273" s="473">
        <f t="shared" ref="V273" si="573">SUM(N273:U273)</f>
        <v>487.02888000000002</v>
      </c>
      <c r="W273" s="580">
        <f t="shared" ref="W273" si="574">IF(P273&lt;&gt;"",V273*$W$27,0)</f>
        <v>0</v>
      </c>
      <c r="X273" s="580"/>
      <c r="Y273" s="581">
        <f t="shared" ref="Y273" si="575">X273+W273+V273</f>
        <v>487.02888000000002</v>
      </c>
    </row>
    <row r="274" spans="1:26" ht="12.75" customHeight="1" x14ac:dyDescent="0.2">
      <c r="A274" s="30"/>
      <c r="B274" s="30"/>
      <c r="C274" s="30" t="s">
        <v>220</v>
      </c>
      <c r="D274" s="426">
        <v>618</v>
      </c>
      <c r="E274" s="30" t="s">
        <v>324</v>
      </c>
      <c r="F274" s="30" t="s">
        <v>6</v>
      </c>
      <c r="G274" s="30" t="s">
        <v>454</v>
      </c>
      <c r="H274" s="30" t="s">
        <v>461</v>
      </c>
      <c r="I274" s="34" t="s">
        <v>28</v>
      </c>
      <c r="J274" s="34" t="s">
        <v>63</v>
      </c>
      <c r="K274" s="580">
        <f>34.12*0.5%</f>
        <v>0.1706</v>
      </c>
      <c r="L274" s="580">
        <v>2080</v>
      </c>
      <c r="M274" s="580"/>
      <c r="N274" s="580">
        <f t="shared" si="407"/>
        <v>354.84800000000001</v>
      </c>
      <c r="O274" s="580"/>
      <c r="P274" s="580">
        <f t="shared" si="560"/>
        <v>127.035584</v>
      </c>
      <c r="Q274" s="580">
        <f t="shared" si="408"/>
        <v>5.1452960000000001</v>
      </c>
      <c r="R274" s="580">
        <v>0</v>
      </c>
      <c r="S274" s="580"/>
      <c r="T274" s="580"/>
      <c r="U274" s="580"/>
      <c r="V274" s="473">
        <f t="shared" ref="V274" si="576">SUM(N274:U274)</f>
        <v>487.02888000000002</v>
      </c>
      <c r="W274" s="580">
        <f t="shared" ref="W274" si="577">IF(P274&lt;&gt;"",V274*$W$27,0)</f>
        <v>0</v>
      </c>
      <c r="X274" s="580"/>
      <c r="Y274" s="581">
        <f t="shared" ref="Y274" si="578">X274+W274+V274</f>
        <v>487.02888000000002</v>
      </c>
      <c r="Z274" s="432"/>
    </row>
    <row r="275" spans="1:26" s="432" customFormat="1" ht="12.75" customHeight="1" x14ac:dyDescent="0.2">
      <c r="A275" s="30"/>
      <c r="B275" s="30"/>
      <c r="C275" s="30" t="s">
        <v>220</v>
      </c>
      <c r="D275" s="426">
        <v>618</v>
      </c>
      <c r="E275" s="30" t="s">
        <v>324</v>
      </c>
      <c r="F275" s="30" t="s">
        <v>6</v>
      </c>
      <c r="G275" s="30" t="s">
        <v>454</v>
      </c>
      <c r="H275" s="30" t="s">
        <v>461</v>
      </c>
      <c r="I275" s="34" t="s">
        <v>28</v>
      </c>
      <c r="J275" s="34" t="s">
        <v>64</v>
      </c>
      <c r="K275" s="580">
        <f>34.12*0.5%</f>
        <v>0.1706</v>
      </c>
      <c r="L275" s="580">
        <v>2080</v>
      </c>
      <c r="M275" s="580"/>
      <c r="N275" s="580">
        <f t="shared" si="407"/>
        <v>354.84800000000001</v>
      </c>
      <c r="O275" s="580"/>
      <c r="P275" s="580">
        <f t="shared" si="560"/>
        <v>127.035584</v>
      </c>
      <c r="Q275" s="580">
        <f t="shared" si="408"/>
        <v>5.1452960000000001</v>
      </c>
      <c r="R275" s="580">
        <v>0</v>
      </c>
      <c r="S275" s="580"/>
      <c r="T275" s="580"/>
      <c r="U275" s="580"/>
      <c r="V275" s="473">
        <f t="shared" ref="V275" si="579">SUM(N275:U275)</f>
        <v>487.02888000000002</v>
      </c>
      <c r="W275" s="580">
        <f t="shared" ref="W275" si="580">IF(P275&lt;&gt;"",V275*$W$27,0)</f>
        <v>0</v>
      </c>
      <c r="X275" s="580"/>
      <c r="Y275" s="581">
        <f t="shared" ref="Y275" si="581">X275+W275+V275</f>
        <v>487.02888000000002</v>
      </c>
    </row>
    <row r="276" spans="1:26" s="432" customFormat="1" ht="12.75" customHeight="1" x14ac:dyDescent="0.2">
      <c r="A276" s="30"/>
      <c r="B276" s="30"/>
      <c r="C276" s="30" t="s">
        <v>220</v>
      </c>
      <c r="D276" s="426">
        <v>618</v>
      </c>
      <c r="E276" s="30" t="s">
        <v>324</v>
      </c>
      <c r="F276" s="30" t="s">
        <v>6</v>
      </c>
      <c r="G276" s="30" t="s">
        <v>454</v>
      </c>
      <c r="H276" s="30" t="s">
        <v>461</v>
      </c>
      <c r="I276" s="34" t="s">
        <v>28</v>
      </c>
      <c r="J276" s="34" t="s">
        <v>692</v>
      </c>
      <c r="K276" s="580">
        <f>34.12*70%</f>
        <v>23.883999999999997</v>
      </c>
      <c r="L276" s="580">
        <v>2080</v>
      </c>
      <c r="M276" s="580"/>
      <c r="N276" s="580">
        <f t="shared" si="407"/>
        <v>49678.719999999994</v>
      </c>
      <c r="O276" s="580"/>
      <c r="P276" s="580">
        <f t="shared" si="560"/>
        <v>17784.981759999999</v>
      </c>
      <c r="Q276" s="580">
        <f t="shared" si="408"/>
        <v>720.34143999999992</v>
      </c>
      <c r="R276" s="580">
        <v>0</v>
      </c>
      <c r="S276" s="580"/>
      <c r="T276" s="580"/>
      <c r="U276" s="580"/>
      <c r="V276" s="473">
        <f t="shared" ref="V276" si="582">SUM(N276:U276)</f>
        <v>68184.0432</v>
      </c>
      <c r="W276" s="580">
        <f t="shared" ref="W276" si="583">IF(P276&lt;&gt;"",V276*$W$27,0)</f>
        <v>0</v>
      </c>
      <c r="X276" s="580"/>
      <c r="Y276" s="581">
        <f t="shared" ref="Y276" si="584">X276+W276+V276</f>
        <v>68184.0432</v>
      </c>
    </row>
    <row r="277" spans="1:26" ht="12.75" customHeight="1" x14ac:dyDescent="0.2">
      <c r="A277" s="30">
        <v>83755</v>
      </c>
      <c r="B277" s="30"/>
      <c r="C277" s="30" t="s">
        <v>306</v>
      </c>
      <c r="D277" s="426">
        <v>617</v>
      </c>
      <c r="E277" s="30" t="s">
        <v>361</v>
      </c>
      <c r="F277" s="30" t="s">
        <v>6</v>
      </c>
      <c r="G277" s="30" t="s">
        <v>454</v>
      </c>
      <c r="H277" s="30" t="s">
        <v>461</v>
      </c>
      <c r="I277" s="30" t="s">
        <v>775</v>
      </c>
      <c r="J277" s="34" t="s">
        <v>124</v>
      </c>
      <c r="K277" s="580">
        <f>27.98*75%</f>
        <v>20.984999999999999</v>
      </c>
      <c r="L277" s="580">
        <v>2080</v>
      </c>
      <c r="M277" s="580"/>
      <c r="N277" s="580">
        <f>IF(H277="1",(L277*K277)+(M277*K277),0)</f>
        <v>43648.799999999996</v>
      </c>
      <c r="O277" s="580"/>
      <c r="P277" s="580">
        <f>(N277-(M277*K277))*$P$27</f>
        <v>15626.270399999998</v>
      </c>
      <c r="Q277" s="580">
        <f>N277*$Q$27</f>
        <v>632.9076</v>
      </c>
      <c r="R277" s="580">
        <v>0</v>
      </c>
      <c r="S277" s="580">
        <f>IF(H277="1",5166.6*2,0)</f>
        <v>10333.200000000001</v>
      </c>
      <c r="T277" s="580">
        <v>0</v>
      </c>
      <c r="U277" s="580">
        <v>0</v>
      </c>
      <c r="V277" s="473">
        <f t="shared" ref="V277" si="585">SUM(N277:U277)</f>
        <v>70241.178</v>
      </c>
      <c r="W277" s="580">
        <f t="shared" ref="W277" si="586">IF(P277&lt;&gt;"",V277*$W$27,0)</f>
        <v>0</v>
      </c>
      <c r="X277" s="580"/>
      <c r="Y277" s="581">
        <f t="shared" ref="Y277" si="587">X277+W277+V277</f>
        <v>70241.178</v>
      </c>
      <c r="Z277" s="432"/>
    </row>
    <row r="278" spans="1:26" s="432" customFormat="1" ht="12.75" customHeight="1" x14ac:dyDescent="0.2">
      <c r="A278" s="30"/>
      <c r="B278" s="30"/>
      <c r="C278" s="30" t="s">
        <v>306</v>
      </c>
      <c r="D278" s="426">
        <v>617</v>
      </c>
      <c r="E278" s="30" t="s">
        <v>361</v>
      </c>
      <c r="F278" s="30" t="s">
        <v>6</v>
      </c>
      <c r="G278" s="30" t="s">
        <v>454</v>
      </c>
      <c r="H278" s="30" t="s">
        <v>461</v>
      </c>
      <c r="I278" s="30" t="s">
        <v>775</v>
      </c>
      <c r="J278" s="34" t="s">
        <v>162</v>
      </c>
      <c r="K278" s="580">
        <f>27.98*5%</f>
        <v>1.399</v>
      </c>
      <c r="L278" s="580">
        <v>2080</v>
      </c>
      <c r="M278" s="580"/>
      <c r="N278" s="580">
        <f t="shared" ref="N278:N279" si="588">IF(H278="1",(L278*K278)+(M278*K278),0)</f>
        <v>2909.92</v>
      </c>
      <c r="O278" s="580"/>
      <c r="P278" s="580">
        <f t="shared" ref="P278:P279" si="589">(N278-(M278*K278))*$P$27</f>
        <v>1041.75136</v>
      </c>
      <c r="Q278" s="580">
        <f t="shared" ref="Q278:Q279" si="590">N278*$Q$27</f>
        <v>42.193840000000002</v>
      </c>
      <c r="R278" s="580">
        <v>0</v>
      </c>
      <c r="S278" s="580"/>
      <c r="T278" s="580"/>
      <c r="U278" s="580"/>
      <c r="V278" s="473">
        <f t="shared" ref="V278" si="591">SUM(N278:U278)</f>
        <v>3993.8652000000002</v>
      </c>
      <c r="W278" s="580">
        <f t="shared" ref="W278" si="592">IF(P278&lt;&gt;"",V278*$W$27,0)</f>
        <v>0</v>
      </c>
      <c r="X278" s="580"/>
      <c r="Y278" s="581">
        <f t="shared" ref="Y278" si="593">X278+W278+V278</f>
        <v>3993.8652000000002</v>
      </c>
    </row>
    <row r="279" spans="1:26" s="432" customFormat="1" ht="12.75" customHeight="1" x14ac:dyDescent="0.2">
      <c r="A279" s="30"/>
      <c r="B279" s="30"/>
      <c r="C279" s="30" t="s">
        <v>306</v>
      </c>
      <c r="D279" s="426">
        <v>617</v>
      </c>
      <c r="E279" s="30" t="s">
        <v>361</v>
      </c>
      <c r="F279" s="30" t="s">
        <v>6</v>
      </c>
      <c r="G279" s="30" t="s">
        <v>454</v>
      </c>
      <c r="H279" s="30" t="s">
        <v>461</v>
      </c>
      <c r="I279" s="30" t="s">
        <v>775</v>
      </c>
      <c r="J279" s="34" t="s">
        <v>159</v>
      </c>
      <c r="K279" s="580">
        <f>27.98*20%</f>
        <v>5.5960000000000001</v>
      </c>
      <c r="L279" s="580">
        <v>2080</v>
      </c>
      <c r="M279" s="580"/>
      <c r="N279" s="580">
        <f t="shared" si="588"/>
        <v>11639.68</v>
      </c>
      <c r="O279" s="580"/>
      <c r="P279" s="580">
        <f t="shared" si="589"/>
        <v>4167.0054399999999</v>
      </c>
      <c r="Q279" s="580">
        <f t="shared" si="590"/>
        <v>168.77536000000001</v>
      </c>
      <c r="R279" s="580">
        <v>0</v>
      </c>
      <c r="S279" s="580"/>
      <c r="T279" s="580"/>
      <c r="U279" s="580"/>
      <c r="V279" s="473">
        <f t="shared" ref="V279" si="594">SUM(N279:U279)</f>
        <v>15975.460800000001</v>
      </c>
      <c r="W279" s="580">
        <f t="shared" ref="W279" si="595">IF(P279&lt;&gt;"",V279*$W$27,0)</f>
        <v>0</v>
      </c>
      <c r="X279" s="580"/>
      <c r="Y279" s="581">
        <f t="shared" ref="Y279" si="596">X279+W279+V279</f>
        <v>15975.460800000001</v>
      </c>
    </row>
    <row r="280" spans="1:26" s="432" customFormat="1" ht="12.75" customHeight="1" x14ac:dyDescent="0.2">
      <c r="A280" s="30">
        <v>175190</v>
      </c>
      <c r="B280" s="30"/>
      <c r="C280" s="30" t="s">
        <v>267</v>
      </c>
      <c r="D280" s="426">
        <v>615</v>
      </c>
      <c r="E280" s="30" t="s">
        <v>354</v>
      </c>
      <c r="F280" s="30" t="s">
        <v>6</v>
      </c>
      <c r="G280" s="30" t="s">
        <v>454</v>
      </c>
      <c r="H280" s="30" t="s">
        <v>461</v>
      </c>
      <c r="I280" s="34" t="s">
        <v>37</v>
      </c>
      <c r="J280" s="34" t="s">
        <v>115</v>
      </c>
      <c r="K280" s="580">
        <f>22.68*3%</f>
        <v>0.6804</v>
      </c>
      <c r="L280" s="580">
        <v>2080</v>
      </c>
      <c r="M280" s="580"/>
      <c r="N280" s="580">
        <f>IF(H280="1",(L280*K280)+(M280*K280),0)</f>
        <v>1415.232</v>
      </c>
      <c r="O280" s="580"/>
      <c r="P280" s="580">
        <f>(N280-(M280*K280))*$P$27</f>
        <v>506.65305599999999</v>
      </c>
      <c r="Q280" s="580">
        <f>N280*$Q$27</f>
        <v>20.520864</v>
      </c>
      <c r="R280" s="580">
        <v>0</v>
      </c>
      <c r="S280" s="580">
        <f>IF(H280="1",2828.52*2,0)</f>
        <v>5657.04</v>
      </c>
      <c r="T280" s="580">
        <f>IF(H280="1",361.92*2,0)</f>
        <v>723.84</v>
      </c>
      <c r="U280" s="580">
        <f>IF(H280="1",162*2,0)</f>
        <v>324</v>
      </c>
      <c r="V280" s="473">
        <f t="shared" ref="V280" si="597">SUM(N280:U280)</f>
        <v>8647.2859200000003</v>
      </c>
      <c r="W280" s="580">
        <f t="shared" ref="W280" si="598">IF(P280&lt;&gt;"",V280*$W$27,0)</f>
        <v>0</v>
      </c>
      <c r="X280" s="580"/>
      <c r="Y280" s="581">
        <f t="shared" ref="Y280" si="599">X280+W280+V280</f>
        <v>8647.2859200000003</v>
      </c>
    </row>
    <row r="281" spans="1:26" s="432" customFormat="1" ht="12.75" customHeight="1" x14ac:dyDescent="0.2">
      <c r="A281" s="30"/>
      <c r="B281" s="30"/>
      <c r="C281" s="30" t="s">
        <v>267</v>
      </c>
      <c r="D281" s="426">
        <v>615</v>
      </c>
      <c r="E281" s="30" t="s">
        <v>354</v>
      </c>
      <c r="F281" s="30" t="s">
        <v>6</v>
      </c>
      <c r="G281" s="30" t="s">
        <v>454</v>
      </c>
      <c r="H281" s="30" t="s">
        <v>461</v>
      </c>
      <c r="I281" s="34" t="s">
        <v>37</v>
      </c>
      <c r="J281" s="34" t="s">
        <v>116</v>
      </c>
      <c r="K281" s="580">
        <f>22.68*50%</f>
        <v>11.34</v>
      </c>
      <c r="L281" s="580">
        <v>2080</v>
      </c>
      <c r="M281" s="580"/>
      <c r="N281" s="580">
        <f t="shared" ref="N281:N315" si="600">IF(H281="1",(L281*K281)+(M281*K281),0)</f>
        <v>23587.200000000001</v>
      </c>
      <c r="O281" s="580"/>
      <c r="P281" s="580">
        <f t="shared" ref="P281:P315" si="601">(N281-(M281*K281))*$P$27</f>
        <v>8444.2175999999999</v>
      </c>
      <c r="Q281" s="580">
        <f t="shared" ref="Q281:Q284" si="602">N281*$Q$27</f>
        <v>342.01440000000002</v>
      </c>
      <c r="R281" s="580">
        <v>0</v>
      </c>
      <c r="S281" s="580"/>
      <c r="T281" s="580"/>
      <c r="U281" s="580"/>
      <c r="V281" s="473">
        <f t="shared" ref="V281" si="603">SUM(N281:U281)</f>
        <v>32373.432000000001</v>
      </c>
      <c r="W281" s="580">
        <f t="shared" ref="W281" si="604">IF(P281&lt;&gt;"",V281*$W$27,0)</f>
        <v>0</v>
      </c>
      <c r="X281" s="580"/>
      <c r="Y281" s="581">
        <f t="shared" ref="Y281" si="605">X281+W281+V281</f>
        <v>32373.432000000001</v>
      </c>
    </row>
    <row r="282" spans="1:26" ht="12.75" customHeight="1" x14ac:dyDescent="0.2">
      <c r="A282" s="30"/>
      <c r="B282" s="30"/>
      <c r="C282" s="30" t="s">
        <v>267</v>
      </c>
      <c r="D282" s="426">
        <v>615</v>
      </c>
      <c r="E282" s="30" t="s">
        <v>354</v>
      </c>
      <c r="F282" s="30" t="s">
        <v>6</v>
      </c>
      <c r="G282" s="30" t="s">
        <v>454</v>
      </c>
      <c r="H282" s="30" t="s">
        <v>461</v>
      </c>
      <c r="I282" s="34" t="s">
        <v>37</v>
      </c>
      <c r="J282" s="34" t="s">
        <v>120</v>
      </c>
      <c r="K282" s="580">
        <f>22.68*2%</f>
        <v>0.4536</v>
      </c>
      <c r="L282" s="580">
        <v>2080</v>
      </c>
      <c r="M282" s="580"/>
      <c r="N282" s="580">
        <f t="shared" si="600"/>
        <v>943.48800000000006</v>
      </c>
      <c r="O282" s="580"/>
      <c r="P282" s="580">
        <f t="shared" si="601"/>
        <v>337.76870400000001</v>
      </c>
      <c r="Q282" s="580">
        <f t="shared" si="602"/>
        <v>13.680576000000002</v>
      </c>
      <c r="R282" s="580">
        <v>0</v>
      </c>
      <c r="S282" s="580"/>
      <c r="T282" s="580"/>
      <c r="U282" s="580"/>
      <c r="V282" s="473">
        <f t="shared" ref="V282" si="606">SUM(N282:U282)</f>
        <v>1294.9372800000001</v>
      </c>
      <c r="W282" s="580">
        <f t="shared" ref="W282" si="607">IF(P282&lt;&gt;"",V282*$W$27,0)</f>
        <v>0</v>
      </c>
      <c r="X282" s="580"/>
      <c r="Y282" s="581">
        <f t="shared" ref="Y282" si="608">X282+W282+V282</f>
        <v>1294.9372800000001</v>
      </c>
      <c r="Z282" s="432"/>
    </row>
    <row r="283" spans="1:26" ht="12.75" customHeight="1" x14ac:dyDescent="0.2">
      <c r="A283" s="30"/>
      <c r="B283" s="30"/>
      <c r="C283" s="30" t="s">
        <v>267</v>
      </c>
      <c r="D283" s="426">
        <v>615</v>
      </c>
      <c r="E283" s="30" t="s">
        <v>354</v>
      </c>
      <c r="F283" s="30" t="s">
        <v>6</v>
      </c>
      <c r="G283" s="30" t="s">
        <v>454</v>
      </c>
      <c r="H283" s="30" t="s">
        <v>461</v>
      </c>
      <c r="I283" s="34" t="s">
        <v>37</v>
      </c>
      <c r="J283" s="34" t="s">
        <v>126</v>
      </c>
      <c r="K283" s="580">
        <f>22.68*10%</f>
        <v>2.2680000000000002</v>
      </c>
      <c r="L283" s="580">
        <v>2080</v>
      </c>
      <c r="M283" s="580"/>
      <c r="N283" s="580">
        <f t="shared" si="600"/>
        <v>4717.4400000000005</v>
      </c>
      <c r="O283" s="580"/>
      <c r="P283" s="580">
        <f t="shared" si="601"/>
        <v>1688.8435200000001</v>
      </c>
      <c r="Q283" s="580">
        <f t="shared" si="602"/>
        <v>68.40288000000001</v>
      </c>
      <c r="R283" s="580">
        <v>0</v>
      </c>
      <c r="S283" s="580"/>
      <c r="T283" s="580"/>
      <c r="U283" s="580"/>
      <c r="V283" s="473">
        <f t="shared" ref="V283" si="609">SUM(N283:U283)</f>
        <v>6474.6864000000005</v>
      </c>
      <c r="W283" s="580">
        <f t="shared" ref="W283" si="610">IF(P283&lt;&gt;"",V283*$W$27,0)</f>
        <v>0</v>
      </c>
      <c r="X283" s="580"/>
      <c r="Y283" s="581">
        <f t="shared" ref="Y283" si="611">X283+W283+V283</f>
        <v>6474.6864000000005</v>
      </c>
      <c r="Z283" s="432"/>
    </row>
    <row r="284" spans="1:26" s="432" customFormat="1" ht="12.75" customHeight="1" x14ac:dyDescent="0.2">
      <c r="A284" s="30"/>
      <c r="B284" s="30"/>
      <c r="C284" s="30" t="s">
        <v>267</v>
      </c>
      <c r="D284" s="426">
        <v>615</v>
      </c>
      <c r="E284" s="30" t="s">
        <v>354</v>
      </c>
      <c r="F284" s="30" t="s">
        <v>6</v>
      </c>
      <c r="G284" s="30" t="s">
        <v>454</v>
      </c>
      <c r="H284" s="30" t="s">
        <v>461</v>
      </c>
      <c r="I284" s="34" t="s">
        <v>37</v>
      </c>
      <c r="J284" s="34" t="s">
        <v>143</v>
      </c>
      <c r="K284" s="580">
        <f>22.68*35%</f>
        <v>7.9379999999999997</v>
      </c>
      <c r="L284" s="580">
        <v>2080</v>
      </c>
      <c r="M284" s="580"/>
      <c r="N284" s="580">
        <f t="shared" si="600"/>
        <v>16511.04</v>
      </c>
      <c r="O284" s="580"/>
      <c r="P284" s="580">
        <f t="shared" si="601"/>
        <v>5910.9523200000003</v>
      </c>
      <c r="Q284" s="580">
        <f t="shared" si="602"/>
        <v>239.41008000000002</v>
      </c>
      <c r="R284" s="580">
        <v>0</v>
      </c>
      <c r="S284" s="580"/>
      <c r="T284" s="580"/>
      <c r="U284" s="580"/>
      <c r="V284" s="473">
        <f t="shared" ref="V284" si="612">SUM(N284:U284)</f>
        <v>22661.402400000003</v>
      </c>
      <c r="W284" s="580">
        <f t="shared" ref="W284" si="613">IF(P284&lt;&gt;"",V284*$W$27,0)</f>
        <v>0</v>
      </c>
      <c r="X284" s="580"/>
      <c r="Y284" s="581">
        <f t="shared" ref="Y284" si="614">X284+W284+V284</f>
        <v>22661.402400000003</v>
      </c>
    </row>
    <row r="285" spans="1:26" ht="12.75" customHeight="1" x14ac:dyDescent="0.2">
      <c r="A285" s="30">
        <v>2192</v>
      </c>
      <c r="B285" s="30"/>
      <c r="C285" s="30" t="s">
        <v>237</v>
      </c>
      <c r="D285" s="426">
        <v>312</v>
      </c>
      <c r="E285" s="30" t="s">
        <v>342</v>
      </c>
      <c r="F285" s="30" t="s">
        <v>6</v>
      </c>
      <c r="G285" s="30" t="s">
        <v>454</v>
      </c>
      <c r="H285" s="30" t="s">
        <v>461</v>
      </c>
      <c r="I285" s="34" t="s">
        <v>36</v>
      </c>
      <c r="J285" s="34" t="s">
        <v>692</v>
      </c>
      <c r="K285" s="580">
        <v>27.73</v>
      </c>
      <c r="L285" s="580">
        <v>2080</v>
      </c>
      <c r="M285" s="580"/>
      <c r="N285" s="580">
        <f t="shared" si="600"/>
        <v>57678.400000000001</v>
      </c>
      <c r="O285" s="580"/>
      <c r="P285" s="580">
        <f t="shared" si="601"/>
        <v>20648.867200000001</v>
      </c>
      <c r="Q285" s="580">
        <f>N285*$Q$27</f>
        <v>836.33680000000004</v>
      </c>
      <c r="R285" s="580">
        <v>0</v>
      </c>
      <c r="S285" s="580">
        <f>IF(H285="1",2828.52*2,0)</f>
        <v>5657.04</v>
      </c>
      <c r="T285" s="580">
        <v>0</v>
      </c>
      <c r="U285" s="580">
        <v>0</v>
      </c>
      <c r="V285" s="473">
        <f t="shared" ref="V285" si="615">SUM(N285:U285)</f>
        <v>84820.644</v>
      </c>
      <c r="W285" s="580">
        <f t="shared" ref="W285" si="616">IF(P285&lt;&gt;"",V285*$W$27,0)</f>
        <v>0</v>
      </c>
      <c r="X285" s="580"/>
      <c r="Y285" s="581">
        <f t="shared" ref="Y285" si="617">X285+W285+V285</f>
        <v>84820.644</v>
      </c>
      <c r="Z285" s="432"/>
    </row>
    <row r="286" spans="1:26" s="432" customFormat="1" ht="12.75" customHeight="1" x14ac:dyDescent="0.2">
      <c r="A286" s="30">
        <v>227059</v>
      </c>
      <c r="B286" s="30"/>
      <c r="C286" s="30" t="s">
        <v>307</v>
      </c>
      <c r="D286" s="426">
        <v>619</v>
      </c>
      <c r="E286" s="30" t="s">
        <v>360</v>
      </c>
      <c r="F286" s="30" t="s">
        <v>6</v>
      </c>
      <c r="G286" s="30" t="s">
        <v>454</v>
      </c>
      <c r="H286" s="30" t="s">
        <v>461</v>
      </c>
      <c r="I286" s="34" t="s">
        <v>39</v>
      </c>
      <c r="J286" s="34" t="s">
        <v>114</v>
      </c>
      <c r="K286" s="580">
        <f>27.98*70%</f>
        <v>19.585999999999999</v>
      </c>
      <c r="L286" s="580">
        <v>2080</v>
      </c>
      <c r="M286" s="580"/>
      <c r="N286" s="580">
        <f t="shared" si="600"/>
        <v>40738.879999999997</v>
      </c>
      <c r="O286" s="580"/>
      <c r="P286" s="580">
        <f t="shared" si="601"/>
        <v>14584.519039999999</v>
      </c>
      <c r="Q286" s="580">
        <f>N286*$Q$27</f>
        <v>590.71375999999998</v>
      </c>
      <c r="R286" s="580">
        <v>0</v>
      </c>
      <c r="S286" s="580">
        <v>0</v>
      </c>
      <c r="T286" s="580">
        <v>0</v>
      </c>
      <c r="U286" s="580">
        <f>IF(H286="1",162*2,0)</f>
        <v>324</v>
      </c>
      <c r="V286" s="473">
        <f t="shared" ref="V286" si="618">SUM(N286:U286)</f>
        <v>56238.112799999995</v>
      </c>
      <c r="W286" s="580">
        <f t="shared" ref="W286" si="619">IF(P286&lt;&gt;"",V286*$W$27,0)</f>
        <v>0</v>
      </c>
      <c r="X286" s="580"/>
      <c r="Y286" s="581">
        <f t="shared" ref="Y286" si="620">X286+W286+V286</f>
        <v>56238.112799999995</v>
      </c>
    </row>
    <row r="287" spans="1:26" ht="12.75" customHeight="1" x14ac:dyDescent="0.2">
      <c r="A287" s="30"/>
      <c r="B287" s="30"/>
      <c r="C287" s="30" t="s">
        <v>307</v>
      </c>
      <c r="D287" s="426">
        <v>619</v>
      </c>
      <c r="E287" s="30" t="s">
        <v>360</v>
      </c>
      <c r="F287" s="30" t="s">
        <v>6</v>
      </c>
      <c r="G287" s="30" t="s">
        <v>454</v>
      </c>
      <c r="H287" s="30" t="s">
        <v>461</v>
      </c>
      <c r="I287" s="34" t="s">
        <v>39</v>
      </c>
      <c r="J287" s="34" t="s">
        <v>1459</v>
      </c>
      <c r="K287" s="580">
        <f>27.98*30%</f>
        <v>8.3940000000000001</v>
      </c>
      <c r="L287" s="580">
        <v>2080</v>
      </c>
      <c r="M287" s="580"/>
      <c r="N287" s="580">
        <f t="shared" si="600"/>
        <v>17459.52</v>
      </c>
      <c r="O287" s="580"/>
      <c r="P287" s="580">
        <f t="shared" si="601"/>
        <v>6250.5081600000003</v>
      </c>
      <c r="Q287" s="580">
        <f>N287*$Q$27</f>
        <v>253.16304000000002</v>
      </c>
      <c r="R287" s="580">
        <v>0</v>
      </c>
      <c r="S287" s="580"/>
      <c r="T287" s="580"/>
      <c r="U287" s="580"/>
      <c r="V287" s="473">
        <f t="shared" ref="V287" si="621">SUM(N287:U287)</f>
        <v>23963.191200000001</v>
      </c>
      <c r="W287" s="580">
        <f t="shared" ref="W287" si="622">IF(P287&lt;&gt;"",V287*$W$27,0)</f>
        <v>0</v>
      </c>
      <c r="X287" s="580"/>
      <c r="Y287" s="581">
        <f t="shared" ref="Y287" si="623">X287+W287+V287</f>
        <v>23963.191200000001</v>
      </c>
      <c r="Z287" s="432"/>
    </row>
    <row r="288" spans="1:26" ht="12.75" customHeight="1" x14ac:dyDescent="0.2">
      <c r="A288" s="30">
        <v>134751</v>
      </c>
      <c r="B288" s="30"/>
      <c r="C288" s="30" t="s">
        <v>268</v>
      </c>
      <c r="D288" s="426">
        <v>615</v>
      </c>
      <c r="E288" s="30" t="s">
        <v>354</v>
      </c>
      <c r="F288" s="30" t="s">
        <v>6</v>
      </c>
      <c r="G288" s="30" t="s">
        <v>454</v>
      </c>
      <c r="H288" s="30" t="s">
        <v>461</v>
      </c>
      <c r="I288" s="34" t="s">
        <v>37</v>
      </c>
      <c r="J288" s="34" t="s">
        <v>692</v>
      </c>
      <c r="K288" s="580">
        <f>31.99*50%</f>
        <v>15.994999999999999</v>
      </c>
      <c r="L288" s="580">
        <v>2080</v>
      </c>
      <c r="M288" s="580"/>
      <c r="N288" s="580">
        <f t="shared" si="600"/>
        <v>33269.599999999999</v>
      </c>
      <c r="O288" s="580"/>
      <c r="P288" s="580">
        <f t="shared" si="601"/>
        <v>11910.516799999999</v>
      </c>
      <c r="Q288" s="580">
        <v>0</v>
      </c>
      <c r="R288" s="580">
        <v>0</v>
      </c>
      <c r="S288" s="580">
        <f>IF(H288="1",2828.52*2,0)</f>
        <v>5657.04</v>
      </c>
      <c r="T288" s="580">
        <f>IF(H288="1",154.92*2,0)</f>
        <v>309.83999999999997</v>
      </c>
      <c r="U288" s="580">
        <f>IF(H288="1",162*2,0)</f>
        <v>324</v>
      </c>
      <c r="V288" s="473">
        <f t="shared" ref="V288" si="624">SUM(N288:U288)</f>
        <v>51470.996799999994</v>
      </c>
      <c r="W288" s="580">
        <f t="shared" ref="W288" si="625">IF(P288&lt;&gt;"",V288*$W$27,0)</f>
        <v>0</v>
      </c>
      <c r="X288" s="580"/>
      <c r="Y288" s="581">
        <f t="shared" ref="Y288" si="626">X288+W288+V288</f>
        <v>51470.996799999994</v>
      </c>
      <c r="Z288" s="432"/>
    </row>
    <row r="289" spans="1:26" s="432" customFormat="1" ht="12.75" customHeight="1" x14ac:dyDescent="0.2">
      <c r="A289" s="30"/>
      <c r="B289" s="30"/>
      <c r="C289" s="30" t="s">
        <v>268</v>
      </c>
      <c r="D289" s="426">
        <v>615</v>
      </c>
      <c r="E289" s="30" t="s">
        <v>354</v>
      </c>
      <c r="F289" s="30" t="s">
        <v>6</v>
      </c>
      <c r="G289" s="30" t="s">
        <v>454</v>
      </c>
      <c r="H289" s="30" t="s">
        <v>461</v>
      </c>
      <c r="I289" s="34" t="s">
        <v>37</v>
      </c>
      <c r="J289" s="34" t="s">
        <v>692</v>
      </c>
      <c r="K289" s="580">
        <f>31.99*50%</f>
        <v>15.994999999999999</v>
      </c>
      <c r="L289" s="580">
        <v>2080</v>
      </c>
      <c r="M289" s="580"/>
      <c r="N289" s="580">
        <f t="shared" si="600"/>
        <v>33269.599999999999</v>
      </c>
      <c r="O289" s="580"/>
      <c r="P289" s="580">
        <f t="shared" si="601"/>
        <v>11910.516799999999</v>
      </c>
      <c r="Q289" s="580">
        <v>0</v>
      </c>
      <c r="R289" s="580">
        <v>0</v>
      </c>
      <c r="S289" s="580"/>
      <c r="T289" s="580"/>
      <c r="U289" s="580"/>
      <c r="V289" s="473">
        <f t="shared" ref="V289" si="627">SUM(N289:U289)</f>
        <v>45180.116799999996</v>
      </c>
      <c r="W289" s="580">
        <f t="shared" ref="W289" si="628">IF(P289&lt;&gt;"",V289*$W$27,0)</f>
        <v>0</v>
      </c>
      <c r="X289" s="580"/>
      <c r="Y289" s="581">
        <f t="shared" ref="Y289" si="629">X289+W289+V289</f>
        <v>45180.116799999996</v>
      </c>
    </row>
    <row r="290" spans="1:26" s="432" customFormat="1" ht="12.75" customHeight="1" x14ac:dyDescent="0.2">
      <c r="A290" s="30">
        <v>285501</v>
      </c>
      <c r="B290" s="30"/>
      <c r="C290" s="30" t="s">
        <v>315</v>
      </c>
      <c r="D290" s="426">
        <v>612</v>
      </c>
      <c r="E290" s="30" t="s">
        <v>1587</v>
      </c>
      <c r="F290" s="30" t="s">
        <v>6</v>
      </c>
      <c r="G290" s="30" t="s">
        <v>454</v>
      </c>
      <c r="H290" s="30" t="s">
        <v>461</v>
      </c>
      <c r="I290" s="34" t="s">
        <v>33</v>
      </c>
      <c r="J290" s="34" t="s">
        <v>127</v>
      </c>
      <c r="K290" s="731">
        <f>14.15*1.105</f>
        <v>15.63575</v>
      </c>
      <c r="L290" s="580">
        <v>2080</v>
      </c>
      <c r="M290" s="580"/>
      <c r="N290" s="580">
        <f t="shared" si="600"/>
        <v>32522.36</v>
      </c>
      <c r="O290" s="580"/>
      <c r="P290" s="580">
        <f t="shared" si="601"/>
        <v>11643.00488</v>
      </c>
      <c r="Q290" s="580">
        <f>N290*$Q$27</f>
        <v>471.57422000000003</v>
      </c>
      <c r="R290" s="580">
        <v>0</v>
      </c>
      <c r="S290" s="580">
        <f>IF(H290="1",3242.52*2,0)</f>
        <v>6485.04</v>
      </c>
      <c r="T290" s="580">
        <f>IF(H290="1",361.92*2,0)</f>
        <v>723.84</v>
      </c>
      <c r="U290" s="580">
        <f>IF(H290="1",145.8*2,0)</f>
        <v>291.60000000000002</v>
      </c>
      <c r="V290" s="473">
        <f t="shared" ref="V290" si="630">SUM(N290:U290)</f>
        <v>52137.419099999999</v>
      </c>
      <c r="W290" s="580">
        <f t="shared" ref="W290" si="631">IF(P290&lt;&gt;"",V290*$W$27,0)</f>
        <v>0</v>
      </c>
      <c r="X290" s="580"/>
      <c r="Y290" s="581">
        <f t="shared" ref="Y290" si="632">X290+W290+V290</f>
        <v>52137.419099999999</v>
      </c>
    </row>
    <row r="291" spans="1:26" s="432" customFormat="1" ht="12.75" customHeight="1" x14ac:dyDescent="0.2">
      <c r="A291" s="30">
        <v>84589</v>
      </c>
      <c r="B291" s="30"/>
      <c r="C291" s="30" t="s">
        <v>263</v>
      </c>
      <c r="D291" s="426">
        <v>617</v>
      </c>
      <c r="E291" s="30" t="s">
        <v>364</v>
      </c>
      <c r="F291" s="30" t="s">
        <v>6</v>
      </c>
      <c r="G291" s="34" t="s">
        <v>454</v>
      </c>
      <c r="H291" s="30" t="s">
        <v>461</v>
      </c>
      <c r="I291" s="34" t="s">
        <v>41</v>
      </c>
      <c r="J291" s="34" t="s">
        <v>692</v>
      </c>
      <c r="K291" s="580">
        <f>30.17*29%</f>
        <v>8.7492999999999999</v>
      </c>
      <c r="L291" s="580">
        <v>2080</v>
      </c>
      <c r="M291" s="580"/>
      <c r="N291" s="580">
        <f t="shared" si="600"/>
        <v>18198.543999999998</v>
      </c>
      <c r="O291" s="580"/>
      <c r="P291" s="580">
        <f t="shared" si="601"/>
        <v>6515.0787519999994</v>
      </c>
      <c r="Q291" s="580">
        <f>N291*$Q$27</f>
        <v>263.87888799999996</v>
      </c>
      <c r="R291" s="580">
        <v>0</v>
      </c>
      <c r="S291" s="580">
        <f>IF(H291="1",2828.52*2,0)</f>
        <v>5657.04</v>
      </c>
      <c r="T291" s="580">
        <f>IF(H291="1",154.92*2,0)</f>
        <v>309.83999999999997</v>
      </c>
      <c r="U291" s="580">
        <f>IF(H291="1",162*2,0)</f>
        <v>324</v>
      </c>
      <c r="V291" s="473">
        <f t="shared" ref="V291" si="633">SUM(N291:U291)</f>
        <v>31268.381639999996</v>
      </c>
      <c r="W291" s="580">
        <f t="shared" ref="W291" si="634">IF(P291&lt;&gt;"",V291*$W$27,0)</f>
        <v>0</v>
      </c>
      <c r="X291" s="580"/>
      <c r="Y291" s="581">
        <f t="shared" ref="Y291" si="635">X291+W291+V291</f>
        <v>31268.381639999996</v>
      </c>
    </row>
    <row r="292" spans="1:26" s="432" customFormat="1" ht="12.75" customHeight="1" x14ac:dyDescent="0.2">
      <c r="A292" s="30"/>
      <c r="B292" s="30"/>
      <c r="C292" s="30" t="s">
        <v>263</v>
      </c>
      <c r="D292" s="426">
        <v>617</v>
      </c>
      <c r="E292" s="30" t="s">
        <v>364</v>
      </c>
      <c r="F292" s="30" t="s">
        <v>6</v>
      </c>
      <c r="G292" s="34" t="s">
        <v>454</v>
      </c>
      <c r="H292" s="30" t="s">
        <v>461</v>
      </c>
      <c r="I292" s="34" t="s">
        <v>41</v>
      </c>
      <c r="J292" s="34" t="s">
        <v>137</v>
      </c>
      <c r="K292" s="580">
        <f>30.17*3%</f>
        <v>0.90510000000000002</v>
      </c>
      <c r="L292" s="580">
        <v>2080</v>
      </c>
      <c r="M292" s="580"/>
      <c r="N292" s="580">
        <f t="shared" si="600"/>
        <v>1882.6079999999999</v>
      </c>
      <c r="O292" s="580"/>
      <c r="P292" s="580">
        <f t="shared" si="601"/>
        <v>673.97366399999999</v>
      </c>
      <c r="Q292" s="580">
        <f t="shared" ref="Q292:Q315" si="636">N292*$Q$27</f>
        <v>27.297816000000001</v>
      </c>
      <c r="R292" s="580">
        <v>0</v>
      </c>
      <c r="S292" s="580"/>
      <c r="T292" s="580"/>
      <c r="U292" s="580"/>
      <c r="V292" s="473">
        <f t="shared" ref="V292" si="637">SUM(N292:U292)</f>
        <v>2583.8794799999996</v>
      </c>
      <c r="W292" s="580">
        <f t="shared" ref="W292" si="638">IF(P292&lt;&gt;"",V292*$W$27,0)</f>
        <v>0</v>
      </c>
      <c r="X292" s="580"/>
      <c r="Y292" s="581">
        <f t="shared" ref="Y292" si="639">X292+W292+V292</f>
        <v>2583.8794799999996</v>
      </c>
    </row>
    <row r="293" spans="1:26" s="432" customFormat="1" ht="12.75" customHeight="1" x14ac:dyDescent="0.2">
      <c r="A293" s="30"/>
      <c r="B293" s="30"/>
      <c r="C293" s="30" t="s">
        <v>263</v>
      </c>
      <c r="D293" s="426">
        <v>617</v>
      </c>
      <c r="E293" s="30" t="s">
        <v>364</v>
      </c>
      <c r="F293" s="30" t="s">
        <v>6</v>
      </c>
      <c r="G293" s="34" t="s">
        <v>454</v>
      </c>
      <c r="H293" s="30" t="s">
        <v>461</v>
      </c>
      <c r="I293" s="34" t="s">
        <v>41</v>
      </c>
      <c r="J293" s="34" t="s">
        <v>114</v>
      </c>
      <c r="K293" s="580">
        <f>30.17*30%</f>
        <v>9.0510000000000002</v>
      </c>
      <c r="L293" s="580">
        <v>2080</v>
      </c>
      <c r="M293" s="580"/>
      <c r="N293" s="580">
        <f t="shared" si="600"/>
        <v>18826.080000000002</v>
      </c>
      <c r="O293" s="580"/>
      <c r="P293" s="580">
        <f t="shared" si="601"/>
        <v>6739.7366400000001</v>
      </c>
      <c r="Q293" s="580">
        <f t="shared" si="636"/>
        <v>272.97816000000006</v>
      </c>
      <c r="R293" s="580">
        <v>0</v>
      </c>
      <c r="S293" s="580"/>
      <c r="T293" s="580"/>
      <c r="U293" s="580"/>
      <c r="V293" s="473">
        <f t="shared" ref="V293" si="640">SUM(N293:U293)</f>
        <v>25838.7948</v>
      </c>
      <c r="W293" s="580">
        <f t="shared" ref="W293" si="641">IF(P293&lt;&gt;"",V293*$W$27,0)</f>
        <v>0</v>
      </c>
      <c r="X293" s="580"/>
      <c r="Y293" s="581">
        <f t="shared" ref="Y293" si="642">X293+W293+V293</f>
        <v>25838.7948</v>
      </c>
    </row>
    <row r="294" spans="1:26" ht="12.75" customHeight="1" x14ac:dyDescent="0.2">
      <c r="A294" s="30"/>
      <c r="B294" s="30"/>
      <c r="C294" s="30" t="s">
        <v>263</v>
      </c>
      <c r="D294" s="426">
        <v>617</v>
      </c>
      <c r="E294" s="30" t="s">
        <v>364</v>
      </c>
      <c r="F294" s="30" t="s">
        <v>6</v>
      </c>
      <c r="G294" s="34" t="s">
        <v>454</v>
      </c>
      <c r="H294" s="30" t="s">
        <v>461</v>
      </c>
      <c r="I294" s="34" t="s">
        <v>41</v>
      </c>
      <c r="J294" s="34" t="s">
        <v>1477</v>
      </c>
      <c r="K294" s="580">
        <f>30.17*5%</f>
        <v>1.5085000000000002</v>
      </c>
      <c r="L294" s="580">
        <v>2080</v>
      </c>
      <c r="M294" s="580"/>
      <c r="N294" s="580">
        <f t="shared" si="600"/>
        <v>3137.6800000000003</v>
      </c>
      <c r="O294" s="580"/>
      <c r="P294" s="580">
        <f t="shared" si="601"/>
        <v>1123.28944</v>
      </c>
      <c r="Q294" s="580">
        <f t="shared" si="636"/>
        <v>45.49636000000001</v>
      </c>
      <c r="R294" s="580">
        <v>0</v>
      </c>
      <c r="S294" s="580"/>
      <c r="T294" s="580"/>
      <c r="U294" s="580"/>
      <c r="V294" s="473">
        <f t="shared" ref="V294" si="643">SUM(N294:U294)</f>
        <v>4306.4658000000009</v>
      </c>
      <c r="W294" s="580">
        <f t="shared" ref="W294" si="644">IF(P294&lt;&gt;"",V294*$W$27,0)</f>
        <v>0</v>
      </c>
      <c r="X294" s="580"/>
      <c r="Y294" s="581">
        <f t="shared" ref="Y294" si="645">X294+W294+V294</f>
        <v>4306.4658000000009</v>
      </c>
      <c r="Z294" s="432"/>
    </row>
    <row r="295" spans="1:26" ht="12.75" customHeight="1" x14ac:dyDescent="0.2">
      <c r="A295" s="30"/>
      <c r="B295" s="30"/>
      <c r="C295" s="30" t="s">
        <v>263</v>
      </c>
      <c r="D295" s="426">
        <v>617</v>
      </c>
      <c r="E295" s="30" t="s">
        <v>364</v>
      </c>
      <c r="F295" s="30" t="s">
        <v>6</v>
      </c>
      <c r="G295" s="34" t="s">
        <v>454</v>
      </c>
      <c r="H295" s="30" t="s">
        <v>461</v>
      </c>
      <c r="I295" s="34" t="s">
        <v>41</v>
      </c>
      <c r="J295" s="34" t="s">
        <v>117</v>
      </c>
      <c r="K295" s="580">
        <f>30.17*28%</f>
        <v>8.4476000000000013</v>
      </c>
      <c r="L295" s="580">
        <v>2080</v>
      </c>
      <c r="M295" s="580"/>
      <c r="N295" s="580">
        <f t="shared" si="600"/>
        <v>17571.008000000002</v>
      </c>
      <c r="O295" s="580"/>
      <c r="P295" s="580">
        <f t="shared" si="601"/>
        <v>6290.4208640000006</v>
      </c>
      <c r="Q295" s="580">
        <f t="shared" si="636"/>
        <v>254.77961600000003</v>
      </c>
      <c r="R295" s="580">
        <v>0</v>
      </c>
      <c r="S295" s="580"/>
      <c r="T295" s="580"/>
      <c r="U295" s="580"/>
      <c r="V295" s="473">
        <f t="shared" ref="V295" si="646">SUM(N295:U295)</f>
        <v>24116.208480000001</v>
      </c>
      <c r="W295" s="580">
        <f t="shared" ref="W295" si="647">IF(P295&lt;&gt;"",V295*$W$27,0)</f>
        <v>0</v>
      </c>
      <c r="X295" s="580"/>
      <c r="Y295" s="581">
        <f t="shared" ref="Y295" si="648">X295+W295+V295</f>
        <v>24116.208480000001</v>
      </c>
      <c r="Z295" s="432"/>
    </row>
    <row r="296" spans="1:26" ht="12.75" customHeight="1" x14ac:dyDescent="0.2">
      <c r="A296" s="30"/>
      <c r="B296" s="30"/>
      <c r="C296" s="30" t="s">
        <v>263</v>
      </c>
      <c r="D296" s="426">
        <v>617</v>
      </c>
      <c r="E296" s="30" t="s">
        <v>364</v>
      </c>
      <c r="F296" s="30" t="s">
        <v>6</v>
      </c>
      <c r="G296" s="34" t="s">
        <v>454</v>
      </c>
      <c r="H296" s="30" t="s">
        <v>461</v>
      </c>
      <c r="I296" s="34" t="s">
        <v>41</v>
      </c>
      <c r="J296" s="34" t="s">
        <v>125</v>
      </c>
      <c r="K296" s="580">
        <f>30.17*5%</f>
        <v>1.5085000000000002</v>
      </c>
      <c r="L296" s="580">
        <v>2080</v>
      </c>
      <c r="M296" s="580"/>
      <c r="N296" s="580">
        <f t="shared" si="600"/>
        <v>3137.6800000000003</v>
      </c>
      <c r="O296" s="580"/>
      <c r="P296" s="580">
        <f t="shared" si="601"/>
        <v>1123.28944</v>
      </c>
      <c r="Q296" s="580">
        <f t="shared" si="636"/>
        <v>45.49636000000001</v>
      </c>
      <c r="R296" s="580">
        <v>0</v>
      </c>
      <c r="S296" s="580"/>
      <c r="T296" s="580"/>
      <c r="U296" s="580"/>
      <c r="V296" s="473">
        <f t="shared" ref="V296" si="649">SUM(N296:U296)</f>
        <v>4306.4658000000009</v>
      </c>
      <c r="W296" s="580">
        <f t="shared" ref="W296" si="650">IF(P296&lt;&gt;"",V296*$W$27,0)</f>
        <v>0</v>
      </c>
      <c r="X296" s="580"/>
      <c r="Y296" s="581">
        <f t="shared" ref="Y296" si="651">X296+W296+V296</f>
        <v>4306.4658000000009</v>
      </c>
      <c r="Z296" s="432"/>
    </row>
    <row r="297" spans="1:26" s="432" customFormat="1" ht="12.75" customHeight="1" x14ac:dyDescent="0.2">
      <c r="A297" s="30">
        <v>121375</v>
      </c>
      <c r="B297" s="30"/>
      <c r="C297" s="30" t="s">
        <v>269</v>
      </c>
      <c r="D297" s="426">
        <v>615</v>
      </c>
      <c r="E297" s="30" t="s">
        <v>354</v>
      </c>
      <c r="F297" s="30" t="s">
        <v>6</v>
      </c>
      <c r="G297" s="34" t="s">
        <v>454</v>
      </c>
      <c r="H297" s="30" t="s">
        <v>461</v>
      </c>
      <c r="I297" s="34" t="s">
        <v>37</v>
      </c>
      <c r="J297" s="34" t="s">
        <v>143</v>
      </c>
      <c r="K297" s="580">
        <v>23.65</v>
      </c>
      <c r="L297" s="580">
        <v>2080</v>
      </c>
      <c r="M297" s="580"/>
      <c r="N297" s="580">
        <f t="shared" si="600"/>
        <v>49192</v>
      </c>
      <c r="O297" s="580"/>
      <c r="P297" s="580">
        <f t="shared" si="601"/>
        <v>17610.736000000001</v>
      </c>
      <c r="Q297" s="580">
        <f t="shared" si="636"/>
        <v>713.28399999999999</v>
      </c>
      <c r="R297" s="580">
        <v>0</v>
      </c>
      <c r="S297" s="580">
        <f>IF(H297="1",3242.52*2,0)</f>
        <v>6485.04</v>
      </c>
      <c r="T297" s="580">
        <v>0</v>
      </c>
      <c r="U297" s="580">
        <f>IF(H297="1",162*2,0)</f>
        <v>324</v>
      </c>
      <c r="V297" s="473">
        <f t="shared" ref="V297" si="652">SUM(N297:U297)</f>
        <v>74325.06</v>
      </c>
      <c r="W297" s="580">
        <f t="shared" ref="W297" si="653">IF(P297&lt;&gt;"",V297*$W$27,0)</f>
        <v>0</v>
      </c>
      <c r="X297" s="580"/>
      <c r="Y297" s="581">
        <f t="shared" ref="Y297" si="654">X297+W297+V297</f>
        <v>74325.06</v>
      </c>
    </row>
    <row r="298" spans="1:26" s="432" customFormat="1" ht="12.75" customHeight="1" x14ac:dyDescent="0.2">
      <c r="A298" s="30">
        <v>209001</v>
      </c>
      <c r="B298" s="30"/>
      <c r="C298" s="30" t="s">
        <v>793</v>
      </c>
      <c r="D298" s="426" t="s">
        <v>355</v>
      </c>
      <c r="E298" s="30" t="s">
        <v>356</v>
      </c>
      <c r="F298" s="30" t="s">
        <v>6</v>
      </c>
      <c r="G298" s="34" t="s">
        <v>454</v>
      </c>
      <c r="H298" s="30" t="s">
        <v>461</v>
      </c>
      <c r="I298" s="34" t="s">
        <v>684</v>
      </c>
      <c r="J298" s="34" t="s">
        <v>692</v>
      </c>
      <c r="K298" s="580">
        <v>32.74</v>
      </c>
      <c r="L298" s="580">
        <v>2080</v>
      </c>
      <c r="M298" s="580"/>
      <c r="N298" s="580">
        <f t="shared" si="600"/>
        <v>68099.199999999997</v>
      </c>
      <c r="O298" s="580"/>
      <c r="P298" s="580">
        <f t="shared" si="601"/>
        <v>24379.513599999998</v>
      </c>
      <c r="Q298" s="580">
        <f t="shared" si="636"/>
        <v>987.4384</v>
      </c>
      <c r="R298" s="580">
        <v>0</v>
      </c>
      <c r="S298" s="580">
        <f>IF(H298="1",2940.36*2,0)</f>
        <v>5880.72</v>
      </c>
      <c r="T298" s="580">
        <f>IF(H298="1",127.2*2,0)</f>
        <v>254.4</v>
      </c>
      <c r="U298" s="580">
        <v>0</v>
      </c>
      <c r="V298" s="473">
        <f t="shared" ref="V298" si="655">SUM(N298:U298)</f>
        <v>99601.271999999983</v>
      </c>
      <c r="W298" s="580">
        <f t="shared" ref="W298" si="656">IF(P298&lt;&gt;"",V298*$W$27,0)</f>
        <v>0</v>
      </c>
      <c r="X298" s="580"/>
      <c r="Y298" s="581">
        <f t="shared" ref="Y298" si="657">X298+W298+V298</f>
        <v>99601.271999999983</v>
      </c>
    </row>
    <row r="299" spans="1:26" s="432" customFormat="1" ht="12.75" customHeight="1" x14ac:dyDescent="0.2">
      <c r="A299" s="30">
        <v>43689</v>
      </c>
      <c r="B299" s="30"/>
      <c r="C299" s="30" t="s">
        <v>255</v>
      </c>
      <c r="D299" s="426">
        <v>618</v>
      </c>
      <c r="E299" s="30" t="s">
        <v>359</v>
      </c>
      <c r="F299" s="30" t="s">
        <v>6</v>
      </c>
      <c r="G299" s="34" t="s">
        <v>454</v>
      </c>
      <c r="H299" s="30" t="s">
        <v>461</v>
      </c>
      <c r="I299" s="34" t="s">
        <v>32</v>
      </c>
      <c r="J299" s="34" t="s">
        <v>143</v>
      </c>
      <c r="K299" s="580">
        <f>34.12*10%</f>
        <v>3.4119999999999999</v>
      </c>
      <c r="L299" s="580">
        <v>2080</v>
      </c>
      <c r="M299" s="580"/>
      <c r="N299" s="580">
        <f t="shared" si="600"/>
        <v>7096.96</v>
      </c>
      <c r="O299" s="580"/>
      <c r="P299" s="580">
        <f t="shared" si="601"/>
        <v>2540.7116799999999</v>
      </c>
      <c r="Q299" s="580">
        <f t="shared" si="636"/>
        <v>102.90592000000001</v>
      </c>
      <c r="R299" s="580">
        <v>0</v>
      </c>
      <c r="S299" s="580">
        <v>0</v>
      </c>
      <c r="T299" s="580">
        <v>0</v>
      </c>
      <c r="U299" s="580">
        <v>0</v>
      </c>
      <c r="V299" s="473">
        <f t="shared" ref="V299" si="658">SUM(N299:U299)</f>
        <v>9740.5775999999987</v>
      </c>
      <c r="W299" s="580">
        <f t="shared" ref="W299" si="659">IF(P299&lt;&gt;"",V299*$W$27,0)</f>
        <v>0</v>
      </c>
      <c r="X299" s="580"/>
      <c r="Y299" s="581">
        <f t="shared" ref="Y299" si="660">X299+W299+V299</f>
        <v>9740.5775999999987</v>
      </c>
    </row>
    <row r="300" spans="1:26" s="432" customFormat="1" ht="12.75" customHeight="1" x14ac:dyDescent="0.2">
      <c r="A300" s="30"/>
      <c r="B300" s="30"/>
      <c r="C300" s="30" t="s">
        <v>255</v>
      </c>
      <c r="D300" s="426">
        <v>618</v>
      </c>
      <c r="E300" s="30" t="s">
        <v>359</v>
      </c>
      <c r="F300" s="30" t="s">
        <v>6</v>
      </c>
      <c r="G300" s="34" t="s">
        <v>454</v>
      </c>
      <c r="H300" s="30" t="s">
        <v>461</v>
      </c>
      <c r="I300" s="34" t="s">
        <v>32</v>
      </c>
      <c r="J300" s="34" t="s">
        <v>114</v>
      </c>
      <c r="K300" s="580">
        <f t="shared" ref="K300:K305" si="661">34.12*10%</f>
        <v>3.4119999999999999</v>
      </c>
      <c r="L300" s="580">
        <v>2080</v>
      </c>
      <c r="M300" s="580"/>
      <c r="N300" s="580">
        <f t="shared" si="600"/>
        <v>7096.96</v>
      </c>
      <c r="O300" s="580"/>
      <c r="P300" s="580">
        <f t="shared" si="601"/>
        <v>2540.7116799999999</v>
      </c>
      <c r="Q300" s="580">
        <f t="shared" si="636"/>
        <v>102.90592000000001</v>
      </c>
      <c r="R300" s="580">
        <v>0</v>
      </c>
      <c r="S300" s="580"/>
      <c r="T300" s="580"/>
      <c r="U300" s="580"/>
      <c r="V300" s="473">
        <f t="shared" ref="V300" si="662">SUM(N300:U300)</f>
        <v>9740.5775999999987</v>
      </c>
      <c r="W300" s="580">
        <f t="shared" ref="W300" si="663">IF(P300&lt;&gt;"",V300*$W$27,0)</f>
        <v>0</v>
      </c>
      <c r="X300" s="580"/>
      <c r="Y300" s="581">
        <f t="shared" ref="Y300" si="664">X300+W300+V300</f>
        <v>9740.5775999999987</v>
      </c>
    </row>
    <row r="301" spans="1:26" s="432" customFormat="1" ht="12.75" customHeight="1" x14ac:dyDescent="0.2">
      <c r="A301" s="30"/>
      <c r="B301" s="30"/>
      <c r="C301" s="30" t="s">
        <v>255</v>
      </c>
      <c r="D301" s="426">
        <v>618</v>
      </c>
      <c r="E301" s="30" t="s">
        <v>359</v>
      </c>
      <c r="F301" s="30" t="s">
        <v>6</v>
      </c>
      <c r="G301" s="34" t="s">
        <v>454</v>
      </c>
      <c r="H301" s="30" t="s">
        <v>461</v>
      </c>
      <c r="I301" s="34" t="s">
        <v>32</v>
      </c>
      <c r="J301" s="34" t="s">
        <v>692</v>
      </c>
      <c r="K301" s="580">
        <f>34.12*25%</f>
        <v>8.5299999999999994</v>
      </c>
      <c r="L301" s="580">
        <v>2080</v>
      </c>
      <c r="M301" s="580"/>
      <c r="N301" s="580">
        <f t="shared" si="600"/>
        <v>17742.399999999998</v>
      </c>
      <c r="O301" s="580"/>
      <c r="P301" s="580">
        <f t="shared" si="601"/>
        <v>6351.779199999999</v>
      </c>
      <c r="Q301" s="580">
        <f t="shared" si="636"/>
        <v>257.26479999999998</v>
      </c>
      <c r="R301" s="580">
        <v>0</v>
      </c>
      <c r="S301" s="580"/>
      <c r="T301" s="580"/>
      <c r="U301" s="580"/>
      <c r="V301" s="473">
        <f t="shared" ref="V301" si="665">SUM(N301:U301)</f>
        <v>24351.444</v>
      </c>
      <c r="W301" s="580">
        <f t="shared" ref="W301" si="666">IF(P301&lt;&gt;"",V301*$W$27,0)</f>
        <v>0</v>
      </c>
      <c r="X301" s="580"/>
      <c r="Y301" s="581">
        <f t="shared" ref="Y301" si="667">X301+W301+V301</f>
        <v>24351.444</v>
      </c>
    </row>
    <row r="302" spans="1:26" s="432" customFormat="1" ht="12.75" customHeight="1" x14ac:dyDescent="0.2">
      <c r="A302" s="30"/>
      <c r="B302" s="30"/>
      <c r="C302" s="30" t="s">
        <v>255</v>
      </c>
      <c r="D302" s="426">
        <v>618</v>
      </c>
      <c r="E302" s="30" t="s">
        <v>359</v>
      </c>
      <c r="F302" s="30" t="s">
        <v>6</v>
      </c>
      <c r="G302" s="34" t="s">
        <v>454</v>
      </c>
      <c r="H302" s="30" t="s">
        <v>461</v>
      </c>
      <c r="I302" s="34" t="s">
        <v>32</v>
      </c>
      <c r="J302" s="34" t="s">
        <v>121</v>
      </c>
      <c r="K302" s="580">
        <f t="shared" si="661"/>
        <v>3.4119999999999999</v>
      </c>
      <c r="L302" s="580">
        <v>2080</v>
      </c>
      <c r="M302" s="580"/>
      <c r="N302" s="580">
        <f t="shared" si="600"/>
        <v>7096.96</v>
      </c>
      <c r="O302" s="580"/>
      <c r="P302" s="580">
        <f t="shared" si="601"/>
        <v>2540.7116799999999</v>
      </c>
      <c r="Q302" s="580">
        <f t="shared" si="636"/>
        <v>102.90592000000001</v>
      </c>
      <c r="R302" s="580">
        <v>0</v>
      </c>
      <c r="S302" s="580"/>
      <c r="T302" s="580"/>
      <c r="U302" s="580"/>
      <c r="V302" s="473">
        <f t="shared" ref="V302" si="668">SUM(N302:U302)</f>
        <v>9740.5775999999987</v>
      </c>
      <c r="W302" s="580">
        <f t="shared" ref="W302" si="669">IF(P302&lt;&gt;"",V302*$W$27,0)</f>
        <v>0</v>
      </c>
      <c r="X302" s="580"/>
      <c r="Y302" s="581">
        <f t="shared" ref="Y302" si="670">X302+W302+V302</f>
        <v>9740.5775999999987</v>
      </c>
    </row>
    <row r="303" spans="1:26" s="432" customFormat="1" ht="12.75" customHeight="1" x14ac:dyDescent="0.2">
      <c r="A303" s="30"/>
      <c r="B303" s="30"/>
      <c r="C303" s="30" t="s">
        <v>255</v>
      </c>
      <c r="D303" s="426">
        <v>618</v>
      </c>
      <c r="E303" s="30" t="s">
        <v>359</v>
      </c>
      <c r="F303" s="30" t="s">
        <v>6</v>
      </c>
      <c r="G303" s="34" t="s">
        <v>454</v>
      </c>
      <c r="H303" s="30" t="s">
        <v>461</v>
      </c>
      <c r="I303" s="34" t="s">
        <v>32</v>
      </c>
      <c r="J303" s="34" t="s">
        <v>117</v>
      </c>
      <c r="K303" s="580">
        <f t="shared" si="661"/>
        <v>3.4119999999999999</v>
      </c>
      <c r="L303" s="580">
        <v>2080</v>
      </c>
      <c r="M303" s="580"/>
      <c r="N303" s="580">
        <f t="shared" si="600"/>
        <v>7096.96</v>
      </c>
      <c r="O303" s="580"/>
      <c r="P303" s="580">
        <f t="shared" si="601"/>
        <v>2540.7116799999999</v>
      </c>
      <c r="Q303" s="580">
        <f t="shared" si="636"/>
        <v>102.90592000000001</v>
      </c>
      <c r="R303" s="580">
        <v>0</v>
      </c>
      <c r="S303" s="580"/>
      <c r="T303" s="580"/>
      <c r="U303" s="580"/>
      <c r="V303" s="473">
        <f t="shared" ref="V303" si="671">SUM(N303:U303)</f>
        <v>9740.5775999999987</v>
      </c>
      <c r="W303" s="580">
        <f t="shared" ref="W303" si="672">IF(P303&lt;&gt;"",V303*$W$27,0)</f>
        <v>0</v>
      </c>
      <c r="X303" s="580"/>
      <c r="Y303" s="581">
        <f t="shared" ref="Y303" si="673">X303+W303+V303</f>
        <v>9740.5775999999987</v>
      </c>
    </row>
    <row r="304" spans="1:26" ht="12.75" customHeight="1" x14ac:dyDescent="0.2">
      <c r="A304" s="30"/>
      <c r="B304" s="30"/>
      <c r="C304" s="30" t="s">
        <v>255</v>
      </c>
      <c r="D304" s="426">
        <v>618</v>
      </c>
      <c r="E304" s="30" t="s">
        <v>359</v>
      </c>
      <c r="F304" s="30" t="s">
        <v>6</v>
      </c>
      <c r="G304" s="34" t="s">
        <v>454</v>
      </c>
      <c r="H304" s="30" t="s">
        <v>461</v>
      </c>
      <c r="I304" s="34" t="s">
        <v>32</v>
      </c>
      <c r="J304" s="34" t="s">
        <v>116</v>
      </c>
      <c r="K304" s="580">
        <f t="shared" si="661"/>
        <v>3.4119999999999999</v>
      </c>
      <c r="L304" s="580">
        <v>2080</v>
      </c>
      <c r="M304" s="580"/>
      <c r="N304" s="580">
        <f t="shared" si="600"/>
        <v>7096.96</v>
      </c>
      <c r="O304" s="580"/>
      <c r="P304" s="580">
        <f t="shared" si="601"/>
        <v>2540.7116799999999</v>
      </c>
      <c r="Q304" s="580">
        <f t="shared" si="636"/>
        <v>102.90592000000001</v>
      </c>
      <c r="R304" s="580">
        <v>0</v>
      </c>
      <c r="S304" s="580"/>
      <c r="T304" s="580"/>
      <c r="U304" s="580"/>
      <c r="V304" s="473">
        <f t="shared" ref="V304" si="674">SUM(N304:U304)</f>
        <v>9740.5775999999987</v>
      </c>
      <c r="W304" s="580">
        <f t="shared" ref="W304" si="675">IF(P304&lt;&gt;"",V304*$W$27,0)</f>
        <v>0</v>
      </c>
      <c r="X304" s="580"/>
      <c r="Y304" s="581">
        <f t="shared" ref="Y304" si="676">X304+W304+V304</f>
        <v>9740.5775999999987</v>
      </c>
      <c r="Z304" s="432"/>
    </row>
    <row r="305" spans="1:26" ht="12.75" customHeight="1" x14ac:dyDescent="0.2">
      <c r="A305" s="30"/>
      <c r="B305" s="30"/>
      <c r="C305" s="30" t="s">
        <v>255</v>
      </c>
      <c r="D305" s="426">
        <v>618</v>
      </c>
      <c r="E305" s="30" t="s">
        <v>359</v>
      </c>
      <c r="F305" s="30" t="s">
        <v>6</v>
      </c>
      <c r="G305" s="34" t="s">
        <v>454</v>
      </c>
      <c r="H305" s="30" t="s">
        <v>461</v>
      </c>
      <c r="I305" s="34" t="s">
        <v>32</v>
      </c>
      <c r="J305" s="34" t="s">
        <v>796</v>
      </c>
      <c r="K305" s="580">
        <f t="shared" si="661"/>
        <v>3.4119999999999999</v>
      </c>
      <c r="L305" s="580">
        <v>2080</v>
      </c>
      <c r="M305" s="580"/>
      <c r="N305" s="580">
        <f t="shared" si="600"/>
        <v>7096.96</v>
      </c>
      <c r="O305" s="580"/>
      <c r="P305" s="580">
        <f t="shared" si="601"/>
        <v>2540.7116799999999</v>
      </c>
      <c r="Q305" s="580">
        <f t="shared" si="636"/>
        <v>102.90592000000001</v>
      </c>
      <c r="R305" s="580">
        <v>0</v>
      </c>
      <c r="S305" s="580"/>
      <c r="T305" s="580"/>
      <c r="U305" s="580"/>
      <c r="V305" s="473">
        <f t="shared" ref="V305" si="677">SUM(N305:U305)</f>
        <v>9740.5775999999987</v>
      </c>
      <c r="W305" s="580">
        <f t="shared" ref="W305" si="678">IF(P305&lt;&gt;"",V305*$W$27,0)</f>
        <v>0</v>
      </c>
      <c r="X305" s="580"/>
      <c r="Y305" s="581">
        <f t="shared" ref="Y305" si="679">X305+W305+V305</f>
        <v>9740.5775999999987</v>
      </c>
      <c r="Z305" s="432"/>
    </row>
    <row r="306" spans="1:26" ht="12.75" customHeight="1" x14ac:dyDescent="0.2">
      <c r="A306" s="30"/>
      <c r="B306" s="30"/>
      <c r="C306" s="30" t="s">
        <v>255</v>
      </c>
      <c r="D306" s="426">
        <v>618</v>
      </c>
      <c r="E306" s="30" t="s">
        <v>359</v>
      </c>
      <c r="F306" s="30" t="s">
        <v>6</v>
      </c>
      <c r="G306" s="34" t="s">
        <v>454</v>
      </c>
      <c r="H306" s="30" t="s">
        <v>461</v>
      </c>
      <c r="I306" s="34" t="s">
        <v>32</v>
      </c>
      <c r="J306" s="34" t="s">
        <v>62</v>
      </c>
      <c r="K306" s="580">
        <f>34.12*15%</f>
        <v>5.1179999999999994</v>
      </c>
      <c r="L306" s="580">
        <v>2080</v>
      </c>
      <c r="M306" s="580"/>
      <c r="N306" s="580">
        <f t="shared" si="600"/>
        <v>10645.439999999999</v>
      </c>
      <c r="O306" s="580"/>
      <c r="P306" s="580">
        <f t="shared" si="601"/>
        <v>3811.0675199999991</v>
      </c>
      <c r="Q306" s="580">
        <f t="shared" si="636"/>
        <v>154.35888</v>
      </c>
      <c r="R306" s="580">
        <v>0</v>
      </c>
      <c r="S306" s="580"/>
      <c r="T306" s="580"/>
      <c r="U306" s="580"/>
      <c r="V306" s="473">
        <f t="shared" ref="V306" si="680">SUM(N306:U306)</f>
        <v>14610.866399999997</v>
      </c>
      <c r="W306" s="580">
        <f t="shared" ref="W306" si="681">IF(P306&lt;&gt;"",V306*$W$27,0)</f>
        <v>0</v>
      </c>
      <c r="X306" s="580"/>
      <c r="Y306" s="581">
        <f t="shared" ref="Y306" si="682">X306+W306+V306</f>
        <v>14610.866399999997</v>
      </c>
      <c r="Z306" s="432"/>
    </row>
    <row r="307" spans="1:26" ht="12.75" customHeight="1" x14ac:dyDescent="0.2">
      <c r="A307" s="30">
        <v>294996</v>
      </c>
      <c r="B307" s="30"/>
      <c r="C307" s="30" t="s">
        <v>288</v>
      </c>
      <c r="D307" s="426" t="s">
        <v>333</v>
      </c>
      <c r="E307" s="30" t="s">
        <v>347</v>
      </c>
      <c r="F307" s="34" t="s">
        <v>458</v>
      </c>
      <c r="G307" s="34" t="s">
        <v>458</v>
      </c>
      <c r="H307" s="30" t="s">
        <v>461</v>
      </c>
      <c r="I307" s="34" t="s">
        <v>38</v>
      </c>
      <c r="J307" s="34" t="s">
        <v>692</v>
      </c>
      <c r="K307" s="580">
        <v>7.9</v>
      </c>
      <c r="L307" s="580">
        <v>1040</v>
      </c>
      <c r="M307" s="580"/>
      <c r="N307" s="580">
        <f t="shared" si="600"/>
        <v>8216</v>
      </c>
      <c r="O307" s="580"/>
      <c r="P307" s="580">
        <f t="shared" si="601"/>
        <v>2941.328</v>
      </c>
      <c r="Q307" s="580">
        <f t="shared" si="636"/>
        <v>119.13200000000001</v>
      </c>
      <c r="R307" s="580">
        <f>N307*$R$27</f>
        <v>509.392</v>
      </c>
      <c r="S307" s="580">
        <v>0</v>
      </c>
      <c r="T307" s="580">
        <v>0</v>
      </c>
      <c r="U307" s="580">
        <v>0</v>
      </c>
      <c r="V307" s="473">
        <f t="shared" ref="V307" si="683">SUM(N307:U307)</f>
        <v>11785.851999999999</v>
      </c>
      <c r="W307" s="580">
        <f t="shared" ref="W307" si="684">IF(P307&lt;&gt;"",V307*$W$27,0)</f>
        <v>0</v>
      </c>
      <c r="X307" s="580"/>
      <c r="Y307" s="581">
        <f t="shared" ref="Y307" si="685">X307+W307+V307</f>
        <v>11785.851999999999</v>
      </c>
      <c r="Z307" s="432"/>
    </row>
    <row r="308" spans="1:26" ht="12.75" customHeight="1" x14ac:dyDescent="0.2">
      <c r="A308" s="30">
        <v>294995</v>
      </c>
      <c r="B308" s="30"/>
      <c r="C308" s="30" t="s">
        <v>289</v>
      </c>
      <c r="D308" s="426" t="s">
        <v>333</v>
      </c>
      <c r="E308" s="30" t="s">
        <v>347</v>
      </c>
      <c r="F308" s="34" t="s">
        <v>458</v>
      </c>
      <c r="G308" s="34" t="s">
        <v>458</v>
      </c>
      <c r="H308" s="30" t="s">
        <v>461</v>
      </c>
      <c r="I308" s="34" t="s">
        <v>38</v>
      </c>
      <c r="J308" s="34" t="s">
        <v>692</v>
      </c>
      <c r="K308" s="580">
        <v>8.0500000000000007</v>
      </c>
      <c r="L308" s="580">
        <v>1040</v>
      </c>
      <c r="M308" s="580"/>
      <c r="N308" s="580">
        <f t="shared" si="600"/>
        <v>8372</v>
      </c>
      <c r="O308" s="580"/>
      <c r="P308" s="580">
        <f t="shared" si="601"/>
        <v>2997.1759999999999</v>
      </c>
      <c r="Q308" s="580">
        <f t="shared" si="636"/>
        <v>121.39400000000001</v>
      </c>
      <c r="R308" s="580">
        <f>N308*$R$27</f>
        <v>519.06399999999996</v>
      </c>
      <c r="S308" s="580">
        <v>0</v>
      </c>
      <c r="T308" s="580">
        <v>0</v>
      </c>
      <c r="U308" s="580">
        <v>0</v>
      </c>
      <c r="V308" s="473">
        <f t="shared" ref="V308" si="686">SUM(N308:U308)</f>
        <v>12009.634</v>
      </c>
      <c r="W308" s="580">
        <f t="shared" ref="W308" si="687">IF(P308&lt;&gt;"",V308*$W$27,0)</f>
        <v>0</v>
      </c>
      <c r="X308" s="580"/>
      <c r="Y308" s="581">
        <f t="shared" ref="Y308" si="688">X308+W308+V308</f>
        <v>12009.634</v>
      </c>
      <c r="Z308" s="432"/>
    </row>
    <row r="309" spans="1:26" s="432" customFormat="1" ht="12.75" customHeight="1" x14ac:dyDescent="0.2">
      <c r="A309" s="30">
        <v>17593</v>
      </c>
      <c r="B309" s="30"/>
      <c r="C309" s="30" t="s">
        <v>316</v>
      </c>
      <c r="D309" s="426">
        <v>615</v>
      </c>
      <c r="E309" s="30" t="s">
        <v>354</v>
      </c>
      <c r="F309" s="30" t="s">
        <v>6</v>
      </c>
      <c r="G309" s="34" t="s">
        <v>454</v>
      </c>
      <c r="H309" s="30" t="s">
        <v>461</v>
      </c>
      <c r="I309" s="34" t="s">
        <v>33</v>
      </c>
      <c r="J309" s="34" t="s">
        <v>127</v>
      </c>
      <c r="K309" s="580">
        <v>24.8</v>
      </c>
      <c r="L309" s="580">
        <v>2080</v>
      </c>
      <c r="M309" s="580"/>
      <c r="N309" s="580">
        <f t="shared" si="600"/>
        <v>51584</v>
      </c>
      <c r="O309" s="580"/>
      <c r="P309" s="580">
        <f t="shared" si="601"/>
        <v>18467.072</v>
      </c>
      <c r="Q309" s="580">
        <f t="shared" si="636"/>
        <v>747.96800000000007</v>
      </c>
      <c r="R309" s="580">
        <v>0</v>
      </c>
      <c r="S309" s="580">
        <f>IF(H309="1",2828.52*2,0)</f>
        <v>5657.04</v>
      </c>
      <c r="T309" s="580">
        <f>IF(H309="1",154.92*2,0)</f>
        <v>309.83999999999997</v>
      </c>
      <c r="U309" s="580">
        <f>IF(H309="1",162*2,0)</f>
        <v>324</v>
      </c>
      <c r="V309" s="473">
        <f t="shared" ref="V309" si="689">SUM(N309:U309)</f>
        <v>77089.919999999984</v>
      </c>
      <c r="W309" s="580">
        <f t="shared" ref="W309" si="690">IF(P309&lt;&gt;"",V309*$W$27,0)</f>
        <v>0</v>
      </c>
      <c r="X309" s="580"/>
      <c r="Y309" s="581">
        <f t="shared" ref="Y309" si="691">X309+W309+V309</f>
        <v>77089.919999999984</v>
      </c>
    </row>
    <row r="310" spans="1:26" s="432" customFormat="1" ht="12.75" customHeight="1" x14ac:dyDescent="0.2">
      <c r="A310" s="30">
        <v>153757</v>
      </c>
      <c r="B310" s="30"/>
      <c r="C310" s="30" t="s">
        <v>317</v>
      </c>
      <c r="D310" s="426">
        <v>615</v>
      </c>
      <c r="E310" s="30" t="s">
        <v>354</v>
      </c>
      <c r="F310" s="30" t="s">
        <v>6</v>
      </c>
      <c r="G310" s="34" t="s">
        <v>454</v>
      </c>
      <c r="H310" s="30" t="s">
        <v>461</v>
      </c>
      <c r="I310" s="34" t="s">
        <v>33</v>
      </c>
      <c r="J310" s="34" t="s">
        <v>127</v>
      </c>
      <c r="K310" s="580">
        <v>23.36</v>
      </c>
      <c r="L310" s="580">
        <v>2080</v>
      </c>
      <c r="M310" s="580"/>
      <c r="N310" s="580">
        <f t="shared" si="600"/>
        <v>48588.799999999996</v>
      </c>
      <c r="O310" s="580"/>
      <c r="P310" s="580">
        <f t="shared" si="601"/>
        <v>17394.790399999998</v>
      </c>
      <c r="Q310" s="580">
        <f t="shared" si="636"/>
        <v>704.5376</v>
      </c>
      <c r="R310" s="580">
        <v>0</v>
      </c>
      <c r="S310" s="580">
        <f>IF(H310="1",3242.52*2,0)</f>
        <v>6485.04</v>
      </c>
      <c r="T310" s="580">
        <f>IF(H310="1",527.28*2,0)</f>
        <v>1054.56</v>
      </c>
      <c r="U310" s="580">
        <f>IF(H310="1",162*2,0)</f>
        <v>324</v>
      </c>
      <c r="V310" s="473">
        <f t="shared" ref="V310" si="692">SUM(N310:U310)</f>
        <v>74551.727999999974</v>
      </c>
      <c r="W310" s="580">
        <f t="shared" ref="W310" si="693">IF(P310&lt;&gt;"",V310*$W$27,0)</f>
        <v>0</v>
      </c>
      <c r="X310" s="580"/>
      <c r="Y310" s="581">
        <f t="shared" ref="Y310" si="694">X310+W310+V310</f>
        <v>74551.727999999974</v>
      </c>
    </row>
    <row r="311" spans="1:26" s="432" customFormat="1" ht="12.75" customHeight="1" x14ac:dyDescent="0.2">
      <c r="A311" s="30">
        <v>217983</v>
      </c>
      <c r="B311" s="30"/>
      <c r="C311" s="30" t="s">
        <v>259</v>
      </c>
      <c r="D311" s="426">
        <v>617</v>
      </c>
      <c r="E311" s="30" t="s">
        <v>361</v>
      </c>
      <c r="F311" s="30" t="s">
        <v>6</v>
      </c>
      <c r="G311" s="34" t="s">
        <v>454</v>
      </c>
      <c r="H311" s="30" t="s">
        <v>461</v>
      </c>
      <c r="I311" s="30" t="s">
        <v>685</v>
      </c>
      <c r="J311" s="34" t="s">
        <v>692</v>
      </c>
      <c r="K311" s="580">
        <f>31.51*5%</f>
        <v>1.5755000000000001</v>
      </c>
      <c r="L311" s="580">
        <v>2080</v>
      </c>
      <c r="M311" s="580"/>
      <c r="N311" s="580">
        <f t="shared" si="600"/>
        <v>3277.0400000000004</v>
      </c>
      <c r="O311" s="580"/>
      <c r="P311" s="580">
        <f t="shared" si="601"/>
        <v>1173.1803200000002</v>
      </c>
      <c r="Q311" s="580">
        <f t="shared" si="636"/>
        <v>47.517080000000007</v>
      </c>
      <c r="R311" s="580">
        <v>0</v>
      </c>
      <c r="S311" s="580">
        <v>0</v>
      </c>
      <c r="T311" s="580">
        <v>0</v>
      </c>
      <c r="U311" s="580">
        <f>IF(H311="1",162*2,0)</f>
        <v>324</v>
      </c>
      <c r="V311" s="473">
        <f t="shared" ref="V311" si="695">SUM(N311:U311)</f>
        <v>4821.7374</v>
      </c>
      <c r="W311" s="580">
        <f t="shared" ref="W311" si="696">IF(P311&lt;&gt;"",V311*$W$27,0)</f>
        <v>0</v>
      </c>
      <c r="X311" s="580"/>
      <c r="Y311" s="581">
        <f t="shared" ref="Y311" si="697">X311+W311+V311</f>
        <v>4821.7374</v>
      </c>
    </row>
    <row r="312" spans="1:26" s="432" customFormat="1" ht="12.75" customHeight="1" x14ac:dyDescent="0.2">
      <c r="A312" s="30"/>
      <c r="B312" s="30"/>
      <c r="C312" s="30" t="s">
        <v>259</v>
      </c>
      <c r="D312" s="426">
        <v>617</v>
      </c>
      <c r="E312" s="30" t="s">
        <v>361</v>
      </c>
      <c r="F312" s="30" t="s">
        <v>6</v>
      </c>
      <c r="G312" s="34" t="s">
        <v>454</v>
      </c>
      <c r="H312" s="30" t="s">
        <v>461</v>
      </c>
      <c r="I312" s="30" t="s">
        <v>685</v>
      </c>
      <c r="J312" s="659" t="s">
        <v>117</v>
      </c>
      <c r="K312" s="580">
        <f>31.51*65%</f>
        <v>20.4815</v>
      </c>
      <c r="L312" s="580">
        <v>2080</v>
      </c>
      <c r="M312" s="580"/>
      <c r="N312" s="580">
        <f t="shared" si="600"/>
        <v>42601.520000000004</v>
      </c>
      <c r="O312" s="580"/>
      <c r="P312" s="580">
        <f t="shared" si="601"/>
        <v>15251.344160000001</v>
      </c>
      <c r="Q312" s="580">
        <f t="shared" si="636"/>
        <v>617.72204000000011</v>
      </c>
      <c r="R312" s="580">
        <v>0</v>
      </c>
      <c r="S312" s="580"/>
      <c r="T312" s="580"/>
      <c r="U312" s="580"/>
      <c r="V312" s="473">
        <f t="shared" ref="V312" si="698">SUM(N312:U312)</f>
        <v>58470.586200000005</v>
      </c>
      <c r="W312" s="580">
        <f t="shared" ref="W312" si="699">IF(P312&lt;&gt;"",V312*$W$27,0)</f>
        <v>0</v>
      </c>
      <c r="X312" s="580"/>
      <c r="Y312" s="581">
        <f t="shared" ref="Y312" si="700">X312+W312+V312</f>
        <v>58470.586200000005</v>
      </c>
    </row>
    <row r="313" spans="1:26" ht="12.75" customHeight="1" x14ac:dyDescent="0.2">
      <c r="A313" s="30"/>
      <c r="B313" s="30"/>
      <c r="C313" s="30" t="s">
        <v>259</v>
      </c>
      <c r="D313" s="426">
        <v>617</v>
      </c>
      <c r="E313" s="30" t="s">
        <v>361</v>
      </c>
      <c r="F313" s="30" t="s">
        <v>6</v>
      </c>
      <c r="G313" s="34" t="s">
        <v>454</v>
      </c>
      <c r="H313" s="30" t="s">
        <v>461</v>
      </c>
      <c r="I313" s="30" t="s">
        <v>685</v>
      </c>
      <c r="J313" s="659" t="s">
        <v>114</v>
      </c>
      <c r="K313" s="580">
        <f>31.51*25%</f>
        <v>7.8775000000000004</v>
      </c>
      <c r="L313" s="580">
        <v>2080</v>
      </c>
      <c r="M313" s="580"/>
      <c r="N313" s="580">
        <f t="shared" si="600"/>
        <v>16385.2</v>
      </c>
      <c r="O313" s="580"/>
      <c r="P313" s="580">
        <f t="shared" si="601"/>
        <v>5865.9016000000001</v>
      </c>
      <c r="Q313" s="580">
        <f t="shared" si="636"/>
        <v>237.58540000000002</v>
      </c>
      <c r="R313" s="580">
        <v>0</v>
      </c>
      <c r="S313" s="580"/>
      <c r="T313" s="580"/>
      <c r="U313" s="580"/>
      <c r="V313" s="473">
        <f t="shared" ref="V313" si="701">SUM(N313:U313)</f>
        <v>22488.687000000002</v>
      </c>
      <c r="W313" s="580">
        <f t="shared" ref="W313" si="702">IF(P313&lt;&gt;"",V313*$W$27,0)</f>
        <v>0</v>
      </c>
      <c r="X313" s="580"/>
      <c r="Y313" s="581">
        <f t="shared" ref="Y313" si="703">X313+W313+V313</f>
        <v>22488.687000000002</v>
      </c>
      <c r="Z313" s="432"/>
    </row>
    <row r="314" spans="1:26" ht="12.75" customHeight="1" x14ac:dyDescent="0.2">
      <c r="A314" s="30"/>
      <c r="B314" s="30"/>
      <c r="C314" s="30" t="s">
        <v>259</v>
      </c>
      <c r="D314" s="426">
        <v>617</v>
      </c>
      <c r="E314" s="30" t="s">
        <v>361</v>
      </c>
      <c r="F314" s="30" t="s">
        <v>6</v>
      </c>
      <c r="G314" s="34" t="s">
        <v>454</v>
      </c>
      <c r="H314" s="30" t="s">
        <v>461</v>
      </c>
      <c r="I314" s="30" t="s">
        <v>685</v>
      </c>
      <c r="J314" s="34" t="s">
        <v>136</v>
      </c>
      <c r="K314" s="580">
        <f>31.51*2%</f>
        <v>0.63020000000000009</v>
      </c>
      <c r="L314" s="580">
        <v>2080</v>
      </c>
      <c r="M314" s="580"/>
      <c r="N314" s="580">
        <f t="shared" si="600"/>
        <v>1310.8160000000003</v>
      </c>
      <c r="O314" s="580"/>
      <c r="P314" s="580">
        <f t="shared" si="601"/>
        <v>469.27212800000007</v>
      </c>
      <c r="Q314" s="580">
        <f t="shared" si="636"/>
        <v>19.006832000000006</v>
      </c>
      <c r="R314" s="580">
        <v>0</v>
      </c>
      <c r="S314" s="580"/>
      <c r="T314" s="580"/>
      <c r="U314" s="580"/>
      <c r="V314" s="473">
        <f t="shared" ref="V314" si="704">SUM(N314:U314)</f>
        <v>1799.0949600000004</v>
      </c>
      <c r="W314" s="580">
        <f t="shared" ref="W314" si="705">IF(P314&lt;&gt;"",V314*$W$27,0)</f>
        <v>0</v>
      </c>
      <c r="X314" s="580"/>
      <c r="Y314" s="581">
        <f t="shared" ref="Y314" si="706">X314+W314+V314</f>
        <v>1799.0949600000004</v>
      </c>
      <c r="Z314" s="432"/>
    </row>
    <row r="315" spans="1:26" ht="12.75" customHeight="1" x14ac:dyDescent="0.2">
      <c r="A315" s="30"/>
      <c r="B315" s="30"/>
      <c r="C315" s="30" t="s">
        <v>259</v>
      </c>
      <c r="D315" s="426">
        <v>617</v>
      </c>
      <c r="E315" s="30" t="s">
        <v>361</v>
      </c>
      <c r="F315" s="30" t="s">
        <v>6</v>
      </c>
      <c r="G315" s="34" t="s">
        <v>454</v>
      </c>
      <c r="H315" s="30" t="s">
        <v>461</v>
      </c>
      <c r="I315" s="30" t="s">
        <v>685</v>
      </c>
      <c r="J315" s="34" t="s">
        <v>1477</v>
      </c>
      <c r="K315" s="580">
        <f>31.51*3%</f>
        <v>0.94530000000000003</v>
      </c>
      <c r="L315" s="580">
        <v>2080</v>
      </c>
      <c r="M315" s="580"/>
      <c r="N315" s="580">
        <f t="shared" si="600"/>
        <v>1966.2240000000002</v>
      </c>
      <c r="O315" s="580"/>
      <c r="P315" s="580">
        <f t="shared" si="601"/>
        <v>703.90819199999999</v>
      </c>
      <c r="Q315" s="580">
        <f t="shared" si="636"/>
        <v>28.510248000000004</v>
      </c>
      <c r="R315" s="580">
        <v>0</v>
      </c>
      <c r="S315" s="580"/>
      <c r="T315" s="580"/>
      <c r="U315" s="580"/>
      <c r="V315" s="473">
        <f t="shared" ref="V315" si="707">SUM(N315:U315)</f>
        <v>2698.6424400000001</v>
      </c>
      <c r="W315" s="580">
        <f t="shared" ref="W315" si="708">IF(P315&lt;&gt;"",V315*$W$27,0)</f>
        <v>0</v>
      </c>
      <c r="X315" s="580"/>
      <c r="Y315" s="581">
        <f t="shared" ref="Y315" si="709">X315+W315+V315</f>
        <v>2698.6424400000001</v>
      </c>
      <c r="Z315" s="432"/>
    </row>
    <row r="316" spans="1:26" s="432" customFormat="1" ht="12.75" customHeight="1" x14ac:dyDescent="0.2">
      <c r="A316" s="30">
        <v>160101</v>
      </c>
      <c r="B316" s="30"/>
      <c r="C316" s="30" t="s">
        <v>318</v>
      </c>
      <c r="D316" s="426">
        <v>615</v>
      </c>
      <c r="E316" s="30" t="s">
        <v>354</v>
      </c>
      <c r="F316" s="30" t="s">
        <v>6</v>
      </c>
      <c r="G316" s="34" t="s">
        <v>454</v>
      </c>
      <c r="H316" s="30" t="s">
        <v>461</v>
      </c>
      <c r="I316" s="34" t="s">
        <v>33</v>
      </c>
      <c r="J316" s="34" t="s">
        <v>127</v>
      </c>
      <c r="K316" s="580">
        <v>25.69</v>
      </c>
      <c r="L316" s="580">
        <v>2080</v>
      </c>
      <c r="M316" s="580"/>
      <c r="N316" s="580">
        <f>IF(H316="1",(L316*K316)+(M316*K316),0)</f>
        <v>53435.200000000004</v>
      </c>
      <c r="O316" s="580"/>
      <c r="P316" s="580">
        <f>(N316-(M316*K316))*$P$27</f>
        <v>19129.801600000003</v>
      </c>
      <c r="Q316" s="580">
        <f>N316*$Q$27</f>
        <v>774.81040000000007</v>
      </c>
      <c r="R316" s="580">
        <v>0</v>
      </c>
      <c r="S316" s="580">
        <f>IF(H316="1",2828.52*2,0)</f>
        <v>5657.04</v>
      </c>
      <c r="T316" s="580">
        <f>IF(H316="1",154.92*2,0)</f>
        <v>309.83999999999997</v>
      </c>
      <c r="U316" s="580">
        <f>IF(H316="1",162*2,0)</f>
        <v>324</v>
      </c>
      <c r="V316" s="473">
        <f t="shared" ref="V316" si="710">SUM(N316:U316)</f>
        <v>79630.691999999995</v>
      </c>
      <c r="W316" s="580">
        <f t="shared" ref="W316" si="711">IF(P316&lt;&gt;"",V316*$W$27,0)</f>
        <v>0</v>
      </c>
      <c r="X316" s="580"/>
      <c r="Y316" s="581">
        <f t="shared" ref="Y316" si="712">X316+W316+V316</f>
        <v>79630.691999999995</v>
      </c>
    </row>
    <row r="317" spans="1:26" s="432" customFormat="1" ht="12.75" customHeight="1" x14ac:dyDescent="0.2">
      <c r="A317" s="30">
        <v>114313</v>
      </c>
      <c r="B317" s="30"/>
      <c r="C317" s="30" t="s">
        <v>248</v>
      </c>
      <c r="D317" s="426">
        <v>609</v>
      </c>
      <c r="E317" s="30" t="s">
        <v>325</v>
      </c>
      <c r="F317" s="30" t="s">
        <v>6</v>
      </c>
      <c r="G317" s="34" t="s">
        <v>454</v>
      </c>
      <c r="H317" s="30" t="s">
        <v>461</v>
      </c>
      <c r="I317" s="34" t="s">
        <v>684</v>
      </c>
      <c r="J317" s="34" t="s">
        <v>692</v>
      </c>
      <c r="K317" s="580">
        <v>16.5</v>
      </c>
      <c r="L317" s="580">
        <v>2080</v>
      </c>
      <c r="M317" s="580"/>
      <c r="N317" s="580">
        <f>IF(H317="1",(L317*K317)+(M317*K317),0)</f>
        <v>34320</v>
      </c>
      <c r="O317" s="580"/>
      <c r="P317" s="580">
        <f>(N317-(M317*K317))*$P$27</f>
        <v>12286.56</v>
      </c>
      <c r="Q317" s="580">
        <f>N317*$Q$27</f>
        <v>497.64000000000004</v>
      </c>
      <c r="R317" s="580">
        <v>0</v>
      </c>
      <c r="S317" s="580">
        <v>0</v>
      </c>
      <c r="T317" s="580">
        <v>0</v>
      </c>
      <c r="U317" s="580">
        <v>0</v>
      </c>
      <c r="V317" s="473">
        <f t="shared" ref="V317" si="713">SUM(N317:U317)</f>
        <v>47104.2</v>
      </c>
      <c r="W317" s="580">
        <f t="shared" ref="W317" si="714">IF(P317&lt;&gt;"",V317*$W$27,0)</f>
        <v>0</v>
      </c>
      <c r="X317" s="580"/>
      <c r="Y317" s="581">
        <f t="shared" ref="Y317" si="715">X317+W317+V317</f>
        <v>47104.2</v>
      </c>
    </row>
    <row r="318" spans="1:26" s="432" customFormat="1" ht="12.75" customHeight="1" x14ac:dyDescent="0.2">
      <c r="A318" s="30">
        <v>203328</v>
      </c>
      <c r="B318" s="30"/>
      <c r="C318" s="30" t="s">
        <v>270</v>
      </c>
      <c r="D318" s="426">
        <v>609</v>
      </c>
      <c r="E318" s="30" t="s">
        <v>325</v>
      </c>
      <c r="F318" s="30" t="s">
        <v>6</v>
      </c>
      <c r="G318" s="34" t="s">
        <v>454</v>
      </c>
      <c r="H318" s="30" t="s">
        <v>461</v>
      </c>
      <c r="I318" s="34" t="s">
        <v>37</v>
      </c>
      <c r="J318" s="34" t="s">
        <v>116</v>
      </c>
      <c r="K318" s="580">
        <f>17.33*70%</f>
        <v>12.130999999999998</v>
      </c>
      <c r="L318" s="580">
        <v>2080</v>
      </c>
      <c r="M318" s="580"/>
      <c r="N318" s="580">
        <f>IF(H318="1",(L318*K318)+(M318*K318),0)</f>
        <v>25232.479999999996</v>
      </c>
      <c r="O318" s="580"/>
      <c r="P318" s="580">
        <f>(N318-(M318*K318))*$P$27</f>
        <v>9033.2278399999977</v>
      </c>
      <c r="Q318" s="580">
        <f>N318*$Q$27</f>
        <v>365.87095999999997</v>
      </c>
      <c r="R318" s="580">
        <v>0</v>
      </c>
      <c r="S318" s="580">
        <f>IF(H318="1",3242.52*2,0)</f>
        <v>6485.04</v>
      </c>
      <c r="T318" s="580">
        <f>IF(H318="1",240*2,0)</f>
        <v>480</v>
      </c>
      <c r="U318" s="580">
        <f>IF(H318="1",162*2,0)</f>
        <v>324</v>
      </c>
      <c r="V318" s="473">
        <f t="shared" ref="V318" si="716">SUM(N318:U318)</f>
        <v>41920.618799999997</v>
      </c>
      <c r="W318" s="580">
        <f t="shared" ref="W318" si="717">IF(P318&lt;&gt;"",V318*$W$27,0)</f>
        <v>0</v>
      </c>
      <c r="X318" s="580"/>
      <c r="Y318" s="581">
        <f t="shared" ref="Y318" si="718">X318+W318+V318</f>
        <v>41920.618799999997</v>
      </c>
    </row>
    <row r="319" spans="1:26" ht="12.75" customHeight="1" x14ac:dyDescent="0.2">
      <c r="A319" s="30"/>
      <c r="B319" s="30"/>
      <c r="C319" s="30" t="s">
        <v>270</v>
      </c>
      <c r="D319" s="426">
        <v>609</v>
      </c>
      <c r="E319" s="30" t="s">
        <v>325</v>
      </c>
      <c r="F319" s="30" t="s">
        <v>6</v>
      </c>
      <c r="G319" s="34" t="s">
        <v>454</v>
      </c>
      <c r="H319" s="30" t="s">
        <v>461</v>
      </c>
      <c r="I319" s="34" t="s">
        <v>37</v>
      </c>
      <c r="J319" s="34" t="s">
        <v>143</v>
      </c>
      <c r="K319" s="580">
        <f>17.33*23%</f>
        <v>3.9859</v>
      </c>
      <c r="L319" s="580">
        <v>2080</v>
      </c>
      <c r="M319" s="580"/>
      <c r="N319" s="580">
        <f t="shared" ref="N319:N342" si="719">IF(H319="1",(L319*K319)+(M319*K319),0)</f>
        <v>8290.6720000000005</v>
      </c>
      <c r="O319" s="580"/>
      <c r="P319" s="580">
        <f t="shared" ref="P319:P321" si="720">(N319-(M319*K319))*$P$27</f>
        <v>2968.0605759999999</v>
      </c>
      <c r="Q319" s="580">
        <f t="shared" ref="Q319:Q342" si="721">N319*$Q$27</f>
        <v>120.21474400000001</v>
      </c>
      <c r="R319" s="580">
        <v>0</v>
      </c>
      <c r="S319" s="580"/>
      <c r="T319" s="580"/>
      <c r="U319" s="580"/>
      <c r="V319" s="473">
        <f t="shared" ref="V319" si="722">SUM(N319:U319)</f>
        <v>11378.947320000001</v>
      </c>
      <c r="W319" s="580">
        <f t="shared" ref="W319" si="723">IF(P319&lt;&gt;"",V319*$W$27,0)</f>
        <v>0</v>
      </c>
      <c r="X319" s="580"/>
      <c r="Y319" s="581">
        <f t="shared" ref="Y319" si="724">X319+W319+V319</f>
        <v>11378.947320000001</v>
      </c>
      <c r="Z319" s="432"/>
    </row>
    <row r="320" spans="1:26" s="432" customFormat="1" ht="12.75" customHeight="1" x14ac:dyDescent="0.2">
      <c r="A320" s="30"/>
      <c r="B320" s="30"/>
      <c r="C320" s="30" t="s">
        <v>270</v>
      </c>
      <c r="D320" s="426">
        <v>609</v>
      </c>
      <c r="E320" s="30" t="s">
        <v>325</v>
      </c>
      <c r="F320" s="30" t="s">
        <v>6</v>
      </c>
      <c r="G320" s="34" t="s">
        <v>454</v>
      </c>
      <c r="H320" s="30" t="s">
        <v>461</v>
      </c>
      <c r="I320" s="34" t="s">
        <v>37</v>
      </c>
      <c r="J320" s="34" t="s">
        <v>124</v>
      </c>
      <c r="K320" s="580">
        <f>17.33*5%</f>
        <v>0.86649999999999994</v>
      </c>
      <c r="L320" s="580">
        <v>2080</v>
      </c>
      <c r="M320" s="580"/>
      <c r="N320" s="580">
        <f t="shared" si="719"/>
        <v>1802.32</v>
      </c>
      <c r="O320" s="580"/>
      <c r="P320" s="580">
        <f t="shared" si="720"/>
        <v>645.23055999999997</v>
      </c>
      <c r="Q320" s="580">
        <f t="shared" si="721"/>
        <v>26.13364</v>
      </c>
      <c r="R320" s="580">
        <v>0</v>
      </c>
      <c r="S320" s="580"/>
      <c r="T320" s="580"/>
      <c r="U320" s="580"/>
      <c r="V320" s="473">
        <f t="shared" ref="V320" si="725">SUM(N320:U320)</f>
        <v>2473.6841999999997</v>
      </c>
      <c r="W320" s="580">
        <f t="shared" ref="W320" si="726">IF(P320&lt;&gt;"",V320*$W$27,0)</f>
        <v>0</v>
      </c>
      <c r="X320" s="580"/>
      <c r="Y320" s="581">
        <f t="shared" ref="Y320" si="727">X320+W320+V320</f>
        <v>2473.6841999999997</v>
      </c>
    </row>
    <row r="321" spans="1:26" s="432" customFormat="1" ht="12.75" customHeight="1" x14ac:dyDescent="0.2">
      <c r="A321" s="30"/>
      <c r="B321" s="30"/>
      <c r="C321" s="30" t="s">
        <v>270</v>
      </c>
      <c r="D321" s="426">
        <v>609</v>
      </c>
      <c r="E321" s="30" t="s">
        <v>325</v>
      </c>
      <c r="F321" s="30" t="s">
        <v>6</v>
      </c>
      <c r="G321" s="34" t="s">
        <v>454</v>
      </c>
      <c r="H321" s="30" t="s">
        <v>461</v>
      </c>
      <c r="I321" s="34" t="s">
        <v>37</v>
      </c>
      <c r="J321" s="34" t="s">
        <v>127</v>
      </c>
      <c r="K321" s="580">
        <f>17.33*2%</f>
        <v>0.34659999999999996</v>
      </c>
      <c r="L321" s="580">
        <v>2080</v>
      </c>
      <c r="M321" s="580"/>
      <c r="N321" s="580">
        <f t="shared" si="719"/>
        <v>720.92799999999988</v>
      </c>
      <c r="O321" s="580"/>
      <c r="P321" s="580">
        <f t="shared" si="720"/>
        <v>258.09222399999993</v>
      </c>
      <c r="Q321" s="580">
        <f t="shared" si="721"/>
        <v>10.453455999999999</v>
      </c>
      <c r="R321" s="580">
        <v>0</v>
      </c>
      <c r="S321" s="580"/>
      <c r="T321" s="580"/>
      <c r="U321" s="580"/>
      <c r="V321" s="473">
        <f t="shared" ref="V321" si="728">SUM(N321:U321)</f>
        <v>989.47367999999983</v>
      </c>
      <c r="W321" s="580">
        <f t="shared" ref="W321" si="729">IF(P321&lt;&gt;"",V321*$W$27,0)</f>
        <v>0</v>
      </c>
      <c r="X321" s="580"/>
      <c r="Y321" s="581">
        <f t="shared" ref="Y321" si="730">X321+W321+V321</f>
        <v>989.47367999999983</v>
      </c>
    </row>
    <row r="322" spans="1:26" s="432" customFormat="1" ht="12.75" customHeight="1" x14ac:dyDescent="0.2">
      <c r="A322" s="30">
        <v>282758</v>
      </c>
      <c r="B322" s="30"/>
      <c r="C322" s="30" t="s">
        <v>321</v>
      </c>
      <c r="D322" s="426">
        <v>615</v>
      </c>
      <c r="E322" s="30" t="s">
        <v>354</v>
      </c>
      <c r="F322" s="30" t="s">
        <v>6</v>
      </c>
      <c r="G322" s="34" t="s">
        <v>454</v>
      </c>
      <c r="H322" s="30" t="s">
        <v>461</v>
      </c>
      <c r="I322" s="34" t="s">
        <v>775</v>
      </c>
      <c r="J322" s="34" t="s">
        <v>145</v>
      </c>
      <c r="K322" s="580">
        <f>24*20%</f>
        <v>4.8000000000000007</v>
      </c>
      <c r="L322" s="580">
        <v>2080</v>
      </c>
      <c r="M322" s="580"/>
      <c r="N322" s="580">
        <f t="shared" si="719"/>
        <v>9984.0000000000018</v>
      </c>
      <c r="O322" s="580"/>
      <c r="P322" s="580">
        <f>(N322-(M322*K322))*$P$27</f>
        <v>3574.2720000000004</v>
      </c>
      <c r="Q322" s="580">
        <f t="shared" si="721"/>
        <v>144.76800000000003</v>
      </c>
      <c r="R322" s="580">
        <v>0</v>
      </c>
      <c r="S322" s="580">
        <f>IF(H322="1",2828.52*2,0)</f>
        <v>5657.04</v>
      </c>
      <c r="T322" s="580">
        <f>IF(H322="1",127.2*2,0)</f>
        <v>254.4</v>
      </c>
      <c r="U322" s="580">
        <f>IF(H322="1",16.2*2,0)</f>
        <v>32.4</v>
      </c>
      <c r="V322" s="473">
        <f t="shared" ref="V322" si="731">SUM(N322:U322)</f>
        <v>19646.880000000005</v>
      </c>
      <c r="W322" s="580">
        <f t="shared" ref="W322" si="732">IF(P322&lt;&gt;"",V322*$W$27,0)</f>
        <v>0</v>
      </c>
      <c r="X322" s="580"/>
      <c r="Y322" s="581">
        <f t="shared" ref="Y322" si="733">X322+W322+V322</f>
        <v>19646.880000000005</v>
      </c>
    </row>
    <row r="323" spans="1:26" s="432" customFormat="1" ht="12.75" customHeight="1" x14ac:dyDescent="0.2">
      <c r="A323" s="30"/>
      <c r="B323" s="30"/>
      <c r="C323" s="30" t="s">
        <v>321</v>
      </c>
      <c r="D323" s="426">
        <v>615</v>
      </c>
      <c r="E323" s="30" t="s">
        <v>354</v>
      </c>
      <c r="F323" s="30" t="s">
        <v>6</v>
      </c>
      <c r="G323" s="34" t="s">
        <v>454</v>
      </c>
      <c r="H323" s="30" t="s">
        <v>461</v>
      </c>
      <c r="I323" s="34" t="s">
        <v>775</v>
      </c>
      <c r="J323" s="34" t="s">
        <v>151</v>
      </c>
      <c r="K323" s="580">
        <f>24*6%</f>
        <v>1.44</v>
      </c>
      <c r="L323" s="580">
        <v>2080</v>
      </c>
      <c r="M323" s="580"/>
      <c r="N323" s="580">
        <f t="shared" si="719"/>
        <v>2995.2</v>
      </c>
      <c r="O323" s="580"/>
      <c r="P323" s="580">
        <f t="shared" ref="P323:P329" si="734">(N323-(M323*K323))*$P$27</f>
        <v>1072.2815999999998</v>
      </c>
      <c r="Q323" s="580">
        <f t="shared" si="721"/>
        <v>43.430399999999999</v>
      </c>
      <c r="R323" s="580">
        <v>0</v>
      </c>
      <c r="S323" s="580"/>
      <c r="T323" s="580"/>
      <c r="U323" s="580"/>
      <c r="V323" s="473">
        <f t="shared" ref="V323" si="735">SUM(N323:U323)</f>
        <v>4110.9119999999994</v>
      </c>
      <c r="W323" s="580">
        <f t="shared" ref="W323" si="736">IF(P323&lt;&gt;"",V323*$W$27,0)</f>
        <v>0</v>
      </c>
      <c r="X323" s="580"/>
      <c r="Y323" s="581">
        <f t="shared" ref="Y323" si="737">X323+W323+V323</f>
        <v>4110.9119999999994</v>
      </c>
    </row>
    <row r="324" spans="1:26" s="432" customFormat="1" ht="12.75" customHeight="1" x14ac:dyDescent="0.2">
      <c r="A324" s="30"/>
      <c r="B324" s="30"/>
      <c r="C324" s="30" t="s">
        <v>321</v>
      </c>
      <c r="D324" s="426">
        <v>615</v>
      </c>
      <c r="E324" s="30" t="s">
        <v>354</v>
      </c>
      <c r="F324" s="30" t="s">
        <v>6</v>
      </c>
      <c r="G324" s="34" t="s">
        <v>454</v>
      </c>
      <c r="H324" s="30" t="s">
        <v>461</v>
      </c>
      <c r="I324" s="34" t="s">
        <v>775</v>
      </c>
      <c r="J324" s="34" t="s">
        <v>154</v>
      </c>
      <c r="K324" s="580">
        <f>24*8%</f>
        <v>1.92</v>
      </c>
      <c r="L324" s="580">
        <v>2080</v>
      </c>
      <c r="M324" s="580"/>
      <c r="N324" s="580">
        <f t="shared" si="719"/>
        <v>3993.6</v>
      </c>
      <c r="O324" s="580"/>
      <c r="P324" s="580">
        <f t="shared" si="734"/>
        <v>1429.7087999999999</v>
      </c>
      <c r="Q324" s="580">
        <f t="shared" si="721"/>
        <v>57.907200000000003</v>
      </c>
      <c r="R324" s="580">
        <v>0</v>
      </c>
      <c r="S324" s="580"/>
      <c r="T324" s="580"/>
      <c r="U324" s="580"/>
      <c r="V324" s="473">
        <f t="shared" ref="V324" si="738">SUM(N324:U324)</f>
        <v>5481.2159999999994</v>
      </c>
      <c r="W324" s="580">
        <f t="shared" ref="W324" si="739">IF(P324&lt;&gt;"",V324*$W$27,0)</f>
        <v>0</v>
      </c>
      <c r="X324" s="580"/>
      <c r="Y324" s="581">
        <f t="shared" ref="Y324" si="740">X324+W324+V324</f>
        <v>5481.2159999999994</v>
      </c>
    </row>
    <row r="325" spans="1:26" s="432" customFormat="1" ht="12.75" customHeight="1" x14ac:dyDescent="0.2">
      <c r="A325" s="30"/>
      <c r="B325" s="30"/>
      <c r="C325" s="30" t="s">
        <v>321</v>
      </c>
      <c r="D325" s="426">
        <v>615</v>
      </c>
      <c r="E325" s="30" t="s">
        <v>354</v>
      </c>
      <c r="F325" s="30" t="s">
        <v>6</v>
      </c>
      <c r="G325" s="34" t="s">
        <v>454</v>
      </c>
      <c r="H325" s="30" t="s">
        <v>461</v>
      </c>
      <c r="I325" s="34" t="s">
        <v>775</v>
      </c>
      <c r="J325" s="34" t="s">
        <v>149</v>
      </c>
      <c r="K325" s="580">
        <f t="shared" ref="K325:K326" si="741">24*8%</f>
        <v>1.92</v>
      </c>
      <c r="L325" s="580">
        <v>2080</v>
      </c>
      <c r="M325" s="580"/>
      <c r="N325" s="580">
        <f t="shared" si="719"/>
        <v>3993.6</v>
      </c>
      <c r="O325" s="580"/>
      <c r="P325" s="580">
        <f t="shared" si="734"/>
        <v>1429.7087999999999</v>
      </c>
      <c r="Q325" s="580">
        <f t="shared" si="721"/>
        <v>57.907200000000003</v>
      </c>
      <c r="R325" s="580">
        <v>0</v>
      </c>
      <c r="S325" s="580"/>
      <c r="T325" s="580"/>
      <c r="U325" s="580"/>
      <c r="V325" s="473">
        <f t="shared" ref="V325" si="742">SUM(N325:U325)</f>
        <v>5481.2159999999994</v>
      </c>
      <c r="W325" s="580">
        <f t="shared" ref="W325" si="743">IF(P325&lt;&gt;"",V325*$W$27,0)</f>
        <v>0</v>
      </c>
      <c r="X325" s="580"/>
      <c r="Y325" s="581">
        <f t="shared" ref="Y325" si="744">X325+W325+V325</f>
        <v>5481.2159999999994</v>
      </c>
    </row>
    <row r="326" spans="1:26" s="432" customFormat="1" ht="12.75" customHeight="1" x14ac:dyDescent="0.2">
      <c r="A326" s="30"/>
      <c r="B326" s="30"/>
      <c r="C326" s="30" t="s">
        <v>321</v>
      </c>
      <c r="D326" s="426">
        <v>615</v>
      </c>
      <c r="E326" s="30" t="s">
        <v>354</v>
      </c>
      <c r="F326" s="30" t="s">
        <v>6</v>
      </c>
      <c r="G326" s="34" t="s">
        <v>454</v>
      </c>
      <c r="H326" s="30" t="s">
        <v>461</v>
      </c>
      <c r="I326" s="34" t="s">
        <v>775</v>
      </c>
      <c r="J326" s="34" t="s">
        <v>152</v>
      </c>
      <c r="K326" s="580">
        <f t="shared" si="741"/>
        <v>1.92</v>
      </c>
      <c r="L326" s="580">
        <v>2080</v>
      </c>
      <c r="M326" s="580"/>
      <c r="N326" s="580">
        <f t="shared" si="719"/>
        <v>3993.6</v>
      </c>
      <c r="O326" s="580"/>
      <c r="P326" s="580">
        <f t="shared" si="734"/>
        <v>1429.7087999999999</v>
      </c>
      <c r="Q326" s="580">
        <f t="shared" si="721"/>
        <v>57.907200000000003</v>
      </c>
      <c r="R326" s="580">
        <v>0</v>
      </c>
      <c r="S326" s="580"/>
      <c r="T326" s="580"/>
      <c r="U326" s="580"/>
      <c r="V326" s="473">
        <f t="shared" ref="V326" si="745">SUM(N326:U326)</f>
        <v>5481.2159999999994</v>
      </c>
      <c r="W326" s="580">
        <f t="shared" ref="W326" si="746">IF(P326&lt;&gt;"",V326*$W$27,0)</f>
        <v>0</v>
      </c>
      <c r="X326" s="580"/>
      <c r="Y326" s="581">
        <f t="shared" ref="Y326" si="747">X326+W326+V326</f>
        <v>5481.2159999999994</v>
      </c>
    </row>
    <row r="327" spans="1:26" ht="12.75" customHeight="1" x14ac:dyDescent="0.2">
      <c r="A327" s="30"/>
      <c r="B327" s="30"/>
      <c r="C327" s="30" t="s">
        <v>321</v>
      </c>
      <c r="D327" s="426">
        <v>615</v>
      </c>
      <c r="E327" s="30" t="s">
        <v>354</v>
      </c>
      <c r="F327" s="30" t="s">
        <v>6</v>
      </c>
      <c r="G327" s="34" t="s">
        <v>454</v>
      </c>
      <c r="H327" s="30" t="s">
        <v>461</v>
      </c>
      <c r="I327" s="34" t="s">
        <v>775</v>
      </c>
      <c r="J327" s="34" t="s">
        <v>157</v>
      </c>
      <c r="K327" s="580">
        <f>24*5%</f>
        <v>1.2000000000000002</v>
      </c>
      <c r="L327" s="580">
        <v>2080</v>
      </c>
      <c r="M327" s="580"/>
      <c r="N327" s="580">
        <f t="shared" si="719"/>
        <v>2496.0000000000005</v>
      </c>
      <c r="O327" s="580"/>
      <c r="P327" s="580">
        <f t="shared" si="734"/>
        <v>893.5680000000001</v>
      </c>
      <c r="Q327" s="580">
        <f t="shared" si="721"/>
        <v>36.192000000000007</v>
      </c>
      <c r="R327" s="580">
        <v>0</v>
      </c>
      <c r="S327" s="580"/>
      <c r="T327" s="580"/>
      <c r="U327" s="580"/>
      <c r="V327" s="473">
        <f t="shared" ref="V327" si="748">SUM(N327:U327)</f>
        <v>3425.7600000000007</v>
      </c>
      <c r="W327" s="580">
        <f t="shared" ref="W327" si="749">IF(P327&lt;&gt;"",V327*$W$27,0)</f>
        <v>0</v>
      </c>
      <c r="X327" s="580"/>
      <c r="Y327" s="581">
        <f t="shared" ref="Y327" si="750">X327+W327+V327</f>
        <v>3425.7600000000007</v>
      </c>
      <c r="Z327" s="432"/>
    </row>
    <row r="328" spans="1:26" s="432" customFormat="1" ht="12.75" customHeight="1" x14ac:dyDescent="0.2">
      <c r="A328" s="30"/>
      <c r="B328" s="30"/>
      <c r="C328" s="30" t="s">
        <v>321</v>
      </c>
      <c r="D328" s="426">
        <v>615</v>
      </c>
      <c r="E328" s="30" t="s">
        <v>354</v>
      </c>
      <c r="F328" s="30" t="s">
        <v>6</v>
      </c>
      <c r="G328" s="34" t="s">
        <v>454</v>
      </c>
      <c r="H328" s="30" t="s">
        <v>461</v>
      </c>
      <c r="I328" s="34" t="s">
        <v>775</v>
      </c>
      <c r="J328" s="34" t="s">
        <v>158</v>
      </c>
      <c r="K328" s="580">
        <f>24*5%</f>
        <v>1.2000000000000002</v>
      </c>
      <c r="L328" s="580">
        <v>2080</v>
      </c>
      <c r="M328" s="580"/>
      <c r="N328" s="580">
        <f t="shared" si="719"/>
        <v>2496.0000000000005</v>
      </c>
      <c r="O328" s="580"/>
      <c r="P328" s="580">
        <f t="shared" si="734"/>
        <v>893.5680000000001</v>
      </c>
      <c r="Q328" s="580">
        <f t="shared" si="721"/>
        <v>36.192000000000007</v>
      </c>
      <c r="R328" s="580">
        <v>0</v>
      </c>
      <c r="S328" s="580"/>
      <c r="T328" s="580"/>
      <c r="U328" s="580"/>
      <c r="V328" s="473">
        <f t="shared" ref="V328" si="751">SUM(N328:U328)</f>
        <v>3425.7600000000007</v>
      </c>
      <c r="W328" s="580">
        <f t="shared" ref="W328" si="752">IF(P328&lt;&gt;"",V328*$W$27,0)</f>
        <v>0</v>
      </c>
      <c r="X328" s="580"/>
      <c r="Y328" s="581">
        <f t="shared" ref="Y328" si="753">X328+W328+V328</f>
        <v>3425.7600000000007</v>
      </c>
    </row>
    <row r="329" spans="1:26" ht="12.75" customHeight="1" x14ac:dyDescent="0.2">
      <c r="A329" s="30"/>
      <c r="B329" s="30"/>
      <c r="C329" s="30" t="s">
        <v>321</v>
      </c>
      <c r="D329" s="426">
        <v>615</v>
      </c>
      <c r="E329" s="30" t="s">
        <v>354</v>
      </c>
      <c r="F329" s="30" t="s">
        <v>6</v>
      </c>
      <c r="G329" s="34" t="s">
        <v>454</v>
      </c>
      <c r="H329" s="30" t="s">
        <v>461</v>
      </c>
      <c r="I329" s="34" t="s">
        <v>775</v>
      </c>
      <c r="J329" s="34" t="s">
        <v>125</v>
      </c>
      <c r="K329" s="580">
        <f>24*40%</f>
        <v>9.6000000000000014</v>
      </c>
      <c r="L329" s="580">
        <v>2080</v>
      </c>
      <c r="M329" s="580"/>
      <c r="N329" s="580">
        <f t="shared" si="719"/>
        <v>19968.000000000004</v>
      </c>
      <c r="O329" s="580"/>
      <c r="P329" s="580">
        <f t="shared" si="734"/>
        <v>7148.5440000000008</v>
      </c>
      <c r="Q329" s="580">
        <f t="shared" si="721"/>
        <v>289.53600000000006</v>
      </c>
      <c r="R329" s="580">
        <v>0</v>
      </c>
      <c r="S329" s="580"/>
      <c r="T329" s="580"/>
      <c r="U329" s="580"/>
      <c r="V329" s="473">
        <f t="shared" ref="V329" si="754">SUM(N329:U329)</f>
        <v>27406.080000000005</v>
      </c>
      <c r="W329" s="580">
        <f t="shared" ref="W329" si="755">IF(P329&lt;&gt;"",V329*$W$27,0)</f>
        <v>0</v>
      </c>
      <c r="X329" s="580"/>
      <c r="Y329" s="581">
        <f t="shared" ref="Y329" si="756">X329+W329+V329</f>
        <v>27406.080000000005</v>
      </c>
      <c r="Z329" s="432"/>
    </row>
    <row r="330" spans="1:26" x14ac:dyDescent="0.2">
      <c r="A330" s="30">
        <v>209491</v>
      </c>
      <c r="B330" s="30"/>
      <c r="C330" s="30" t="s">
        <v>221</v>
      </c>
      <c r="D330" s="426">
        <v>615</v>
      </c>
      <c r="E330" s="30" t="s">
        <v>328</v>
      </c>
      <c r="F330" s="30" t="s">
        <v>6</v>
      </c>
      <c r="G330" s="34" t="s">
        <v>454</v>
      </c>
      <c r="H330" s="30" t="s">
        <v>461</v>
      </c>
      <c r="I330" s="34" t="s">
        <v>28</v>
      </c>
      <c r="J330" s="34" t="s">
        <v>692</v>
      </c>
      <c r="K330" s="580">
        <f>28.87*97%</f>
        <v>28.003900000000002</v>
      </c>
      <c r="L330" s="580">
        <v>2080</v>
      </c>
      <c r="M330" s="580"/>
      <c r="N330" s="580">
        <f t="shared" si="719"/>
        <v>58248.112000000001</v>
      </c>
      <c r="O330" s="580"/>
      <c r="P330" s="580">
        <f>(N330-(M330*K330))*$P$27</f>
        <v>20852.824096</v>
      </c>
      <c r="Q330" s="580">
        <f t="shared" si="721"/>
        <v>844.59762400000011</v>
      </c>
      <c r="R330" s="580">
        <v>0</v>
      </c>
      <c r="S330" s="580">
        <f>IF(H330="1",3242.52*2,0)</f>
        <v>6485.04</v>
      </c>
      <c r="T330" s="580">
        <v>0</v>
      </c>
      <c r="U330" s="580">
        <v>0</v>
      </c>
      <c r="V330" s="473">
        <f t="shared" ref="V330" si="757">SUM(N330:U330)</f>
        <v>86430.57372</v>
      </c>
      <c r="W330" s="580">
        <f t="shared" ref="W330" si="758">IF(P330&lt;&gt;"",V330*$W$27,0)</f>
        <v>0</v>
      </c>
      <c r="X330" s="580"/>
      <c r="Y330" s="581">
        <f t="shared" ref="Y330" si="759">X330+W330+V330</f>
        <v>86430.57372</v>
      </c>
      <c r="Z330" s="432"/>
    </row>
    <row r="331" spans="1:26" ht="12.75" customHeight="1" x14ac:dyDescent="0.2">
      <c r="A331" s="30"/>
      <c r="B331" s="30"/>
      <c r="C331" s="30" t="s">
        <v>221</v>
      </c>
      <c r="D331" s="426">
        <v>615</v>
      </c>
      <c r="E331" s="30" t="s">
        <v>328</v>
      </c>
      <c r="F331" s="30" t="s">
        <v>6</v>
      </c>
      <c r="G331" s="34" t="s">
        <v>454</v>
      </c>
      <c r="H331" s="30" t="s">
        <v>461</v>
      </c>
      <c r="I331" s="34" t="s">
        <v>28</v>
      </c>
      <c r="J331" s="34" t="s">
        <v>116</v>
      </c>
      <c r="K331" s="580">
        <f>28.87*3%</f>
        <v>0.86609999999999998</v>
      </c>
      <c r="L331" s="580">
        <v>2080</v>
      </c>
      <c r="M331" s="580"/>
      <c r="N331" s="580">
        <f t="shared" si="719"/>
        <v>1801.4880000000001</v>
      </c>
      <c r="O331" s="580"/>
      <c r="P331" s="580">
        <f>(N331-(M331*K331))*$P$27</f>
        <v>644.93270399999994</v>
      </c>
      <c r="Q331" s="580">
        <f t="shared" si="721"/>
        <v>26.121576000000001</v>
      </c>
      <c r="R331" s="580">
        <v>0</v>
      </c>
      <c r="S331" s="580"/>
      <c r="T331" s="580"/>
      <c r="U331" s="580"/>
      <c r="V331" s="473">
        <f t="shared" ref="V331" si="760">SUM(N331:U331)</f>
        <v>2472.5422800000001</v>
      </c>
      <c r="W331" s="580">
        <f t="shared" ref="W331:W394" si="761">IF(P331&lt;&gt;"",V331*$W$27,0)</f>
        <v>0</v>
      </c>
      <c r="X331" s="580"/>
      <c r="Y331" s="581">
        <f t="shared" ref="Y331:Y394" si="762">X331+W331+V331</f>
        <v>2472.5422800000001</v>
      </c>
      <c r="Z331" s="432"/>
    </row>
    <row r="332" spans="1:26" ht="12.75" customHeight="1" x14ac:dyDescent="0.2">
      <c r="A332" s="30">
        <v>297668</v>
      </c>
      <c r="B332" s="30"/>
      <c r="C332" s="34" t="s">
        <v>1418</v>
      </c>
      <c r="D332" s="426" t="s">
        <v>333</v>
      </c>
      <c r="E332" s="30" t="s">
        <v>747</v>
      </c>
      <c r="F332" s="34" t="s">
        <v>453</v>
      </c>
      <c r="G332" s="34" t="s">
        <v>792</v>
      </c>
      <c r="H332" s="30" t="s">
        <v>461</v>
      </c>
      <c r="I332" s="34" t="s">
        <v>27</v>
      </c>
      <c r="J332" s="34" t="s">
        <v>62</v>
      </c>
      <c r="K332" s="580">
        <v>50</v>
      </c>
      <c r="L332" s="580">
        <v>18</v>
      </c>
      <c r="M332" s="580"/>
      <c r="N332" s="580">
        <f t="shared" si="719"/>
        <v>900</v>
      </c>
      <c r="O332" s="580"/>
      <c r="P332" s="580">
        <v>0</v>
      </c>
      <c r="Q332" s="580">
        <f t="shared" si="721"/>
        <v>13.05</v>
      </c>
      <c r="R332" s="580">
        <f>N332*$R$27</f>
        <v>55.8</v>
      </c>
      <c r="S332" s="580">
        <v>0</v>
      </c>
      <c r="T332" s="580"/>
      <c r="U332" s="580"/>
      <c r="V332" s="473">
        <f t="shared" ref="V332" si="763">SUM(N332:U332)</f>
        <v>968.84999999999991</v>
      </c>
      <c r="W332" s="580">
        <f t="shared" si="761"/>
        <v>0</v>
      </c>
      <c r="X332" s="580"/>
      <c r="Y332" s="581">
        <f t="shared" si="762"/>
        <v>968.84999999999991</v>
      </c>
      <c r="Z332" s="432"/>
    </row>
    <row r="333" spans="1:26" s="432" customFormat="1" ht="12.75" customHeight="1" x14ac:dyDescent="0.2">
      <c r="A333" s="30"/>
      <c r="B333" s="30"/>
      <c r="C333" s="30" t="s">
        <v>724</v>
      </c>
      <c r="D333" s="426"/>
      <c r="E333" s="30"/>
      <c r="F333" s="30"/>
      <c r="G333" s="30"/>
      <c r="H333" s="582" t="s">
        <v>461</v>
      </c>
      <c r="I333" s="34" t="s">
        <v>29</v>
      </c>
      <c r="J333" s="34" t="s">
        <v>692</v>
      </c>
      <c r="K333" s="580">
        <v>0</v>
      </c>
      <c r="L333" s="580">
        <v>0</v>
      </c>
      <c r="M333" s="580"/>
      <c r="N333" s="580">
        <f t="shared" si="719"/>
        <v>0</v>
      </c>
      <c r="O333" s="580"/>
      <c r="P333" s="580">
        <f>(N333-(M333*K333))*$P$27</f>
        <v>0</v>
      </c>
      <c r="Q333" s="580">
        <f t="shared" si="721"/>
        <v>0</v>
      </c>
      <c r="R333" s="580">
        <f>N333*$R$27</f>
        <v>0</v>
      </c>
      <c r="S333" s="580">
        <f>(13300*12)-6364.8</f>
        <v>153235.20000000001</v>
      </c>
      <c r="T333" s="580">
        <v>0</v>
      </c>
      <c r="U333" s="580">
        <v>6364.8</v>
      </c>
      <c r="V333" s="473">
        <f t="shared" ref="V333" si="764">SUM(N333:U333)</f>
        <v>159600</v>
      </c>
      <c r="W333" s="580">
        <f t="shared" si="761"/>
        <v>0</v>
      </c>
      <c r="X333" s="580"/>
      <c r="Y333" s="581">
        <f t="shared" si="762"/>
        <v>159600</v>
      </c>
    </row>
    <row r="334" spans="1:26" s="432" customFormat="1" ht="12.75" customHeight="1" x14ac:dyDescent="0.2">
      <c r="A334" s="30">
        <v>183945</v>
      </c>
      <c r="B334" s="30"/>
      <c r="C334" s="30" t="s">
        <v>249</v>
      </c>
      <c r="D334" s="426" t="s">
        <v>351</v>
      </c>
      <c r="E334" s="30" t="s">
        <v>352</v>
      </c>
      <c r="F334" s="34" t="s">
        <v>6</v>
      </c>
      <c r="G334" s="34" t="s">
        <v>454</v>
      </c>
      <c r="H334" s="30" t="s">
        <v>461</v>
      </c>
      <c r="I334" s="34" t="s">
        <v>684</v>
      </c>
      <c r="J334" s="34" t="s">
        <v>692</v>
      </c>
      <c r="K334" s="580">
        <v>15.92</v>
      </c>
      <c r="L334" s="580">
        <v>2080</v>
      </c>
      <c r="M334" s="580"/>
      <c r="N334" s="580">
        <f t="shared" si="719"/>
        <v>33113.599999999999</v>
      </c>
      <c r="O334" s="580"/>
      <c r="P334" s="580">
        <f>(N334-(M334*K334))*$P$27</f>
        <v>11854.668799999999</v>
      </c>
      <c r="Q334" s="580">
        <f t="shared" si="721"/>
        <v>480.1472</v>
      </c>
      <c r="R334" s="580">
        <v>0</v>
      </c>
      <c r="S334" s="580">
        <f>IF(H334="1",2828.52*2,0)</f>
        <v>5657.04</v>
      </c>
      <c r="T334" s="580">
        <f>IF(H334="1",127.2*2,0)</f>
        <v>254.4</v>
      </c>
      <c r="U334" s="580">
        <v>0</v>
      </c>
      <c r="V334" s="473">
        <f t="shared" ref="V334" si="765">SUM(N334:U334)</f>
        <v>51359.856</v>
      </c>
      <c r="W334" s="580">
        <f t="shared" si="761"/>
        <v>0</v>
      </c>
      <c r="X334" s="580"/>
      <c r="Y334" s="581">
        <f t="shared" si="762"/>
        <v>51359.856</v>
      </c>
    </row>
    <row r="335" spans="1:26" s="432" customFormat="1" ht="12.75" customHeight="1" x14ac:dyDescent="0.2">
      <c r="A335" s="30">
        <v>196312</v>
      </c>
      <c r="B335" s="30"/>
      <c r="C335" s="30" t="s">
        <v>222</v>
      </c>
      <c r="D335" s="426">
        <v>615</v>
      </c>
      <c r="E335" s="30" t="s">
        <v>328</v>
      </c>
      <c r="F335" s="30" t="s">
        <v>6</v>
      </c>
      <c r="G335" s="34" t="s">
        <v>454</v>
      </c>
      <c r="H335" s="30" t="s">
        <v>461</v>
      </c>
      <c r="I335" s="34" t="s">
        <v>28</v>
      </c>
      <c r="J335" s="34" t="s">
        <v>121</v>
      </c>
      <c r="K335" s="580">
        <f>29.92*40%</f>
        <v>11.968000000000002</v>
      </c>
      <c r="L335" s="580">
        <v>2080</v>
      </c>
      <c r="M335" s="580"/>
      <c r="N335" s="580">
        <f t="shared" si="719"/>
        <v>24893.440000000002</v>
      </c>
      <c r="O335" s="580"/>
      <c r="P335" s="580">
        <f>(N335-(M335*K335))*$P$27</f>
        <v>8911.8515200000002</v>
      </c>
      <c r="Q335" s="580">
        <f t="shared" si="721"/>
        <v>360.95488000000006</v>
      </c>
      <c r="R335" s="580">
        <v>0</v>
      </c>
      <c r="S335" s="580">
        <f>IF(H335="1",3242.52*2,0)</f>
        <v>6485.04</v>
      </c>
      <c r="T335" s="580">
        <f>IF(H335="1",276.36*2,0)</f>
        <v>552.72</v>
      </c>
      <c r="U335" s="580">
        <f>IF(H335="1",162*2,0)</f>
        <v>324</v>
      </c>
      <c r="V335" s="473">
        <f t="shared" ref="V335" si="766">SUM(N335:U335)</f>
        <v>41528.006399999998</v>
      </c>
      <c r="W335" s="580">
        <f t="shared" si="761"/>
        <v>0</v>
      </c>
      <c r="X335" s="580"/>
      <c r="Y335" s="581">
        <f t="shared" si="762"/>
        <v>41528.006399999998</v>
      </c>
    </row>
    <row r="336" spans="1:26" s="432" customFormat="1" ht="12.75" customHeight="1" x14ac:dyDescent="0.2">
      <c r="A336" s="30"/>
      <c r="B336" s="30"/>
      <c r="C336" s="30" t="s">
        <v>222</v>
      </c>
      <c r="D336" s="426">
        <v>615</v>
      </c>
      <c r="E336" s="30" t="s">
        <v>328</v>
      </c>
      <c r="F336" s="30" t="s">
        <v>6</v>
      </c>
      <c r="G336" s="34" t="s">
        <v>454</v>
      </c>
      <c r="H336" s="30" t="s">
        <v>461</v>
      </c>
      <c r="I336" s="34" t="s">
        <v>28</v>
      </c>
      <c r="J336" s="34" t="s">
        <v>126</v>
      </c>
      <c r="K336" s="580">
        <f>29.92*15%</f>
        <v>4.4880000000000004</v>
      </c>
      <c r="L336" s="580">
        <v>2080</v>
      </c>
      <c r="M336" s="580"/>
      <c r="N336" s="580">
        <f t="shared" si="719"/>
        <v>9335.0400000000009</v>
      </c>
      <c r="O336" s="580"/>
      <c r="P336" s="580">
        <f t="shared" ref="P336:P342" si="767">(N336-(M336*K336))*$P$27</f>
        <v>3341.9443200000001</v>
      </c>
      <c r="Q336" s="580">
        <f t="shared" si="721"/>
        <v>135.35808000000003</v>
      </c>
      <c r="R336" s="580">
        <v>0</v>
      </c>
      <c r="S336" s="580"/>
      <c r="T336" s="580"/>
      <c r="U336" s="580"/>
      <c r="V336" s="473">
        <f t="shared" ref="V336" si="768">SUM(N336:U336)</f>
        <v>12812.342400000001</v>
      </c>
      <c r="W336" s="580">
        <f t="shared" si="761"/>
        <v>0</v>
      </c>
      <c r="X336" s="580"/>
      <c r="Y336" s="581">
        <f t="shared" si="762"/>
        <v>12812.342400000001</v>
      </c>
    </row>
    <row r="337" spans="1:26" s="432" customFormat="1" ht="12.75" customHeight="1" x14ac:dyDescent="0.2">
      <c r="A337" s="30"/>
      <c r="B337" s="30"/>
      <c r="C337" s="30" t="s">
        <v>222</v>
      </c>
      <c r="D337" s="426">
        <v>615</v>
      </c>
      <c r="E337" s="30" t="s">
        <v>328</v>
      </c>
      <c r="F337" s="30" t="s">
        <v>6</v>
      </c>
      <c r="G337" s="34" t="s">
        <v>454</v>
      </c>
      <c r="H337" s="30" t="s">
        <v>461</v>
      </c>
      <c r="I337" s="34" t="s">
        <v>28</v>
      </c>
      <c r="J337" s="34" t="s">
        <v>114</v>
      </c>
      <c r="K337" s="580">
        <f>29.92*14%</f>
        <v>4.1888000000000005</v>
      </c>
      <c r="L337" s="580">
        <v>2080</v>
      </c>
      <c r="M337" s="580"/>
      <c r="N337" s="580">
        <f t="shared" si="719"/>
        <v>8712.7040000000015</v>
      </c>
      <c r="O337" s="580"/>
      <c r="P337" s="580">
        <f t="shared" si="767"/>
        <v>3119.1480320000005</v>
      </c>
      <c r="Q337" s="580">
        <f t="shared" si="721"/>
        <v>126.33420800000003</v>
      </c>
      <c r="R337" s="580">
        <v>0</v>
      </c>
      <c r="S337" s="580"/>
      <c r="T337" s="580"/>
      <c r="U337" s="580"/>
      <c r="V337" s="473">
        <f t="shared" ref="V337" si="769">SUM(N337:U337)</f>
        <v>11958.186240000003</v>
      </c>
      <c r="W337" s="580">
        <f t="shared" si="761"/>
        <v>0</v>
      </c>
      <c r="X337" s="580"/>
      <c r="Y337" s="581">
        <f t="shared" si="762"/>
        <v>11958.186240000003</v>
      </c>
    </row>
    <row r="338" spans="1:26" s="432" customFormat="1" ht="12.75" customHeight="1" x14ac:dyDescent="0.2">
      <c r="A338" s="30"/>
      <c r="B338" s="30"/>
      <c r="C338" s="30" t="s">
        <v>222</v>
      </c>
      <c r="D338" s="426">
        <v>615</v>
      </c>
      <c r="E338" s="30" t="s">
        <v>328</v>
      </c>
      <c r="F338" s="30" t="s">
        <v>6</v>
      </c>
      <c r="G338" s="34" t="s">
        <v>454</v>
      </c>
      <c r="H338" s="30" t="s">
        <v>461</v>
      </c>
      <c r="I338" s="34" t="s">
        <v>28</v>
      </c>
      <c r="J338" s="34" t="s">
        <v>140</v>
      </c>
      <c r="K338" s="580">
        <f>29.92*2%</f>
        <v>0.59840000000000004</v>
      </c>
      <c r="L338" s="580">
        <v>2080</v>
      </c>
      <c r="M338" s="580"/>
      <c r="N338" s="580">
        <f t="shared" si="719"/>
        <v>1244.672</v>
      </c>
      <c r="O338" s="580"/>
      <c r="P338" s="580">
        <f t="shared" si="767"/>
        <v>445.59257600000001</v>
      </c>
      <c r="Q338" s="580">
        <f t="shared" si="721"/>
        <v>18.047744000000002</v>
      </c>
      <c r="R338" s="580">
        <v>0</v>
      </c>
      <c r="S338" s="580"/>
      <c r="T338" s="580"/>
      <c r="U338" s="580"/>
      <c r="V338" s="473">
        <f t="shared" ref="V338" si="770">SUM(N338:U338)</f>
        <v>1708.31232</v>
      </c>
      <c r="W338" s="580">
        <f t="shared" si="761"/>
        <v>0</v>
      </c>
      <c r="X338" s="580"/>
      <c r="Y338" s="581">
        <f t="shared" si="762"/>
        <v>1708.31232</v>
      </c>
    </row>
    <row r="339" spans="1:26" s="432" customFormat="1" ht="12.75" customHeight="1" x14ac:dyDescent="0.2">
      <c r="A339" s="30"/>
      <c r="B339" s="30"/>
      <c r="C339" s="30" t="s">
        <v>222</v>
      </c>
      <c r="D339" s="426">
        <v>615</v>
      </c>
      <c r="E339" s="30" t="s">
        <v>328</v>
      </c>
      <c r="F339" s="30" t="s">
        <v>6</v>
      </c>
      <c r="G339" s="34" t="s">
        <v>454</v>
      </c>
      <c r="H339" s="30" t="s">
        <v>461</v>
      </c>
      <c r="I339" s="34" t="s">
        <v>28</v>
      </c>
      <c r="J339" s="34" t="s">
        <v>128</v>
      </c>
      <c r="K339" s="580">
        <f>29.92*5%</f>
        <v>1.4960000000000002</v>
      </c>
      <c r="L339" s="580">
        <v>2080</v>
      </c>
      <c r="M339" s="580"/>
      <c r="N339" s="580">
        <f t="shared" si="719"/>
        <v>3111.6800000000003</v>
      </c>
      <c r="O339" s="580"/>
      <c r="P339" s="580">
        <f t="shared" si="767"/>
        <v>1113.98144</v>
      </c>
      <c r="Q339" s="580">
        <f t="shared" si="721"/>
        <v>45.119360000000007</v>
      </c>
      <c r="R339" s="580">
        <v>0</v>
      </c>
      <c r="S339" s="580"/>
      <c r="T339" s="580"/>
      <c r="U339" s="580"/>
      <c r="V339" s="473">
        <f t="shared" ref="V339" si="771">SUM(N339:U339)</f>
        <v>4270.7807999999995</v>
      </c>
      <c r="W339" s="580">
        <f t="shared" si="761"/>
        <v>0</v>
      </c>
      <c r="X339" s="580"/>
      <c r="Y339" s="581">
        <f t="shared" si="762"/>
        <v>4270.7807999999995</v>
      </c>
    </row>
    <row r="340" spans="1:26" ht="12.75" customHeight="1" x14ac:dyDescent="0.2">
      <c r="A340" s="30"/>
      <c r="B340" s="30"/>
      <c r="C340" s="30" t="s">
        <v>222</v>
      </c>
      <c r="D340" s="426">
        <v>615</v>
      </c>
      <c r="E340" s="30" t="s">
        <v>328</v>
      </c>
      <c r="F340" s="30" t="s">
        <v>6</v>
      </c>
      <c r="G340" s="34" t="s">
        <v>454</v>
      </c>
      <c r="H340" s="30" t="s">
        <v>461</v>
      </c>
      <c r="I340" s="34" t="s">
        <v>28</v>
      </c>
      <c r="J340" s="34" t="s">
        <v>1136</v>
      </c>
      <c r="K340" s="580">
        <f>29.92*2%</f>
        <v>0.59840000000000004</v>
      </c>
      <c r="L340" s="580">
        <v>2080</v>
      </c>
      <c r="M340" s="580"/>
      <c r="N340" s="580">
        <f t="shared" si="719"/>
        <v>1244.672</v>
      </c>
      <c r="O340" s="580"/>
      <c r="P340" s="580">
        <f t="shared" si="767"/>
        <v>445.59257600000001</v>
      </c>
      <c r="Q340" s="580">
        <f t="shared" si="721"/>
        <v>18.047744000000002</v>
      </c>
      <c r="R340" s="580">
        <v>0</v>
      </c>
      <c r="S340" s="580"/>
      <c r="T340" s="580"/>
      <c r="U340" s="580"/>
      <c r="V340" s="473">
        <f t="shared" ref="V340" si="772">SUM(N340:U340)</f>
        <v>1708.31232</v>
      </c>
      <c r="W340" s="580">
        <f t="shared" si="761"/>
        <v>0</v>
      </c>
      <c r="X340" s="580"/>
      <c r="Y340" s="581">
        <f t="shared" si="762"/>
        <v>1708.31232</v>
      </c>
      <c r="Z340" s="432"/>
    </row>
    <row r="341" spans="1:26" s="432" customFormat="1" ht="12.75" customHeight="1" x14ac:dyDescent="0.2">
      <c r="A341" s="30"/>
      <c r="B341" s="30"/>
      <c r="C341" s="30" t="s">
        <v>222</v>
      </c>
      <c r="D341" s="426">
        <v>615</v>
      </c>
      <c r="E341" s="30" t="s">
        <v>328</v>
      </c>
      <c r="F341" s="30" t="s">
        <v>6</v>
      </c>
      <c r="G341" s="34" t="s">
        <v>454</v>
      </c>
      <c r="H341" s="30" t="s">
        <v>461</v>
      </c>
      <c r="I341" s="34" t="s">
        <v>28</v>
      </c>
      <c r="J341" s="34" t="s">
        <v>472</v>
      </c>
      <c r="K341" s="580">
        <f>29.92*2%</f>
        <v>0.59840000000000004</v>
      </c>
      <c r="L341" s="580">
        <v>2080</v>
      </c>
      <c r="M341" s="580"/>
      <c r="N341" s="580">
        <f t="shared" si="719"/>
        <v>1244.672</v>
      </c>
      <c r="O341" s="580"/>
      <c r="P341" s="580">
        <f t="shared" si="767"/>
        <v>445.59257600000001</v>
      </c>
      <c r="Q341" s="580">
        <f t="shared" si="721"/>
        <v>18.047744000000002</v>
      </c>
      <c r="R341" s="580">
        <v>0</v>
      </c>
      <c r="S341" s="580"/>
      <c r="T341" s="580"/>
      <c r="U341" s="580"/>
      <c r="V341" s="473">
        <f t="shared" ref="V341" si="773">SUM(N341:U341)</f>
        <v>1708.31232</v>
      </c>
      <c r="W341" s="580">
        <f t="shared" si="761"/>
        <v>0</v>
      </c>
      <c r="X341" s="580"/>
      <c r="Y341" s="581">
        <f t="shared" si="762"/>
        <v>1708.31232</v>
      </c>
    </row>
    <row r="342" spans="1:26" s="432" customFormat="1" ht="12.75" customHeight="1" x14ac:dyDescent="0.2">
      <c r="A342" s="30"/>
      <c r="B342" s="30"/>
      <c r="C342" s="30" t="s">
        <v>222</v>
      </c>
      <c r="D342" s="426">
        <v>615</v>
      </c>
      <c r="E342" s="30" t="s">
        <v>328</v>
      </c>
      <c r="F342" s="30" t="s">
        <v>6</v>
      </c>
      <c r="G342" s="34" t="s">
        <v>454</v>
      </c>
      <c r="H342" s="30" t="s">
        <v>461</v>
      </c>
      <c r="I342" s="34" t="s">
        <v>28</v>
      </c>
      <c r="J342" s="34" t="s">
        <v>161</v>
      </c>
      <c r="K342" s="580">
        <f>29.92*20%</f>
        <v>5.9840000000000009</v>
      </c>
      <c r="L342" s="580">
        <v>2080</v>
      </c>
      <c r="M342" s="580"/>
      <c r="N342" s="580">
        <f t="shared" si="719"/>
        <v>12446.720000000001</v>
      </c>
      <c r="O342" s="580"/>
      <c r="P342" s="580">
        <f t="shared" si="767"/>
        <v>4455.9257600000001</v>
      </c>
      <c r="Q342" s="580">
        <f t="shared" si="721"/>
        <v>180.47744000000003</v>
      </c>
      <c r="R342" s="580">
        <v>0</v>
      </c>
      <c r="S342" s="580"/>
      <c r="T342" s="580"/>
      <c r="U342" s="580"/>
      <c r="V342" s="473">
        <f t="shared" ref="V342" si="774">SUM(N342:U342)</f>
        <v>17083.123199999998</v>
      </c>
      <c r="W342" s="580">
        <f t="shared" si="761"/>
        <v>0</v>
      </c>
      <c r="X342" s="580"/>
      <c r="Y342" s="581">
        <f t="shared" si="762"/>
        <v>17083.123199999998</v>
      </c>
    </row>
    <row r="343" spans="1:26" s="432" customFormat="1" ht="12.75" customHeight="1" x14ac:dyDescent="0.2">
      <c r="A343" s="30">
        <v>158423</v>
      </c>
      <c r="B343" s="30"/>
      <c r="C343" s="30" t="s">
        <v>223</v>
      </c>
      <c r="D343" s="426">
        <v>615</v>
      </c>
      <c r="E343" s="30" t="s">
        <v>328</v>
      </c>
      <c r="F343" s="30" t="s">
        <v>6</v>
      </c>
      <c r="G343" s="34" t="s">
        <v>454</v>
      </c>
      <c r="H343" s="30" t="s">
        <v>461</v>
      </c>
      <c r="I343" s="34" t="s">
        <v>28</v>
      </c>
      <c r="J343" s="34" t="s">
        <v>127</v>
      </c>
      <c r="K343" s="580">
        <f>29.92*40%</f>
        <v>11.968000000000002</v>
      </c>
      <c r="L343" s="580">
        <v>2080</v>
      </c>
      <c r="M343" s="580"/>
      <c r="N343" s="580">
        <f>IF(H343="1",(L343*K343)+(M343*K343),0)</f>
        <v>24893.440000000002</v>
      </c>
      <c r="O343" s="580"/>
      <c r="P343" s="580">
        <f>(N343-(M343*K343))*$P$27</f>
        <v>8911.8515200000002</v>
      </c>
      <c r="Q343" s="580">
        <f>N343*$Q$27</f>
        <v>360.95488000000006</v>
      </c>
      <c r="R343" s="580">
        <v>0</v>
      </c>
      <c r="S343" s="580">
        <f>IF(H343="1",2828.52*2,0)</f>
        <v>5657.04</v>
      </c>
      <c r="T343" s="580">
        <f>IF(H343="1",154.92*2,0)</f>
        <v>309.83999999999997</v>
      </c>
      <c r="U343" s="580">
        <f>IF(H343="1",162*2,0)</f>
        <v>324</v>
      </c>
      <c r="V343" s="473">
        <f t="shared" ref="V343" si="775">SUM(N343:U343)</f>
        <v>40457.126399999994</v>
      </c>
      <c r="W343" s="580">
        <f t="shared" si="761"/>
        <v>0</v>
      </c>
      <c r="X343" s="580"/>
      <c r="Y343" s="581">
        <f t="shared" si="762"/>
        <v>40457.126399999994</v>
      </c>
    </row>
    <row r="344" spans="1:26" s="432" customFormat="1" ht="12.75" customHeight="1" x14ac:dyDescent="0.2">
      <c r="A344" s="30"/>
      <c r="B344" s="30"/>
      <c r="C344" s="30" t="s">
        <v>223</v>
      </c>
      <c r="D344" s="426">
        <v>615</v>
      </c>
      <c r="E344" s="30" t="s">
        <v>328</v>
      </c>
      <c r="F344" s="30" t="s">
        <v>6</v>
      </c>
      <c r="G344" s="34" t="s">
        <v>454</v>
      </c>
      <c r="H344" s="30" t="s">
        <v>461</v>
      </c>
      <c r="I344" s="34" t="s">
        <v>28</v>
      </c>
      <c r="J344" s="34" t="s">
        <v>692</v>
      </c>
      <c r="K344" s="580">
        <f>29.92*15%</f>
        <v>4.4880000000000004</v>
      </c>
      <c r="L344" s="580">
        <v>2080</v>
      </c>
      <c r="M344" s="580"/>
      <c r="N344" s="580">
        <f t="shared" ref="N344:N349" si="776">IF(H344="1",(L344*K344)+(M344*K344),0)</f>
        <v>9335.0400000000009</v>
      </c>
      <c r="O344" s="580"/>
      <c r="P344" s="580">
        <f t="shared" ref="P344:P349" si="777">(N344-(M344*K344))*$P$27</f>
        <v>3341.9443200000001</v>
      </c>
      <c r="Q344" s="580">
        <f t="shared" ref="Q344:Q349" si="778">N344*$Q$27</f>
        <v>135.35808000000003</v>
      </c>
      <c r="R344" s="580">
        <v>0</v>
      </c>
      <c r="S344" s="580"/>
      <c r="T344" s="580"/>
      <c r="U344" s="580"/>
      <c r="V344" s="473">
        <f t="shared" ref="V344" si="779">SUM(N344:U344)</f>
        <v>12812.342400000001</v>
      </c>
      <c r="W344" s="580">
        <f t="shared" si="761"/>
        <v>0</v>
      </c>
      <c r="X344" s="580"/>
      <c r="Y344" s="581">
        <f t="shared" si="762"/>
        <v>12812.342400000001</v>
      </c>
    </row>
    <row r="345" spans="1:26" s="432" customFormat="1" ht="12.75" customHeight="1" x14ac:dyDescent="0.2">
      <c r="A345" s="30"/>
      <c r="B345" s="30"/>
      <c r="C345" s="30" t="s">
        <v>223</v>
      </c>
      <c r="D345" s="426">
        <v>615</v>
      </c>
      <c r="E345" s="30" t="s">
        <v>328</v>
      </c>
      <c r="F345" s="30" t="s">
        <v>6</v>
      </c>
      <c r="G345" s="34" t="s">
        <v>454</v>
      </c>
      <c r="H345" s="30" t="s">
        <v>461</v>
      </c>
      <c r="I345" s="34" t="s">
        <v>28</v>
      </c>
      <c r="J345" s="34" t="s">
        <v>796</v>
      </c>
      <c r="K345" s="580">
        <f>29.92*10%</f>
        <v>2.9920000000000004</v>
      </c>
      <c r="L345" s="580">
        <v>2080</v>
      </c>
      <c r="M345" s="580"/>
      <c r="N345" s="580">
        <f t="shared" si="776"/>
        <v>6223.3600000000006</v>
      </c>
      <c r="O345" s="580"/>
      <c r="P345" s="580">
        <f t="shared" si="777"/>
        <v>2227.96288</v>
      </c>
      <c r="Q345" s="580">
        <f t="shared" si="778"/>
        <v>90.238720000000015</v>
      </c>
      <c r="R345" s="580">
        <v>0</v>
      </c>
      <c r="S345" s="580"/>
      <c r="T345" s="580"/>
      <c r="U345" s="580"/>
      <c r="V345" s="473">
        <f t="shared" ref="V345" si="780">SUM(N345:U345)</f>
        <v>8541.5615999999991</v>
      </c>
      <c r="W345" s="580">
        <f t="shared" si="761"/>
        <v>0</v>
      </c>
      <c r="X345" s="580"/>
      <c r="Y345" s="581">
        <f t="shared" si="762"/>
        <v>8541.5615999999991</v>
      </c>
    </row>
    <row r="346" spans="1:26" s="432" customFormat="1" ht="12.75" customHeight="1" x14ac:dyDescent="0.2">
      <c r="A346" s="30"/>
      <c r="B346" s="30"/>
      <c r="C346" s="30" t="s">
        <v>223</v>
      </c>
      <c r="D346" s="426">
        <v>615</v>
      </c>
      <c r="E346" s="30" t="s">
        <v>328</v>
      </c>
      <c r="F346" s="30" t="s">
        <v>6</v>
      </c>
      <c r="G346" s="34" t="s">
        <v>454</v>
      </c>
      <c r="H346" s="30" t="s">
        <v>461</v>
      </c>
      <c r="I346" s="34" t="s">
        <v>28</v>
      </c>
      <c r="J346" s="34" t="s">
        <v>129</v>
      </c>
      <c r="K346" s="580">
        <f>29.92*7.5%</f>
        <v>2.2440000000000002</v>
      </c>
      <c r="L346" s="580">
        <v>2080</v>
      </c>
      <c r="M346" s="580"/>
      <c r="N346" s="580">
        <f t="shared" si="776"/>
        <v>4667.5200000000004</v>
      </c>
      <c r="O346" s="580"/>
      <c r="P346" s="580">
        <f t="shared" si="777"/>
        <v>1670.97216</v>
      </c>
      <c r="Q346" s="580">
        <f t="shared" si="778"/>
        <v>67.679040000000015</v>
      </c>
      <c r="R346" s="580">
        <v>0</v>
      </c>
      <c r="S346" s="580"/>
      <c r="T346" s="580"/>
      <c r="U346" s="580"/>
      <c r="V346" s="473">
        <f t="shared" ref="V346" si="781">SUM(N346:U346)</f>
        <v>6406.1712000000007</v>
      </c>
      <c r="W346" s="580">
        <f t="shared" si="761"/>
        <v>0</v>
      </c>
      <c r="X346" s="580"/>
      <c r="Y346" s="581">
        <f t="shared" si="762"/>
        <v>6406.1712000000007</v>
      </c>
    </row>
    <row r="347" spans="1:26" ht="12.75" customHeight="1" x14ac:dyDescent="0.2">
      <c r="A347" s="30"/>
      <c r="B347" s="30"/>
      <c r="C347" s="30" t="s">
        <v>223</v>
      </c>
      <c r="D347" s="426">
        <v>615</v>
      </c>
      <c r="E347" s="30" t="s">
        <v>328</v>
      </c>
      <c r="F347" s="30" t="s">
        <v>6</v>
      </c>
      <c r="G347" s="34" t="s">
        <v>454</v>
      </c>
      <c r="H347" s="30" t="s">
        <v>461</v>
      </c>
      <c r="I347" s="34" t="s">
        <v>28</v>
      </c>
      <c r="J347" s="34" t="s">
        <v>124</v>
      </c>
      <c r="K347" s="580">
        <f>29.92*7.5%</f>
        <v>2.2440000000000002</v>
      </c>
      <c r="L347" s="580">
        <v>2080</v>
      </c>
      <c r="M347" s="580"/>
      <c r="N347" s="580">
        <f t="shared" si="776"/>
        <v>4667.5200000000004</v>
      </c>
      <c r="O347" s="580"/>
      <c r="P347" s="580">
        <f t="shared" si="777"/>
        <v>1670.97216</v>
      </c>
      <c r="Q347" s="580">
        <f t="shared" si="778"/>
        <v>67.679040000000015</v>
      </c>
      <c r="R347" s="580">
        <v>0</v>
      </c>
      <c r="S347" s="580"/>
      <c r="T347" s="580"/>
      <c r="U347" s="580"/>
      <c r="V347" s="473">
        <f t="shared" ref="V347" si="782">SUM(N347:U347)</f>
        <v>6406.1712000000007</v>
      </c>
      <c r="W347" s="580">
        <f t="shared" si="761"/>
        <v>0</v>
      </c>
      <c r="X347" s="580"/>
      <c r="Y347" s="581">
        <f t="shared" si="762"/>
        <v>6406.1712000000007</v>
      </c>
      <c r="Z347" s="432"/>
    </row>
    <row r="348" spans="1:26" s="432" customFormat="1" ht="12.75" customHeight="1" x14ac:dyDescent="0.2">
      <c r="A348" s="30"/>
      <c r="B348" s="30"/>
      <c r="C348" s="30" t="s">
        <v>223</v>
      </c>
      <c r="D348" s="426">
        <v>615</v>
      </c>
      <c r="E348" s="30" t="s">
        <v>328</v>
      </c>
      <c r="F348" s="30" t="s">
        <v>6</v>
      </c>
      <c r="G348" s="34" t="s">
        <v>454</v>
      </c>
      <c r="H348" s="30" t="s">
        <v>461</v>
      </c>
      <c r="I348" s="34" t="s">
        <v>28</v>
      </c>
      <c r="J348" s="34" t="s">
        <v>162</v>
      </c>
      <c r="K348" s="580">
        <f>29.92*10%</f>
        <v>2.9920000000000004</v>
      </c>
      <c r="L348" s="580">
        <v>2080</v>
      </c>
      <c r="M348" s="580"/>
      <c r="N348" s="580">
        <f t="shared" si="776"/>
        <v>6223.3600000000006</v>
      </c>
      <c r="O348" s="580"/>
      <c r="P348" s="580">
        <f t="shared" si="777"/>
        <v>2227.96288</v>
      </c>
      <c r="Q348" s="580">
        <f t="shared" si="778"/>
        <v>90.238720000000015</v>
      </c>
      <c r="R348" s="580">
        <v>0</v>
      </c>
      <c r="S348" s="580"/>
      <c r="T348" s="580"/>
      <c r="U348" s="580"/>
      <c r="V348" s="473">
        <f t="shared" ref="V348" si="783">SUM(N348:U348)</f>
        <v>8541.5615999999991</v>
      </c>
      <c r="W348" s="580">
        <f t="shared" si="761"/>
        <v>0</v>
      </c>
      <c r="X348" s="580"/>
      <c r="Y348" s="581">
        <f t="shared" si="762"/>
        <v>8541.5615999999991</v>
      </c>
    </row>
    <row r="349" spans="1:26" s="432" customFormat="1" ht="12.75" customHeight="1" x14ac:dyDescent="0.2">
      <c r="A349" s="30"/>
      <c r="B349" s="30"/>
      <c r="C349" s="30" t="s">
        <v>223</v>
      </c>
      <c r="D349" s="426">
        <v>615</v>
      </c>
      <c r="E349" s="30" t="s">
        <v>328</v>
      </c>
      <c r="F349" s="30" t="s">
        <v>6</v>
      </c>
      <c r="G349" s="34" t="s">
        <v>454</v>
      </c>
      <c r="H349" s="30" t="s">
        <v>461</v>
      </c>
      <c r="I349" s="34" t="s">
        <v>28</v>
      </c>
      <c r="J349" s="34" t="s">
        <v>159</v>
      </c>
      <c r="K349" s="580">
        <f>29.92*10%</f>
        <v>2.9920000000000004</v>
      </c>
      <c r="L349" s="580">
        <v>2080</v>
      </c>
      <c r="M349" s="580"/>
      <c r="N349" s="580">
        <f t="shared" si="776"/>
        <v>6223.3600000000006</v>
      </c>
      <c r="O349" s="580"/>
      <c r="P349" s="580">
        <f t="shared" si="777"/>
        <v>2227.96288</v>
      </c>
      <c r="Q349" s="580">
        <f t="shared" si="778"/>
        <v>90.238720000000015</v>
      </c>
      <c r="R349" s="580">
        <v>0</v>
      </c>
      <c r="S349" s="580"/>
      <c r="T349" s="580"/>
      <c r="U349" s="580"/>
      <c r="V349" s="473">
        <f t="shared" ref="V349" si="784">SUM(N349:U349)</f>
        <v>8541.5615999999991</v>
      </c>
      <c r="W349" s="580">
        <f t="shared" si="761"/>
        <v>0</v>
      </c>
      <c r="X349" s="580"/>
      <c r="Y349" s="581">
        <f t="shared" si="762"/>
        <v>8541.5615999999991</v>
      </c>
    </row>
    <row r="350" spans="1:26" s="432" customFormat="1" ht="12.75" customHeight="1" x14ac:dyDescent="0.2">
      <c r="A350" s="30">
        <v>270725</v>
      </c>
      <c r="B350" s="30"/>
      <c r="C350" s="30" t="s">
        <v>322</v>
      </c>
      <c r="D350" s="426">
        <v>619</v>
      </c>
      <c r="E350" s="30" t="s">
        <v>360</v>
      </c>
      <c r="F350" s="30" t="s">
        <v>6</v>
      </c>
      <c r="G350" s="34" t="s">
        <v>454</v>
      </c>
      <c r="H350" s="30" t="s">
        <v>461</v>
      </c>
      <c r="I350" s="34" t="s">
        <v>775</v>
      </c>
      <c r="J350" s="34" t="s">
        <v>692</v>
      </c>
      <c r="K350" s="580">
        <f>31.87*5%</f>
        <v>1.5935000000000001</v>
      </c>
      <c r="L350" s="580">
        <v>2080</v>
      </c>
      <c r="M350" s="580"/>
      <c r="N350" s="580">
        <f>IF(H350="1",(L350*K350)+(M350*K350),0)</f>
        <v>3314.4800000000005</v>
      </c>
      <c r="O350" s="580"/>
      <c r="P350" s="580">
        <f>(N350-(M350*K350))*$P$27</f>
        <v>1186.58384</v>
      </c>
      <c r="Q350" s="580">
        <f>N350*$Q$27</f>
        <v>48.059960000000011</v>
      </c>
      <c r="R350" s="580">
        <v>0</v>
      </c>
      <c r="S350" s="580">
        <f>IF(H350="1",3242.52*2,0)</f>
        <v>6485.04</v>
      </c>
      <c r="T350" s="580">
        <f>IF(H350="1",274.2*2,0)</f>
        <v>548.4</v>
      </c>
      <c r="U350" s="580">
        <v>0</v>
      </c>
      <c r="V350" s="473">
        <f t="shared" ref="V350" si="785">SUM(N350:U350)</f>
        <v>11582.5638</v>
      </c>
      <c r="W350" s="580">
        <f t="shared" si="761"/>
        <v>0</v>
      </c>
      <c r="X350" s="580"/>
      <c r="Y350" s="581">
        <f t="shared" si="762"/>
        <v>11582.5638</v>
      </c>
    </row>
    <row r="351" spans="1:26" s="432" customFormat="1" ht="12.75" customHeight="1" x14ac:dyDescent="0.2">
      <c r="A351" s="30"/>
      <c r="B351" s="30"/>
      <c r="C351" s="30" t="s">
        <v>322</v>
      </c>
      <c r="D351" s="426">
        <v>619</v>
      </c>
      <c r="E351" s="30" t="s">
        <v>360</v>
      </c>
      <c r="F351" s="30" t="s">
        <v>6</v>
      </c>
      <c r="G351" s="34" t="s">
        <v>454</v>
      </c>
      <c r="H351" s="30" t="s">
        <v>461</v>
      </c>
      <c r="I351" s="34" t="s">
        <v>775</v>
      </c>
      <c r="J351" s="34" t="s">
        <v>65</v>
      </c>
      <c r="K351" s="580">
        <f>31.87*10%</f>
        <v>3.1870000000000003</v>
      </c>
      <c r="L351" s="580">
        <v>2080</v>
      </c>
      <c r="M351" s="580"/>
      <c r="N351" s="580">
        <f t="shared" ref="N351:N359" si="786">IF(H351="1",(L351*K351)+(M351*K351),0)</f>
        <v>6628.9600000000009</v>
      </c>
      <c r="O351" s="580"/>
      <c r="P351" s="580">
        <f t="shared" ref="P351:P359" si="787">(N351-(M351*K351))*$P$27</f>
        <v>2373.16768</v>
      </c>
      <c r="Q351" s="580">
        <f t="shared" ref="Q351:Q359" si="788">N351*$Q$27</f>
        <v>96.119920000000022</v>
      </c>
      <c r="R351" s="580">
        <v>0</v>
      </c>
      <c r="S351" s="580"/>
      <c r="T351" s="580"/>
      <c r="U351" s="580"/>
      <c r="V351" s="473">
        <f t="shared" ref="V351" si="789">SUM(N351:U351)</f>
        <v>9098.2476000000006</v>
      </c>
      <c r="W351" s="580">
        <f t="shared" si="761"/>
        <v>0</v>
      </c>
      <c r="X351" s="580"/>
      <c r="Y351" s="581">
        <f t="shared" si="762"/>
        <v>9098.2476000000006</v>
      </c>
    </row>
    <row r="352" spans="1:26" s="432" customFormat="1" ht="12.75" customHeight="1" x14ac:dyDescent="0.2">
      <c r="A352" s="30"/>
      <c r="B352" s="30"/>
      <c r="C352" s="30" t="s">
        <v>322</v>
      </c>
      <c r="D352" s="426">
        <v>619</v>
      </c>
      <c r="E352" s="30" t="s">
        <v>360</v>
      </c>
      <c r="F352" s="30" t="s">
        <v>6</v>
      </c>
      <c r="G352" s="34" t="s">
        <v>454</v>
      </c>
      <c r="H352" s="30" t="s">
        <v>461</v>
      </c>
      <c r="I352" s="34" t="s">
        <v>775</v>
      </c>
      <c r="J352" s="34" t="s">
        <v>134</v>
      </c>
      <c r="K352" s="580">
        <f>31.87*25%</f>
        <v>7.9675000000000002</v>
      </c>
      <c r="L352" s="580">
        <v>2080</v>
      </c>
      <c r="M352" s="580"/>
      <c r="N352" s="580">
        <f t="shared" si="786"/>
        <v>16572.400000000001</v>
      </c>
      <c r="O352" s="580"/>
      <c r="P352" s="580">
        <f t="shared" si="787"/>
        <v>5932.9192000000003</v>
      </c>
      <c r="Q352" s="580">
        <f t="shared" si="788"/>
        <v>240.29980000000003</v>
      </c>
      <c r="R352" s="580">
        <v>0</v>
      </c>
      <c r="S352" s="580"/>
      <c r="T352" s="580"/>
      <c r="U352" s="580"/>
      <c r="V352" s="473">
        <f t="shared" ref="V352" si="790">SUM(N352:U352)</f>
        <v>22745.619000000002</v>
      </c>
      <c r="W352" s="580">
        <f t="shared" si="761"/>
        <v>0</v>
      </c>
      <c r="X352" s="580"/>
      <c r="Y352" s="581">
        <f t="shared" si="762"/>
        <v>22745.619000000002</v>
      </c>
    </row>
    <row r="353" spans="1:26" s="432" customFormat="1" ht="12.75" customHeight="1" x14ac:dyDescent="0.2">
      <c r="A353" s="30"/>
      <c r="B353" s="30"/>
      <c r="C353" s="30" t="s">
        <v>322</v>
      </c>
      <c r="D353" s="426">
        <v>619</v>
      </c>
      <c r="E353" s="30" t="s">
        <v>360</v>
      </c>
      <c r="F353" s="30" t="s">
        <v>6</v>
      </c>
      <c r="G353" s="34" t="s">
        <v>454</v>
      </c>
      <c r="H353" s="30" t="s">
        <v>461</v>
      </c>
      <c r="I353" s="34" t="s">
        <v>775</v>
      </c>
      <c r="J353" s="34" t="s">
        <v>147</v>
      </c>
      <c r="K353" s="580">
        <f>31.87*15%</f>
        <v>4.7805</v>
      </c>
      <c r="L353" s="580">
        <v>2080</v>
      </c>
      <c r="M353" s="580"/>
      <c r="N353" s="580">
        <f t="shared" si="786"/>
        <v>9943.44</v>
      </c>
      <c r="O353" s="580"/>
      <c r="P353" s="580">
        <f t="shared" si="787"/>
        <v>3559.7515200000003</v>
      </c>
      <c r="Q353" s="580">
        <f t="shared" si="788"/>
        <v>144.17988000000003</v>
      </c>
      <c r="R353" s="580">
        <v>0</v>
      </c>
      <c r="S353" s="580"/>
      <c r="T353" s="580"/>
      <c r="U353" s="580"/>
      <c r="V353" s="473">
        <f t="shared" ref="V353" si="791">SUM(N353:U353)</f>
        <v>13647.3714</v>
      </c>
      <c r="W353" s="580">
        <f t="shared" si="761"/>
        <v>0</v>
      </c>
      <c r="X353" s="580"/>
      <c r="Y353" s="581">
        <f t="shared" si="762"/>
        <v>13647.3714</v>
      </c>
    </row>
    <row r="354" spans="1:26" s="432" customFormat="1" ht="12.75" customHeight="1" x14ac:dyDescent="0.2">
      <c r="A354" s="30"/>
      <c r="B354" s="30"/>
      <c r="C354" s="30" t="s">
        <v>322</v>
      </c>
      <c r="D354" s="426">
        <v>619</v>
      </c>
      <c r="E354" s="30" t="s">
        <v>360</v>
      </c>
      <c r="F354" s="30" t="s">
        <v>6</v>
      </c>
      <c r="G354" s="34" t="s">
        <v>454</v>
      </c>
      <c r="H354" s="30" t="s">
        <v>461</v>
      </c>
      <c r="I354" s="34" t="s">
        <v>775</v>
      </c>
      <c r="J354" s="34" t="s">
        <v>151</v>
      </c>
      <c r="K354" s="580">
        <f>31.87*2%</f>
        <v>0.63740000000000008</v>
      </c>
      <c r="L354" s="580">
        <v>2080</v>
      </c>
      <c r="M354" s="580"/>
      <c r="N354" s="580">
        <f t="shared" si="786"/>
        <v>1325.7920000000001</v>
      </c>
      <c r="O354" s="580"/>
      <c r="P354" s="580">
        <f t="shared" si="787"/>
        <v>474.63353600000005</v>
      </c>
      <c r="Q354" s="580">
        <f t="shared" si="788"/>
        <v>19.223984000000002</v>
      </c>
      <c r="R354" s="580">
        <v>0</v>
      </c>
      <c r="S354" s="580"/>
      <c r="T354" s="580"/>
      <c r="U354" s="580"/>
      <c r="V354" s="473">
        <f t="shared" ref="V354" si="792">SUM(N354:U354)</f>
        <v>1819.6495200000002</v>
      </c>
      <c r="W354" s="580">
        <f t="shared" si="761"/>
        <v>0</v>
      </c>
      <c r="X354" s="580"/>
      <c r="Y354" s="581">
        <f t="shared" si="762"/>
        <v>1819.6495200000002</v>
      </c>
    </row>
    <row r="355" spans="1:26" s="432" customFormat="1" ht="12.75" customHeight="1" x14ac:dyDescent="0.2">
      <c r="A355" s="30"/>
      <c r="B355" s="30"/>
      <c r="C355" s="30" t="s">
        <v>322</v>
      </c>
      <c r="D355" s="426">
        <v>619</v>
      </c>
      <c r="E355" s="30" t="s">
        <v>360</v>
      </c>
      <c r="F355" s="30" t="s">
        <v>6</v>
      </c>
      <c r="G355" s="34" t="s">
        <v>454</v>
      </c>
      <c r="H355" s="30" t="s">
        <v>461</v>
      </c>
      <c r="I355" s="34" t="s">
        <v>775</v>
      </c>
      <c r="J355" s="34" t="s">
        <v>154</v>
      </c>
      <c r="K355" s="580">
        <f t="shared" ref="K355:K359" si="793">31.87*5%</f>
        <v>1.5935000000000001</v>
      </c>
      <c r="L355" s="580">
        <v>2080</v>
      </c>
      <c r="M355" s="580"/>
      <c r="N355" s="580">
        <f t="shared" si="786"/>
        <v>3314.4800000000005</v>
      </c>
      <c r="O355" s="580"/>
      <c r="P355" s="580">
        <f t="shared" si="787"/>
        <v>1186.58384</v>
      </c>
      <c r="Q355" s="580">
        <f t="shared" si="788"/>
        <v>48.059960000000011</v>
      </c>
      <c r="R355" s="580">
        <v>0</v>
      </c>
      <c r="S355" s="580"/>
      <c r="T355" s="580"/>
      <c r="U355" s="580"/>
      <c r="V355" s="473">
        <f t="shared" ref="V355" si="794">SUM(N355:U355)</f>
        <v>4549.1238000000003</v>
      </c>
      <c r="W355" s="580">
        <f t="shared" si="761"/>
        <v>0</v>
      </c>
      <c r="X355" s="580"/>
      <c r="Y355" s="581">
        <f t="shared" si="762"/>
        <v>4549.1238000000003</v>
      </c>
    </row>
    <row r="356" spans="1:26" s="432" customFormat="1" ht="12.75" customHeight="1" x14ac:dyDescent="0.2">
      <c r="A356" s="30"/>
      <c r="B356" s="30"/>
      <c r="C356" s="30" t="s">
        <v>322</v>
      </c>
      <c r="D356" s="426">
        <v>619</v>
      </c>
      <c r="E356" s="30" t="s">
        <v>360</v>
      </c>
      <c r="F356" s="30" t="s">
        <v>6</v>
      </c>
      <c r="G356" s="34" t="s">
        <v>454</v>
      </c>
      <c r="H356" s="30" t="s">
        <v>461</v>
      </c>
      <c r="I356" s="34" t="s">
        <v>775</v>
      </c>
      <c r="J356" s="34" t="s">
        <v>149</v>
      </c>
      <c r="K356" s="580">
        <f>31.87*15%</f>
        <v>4.7805</v>
      </c>
      <c r="L356" s="580">
        <v>2080</v>
      </c>
      <c r="M356" s="580"/>
      <c r="N356" s="580">
        <f t="shared" si="786"/>
        <v>9943.44</v>
      </c>
      <c r="O356" s="580"/>
      <c r="P356" s="580">
        <f t="shared" si="787"/>
        <v>3559.7515200000003</v>
      </c>
      <c r="Q356" s="580">
        <f t="shared" si="788"/>
        <v>144.17988000000003</v>
      </c>
      <c r="R356" s="580">
        <v>0</v>
      </c>
      <c r="S356" s="580"/>
      <c r="T356" s="580"/>
      <c r="U356" s="580"/>
      <c r="V356" s="473">
        <f t="shared" ref="V356" si="795">SUM(N356:U356)</f>
        <v>13647.3714</v>
      </c>
      <c r="W356" s="580">
        <f t="shared" si="761"/>
        <v>0</v>
      </c>
      <c r="X356" s="580"/>
      <c r="Y356" s="581">
        <f t="shared" si="762"/>
        <v>13647.3714</v>
      </c>
    </row>
    <row r="357" spans="1:26" ht="12.75" customHeight="1" x14ac:dyDescent="0.2">
      <c r="A357" s="30"/>
      <c r="B357" s="30"/>
      <c r="C357" s="30" t="s">
        <v>322</v>
      </c>
      <c r="D357" s="426">
        <v>619</v>
      </c>
      <c r="E357" s="30" t="s">
        <v>360</v>
      </c>
      <c r="F357" s="30" t="s">
        <v>6</v>
      </c>
      <c r="G357" s="34" t="s">
        <v>454</v>
      </c>
      <c r="H357" s="30" t="s">
        <v>461</v>
      </c>
      <c r="I357" s="34" t="s">
        <v>775</v>
      </c>
      <c r="J357" s="34" t="s">
        <v>152</v>
      </c>
      <c r="K357" s="580">
        <f>31.87*3%</f>
        <v>0.95609999999999995</v>
      </c>
      <c r="L357" s="580">
        <v>2080</v>
      </c>
      <c r="M357" s="580"/>
      <c r="N357" s="580">
        <f t="shared" si="786"/>
        <v>1988.6879999999999</v>
      </c>
      <c r="O357" s="580"/>
      <c r="P357" s="580">
        <f t="shared" si="787"/>
        <v>711.95030399999996</v>
      </c>
      <c r="Q357" s="580">
        <f t="shared" si="788"/>
        <v>28.835975999999999</v>
      </c>
      <c r="R357" s="580">
        <v>0</v>
      </c>
      <c r="S357" s="580"/>
      <c r="T357" s="580"/>
      <c r="U357" s="580"/>
      <c r="V357" s="473">
        <f t="shared" ref="V357" si="796">SUM(N357:U357)</f>
        <v>2729.4742799999999</v>
      </c>
      <c r="W357" s="580">
        <f t="shared" si="761"/>
        <v>0</v>
      </c>
      <c r="X357" s="580"/>
      <c r="Y357" s="581">
        <f t="shared" si="762"/>
        <v>2729.4742799999999</v>
      </c>
      <c r="Z357" s="432"/>
    </row>
    <row r="358" spans="1:26" s="432" customFormat="1" ht="12.75" customHeight="1" x14ac:dyDescent="0.2">
      <c r="A358" s="30"/>
      <c r="B358" s="30"/>
      <c r="C358" s="30" t="s">
        <v>322</v>
      </c>
      <c r="D358" s="426">
        <v>619</v>
      </c>
      <c r="E358" s="30" t="s">
        <v>360</v>
      </c>
      <c r="F358" s="30" t="s">
        <v>6</v>
      </c>
      <c r="G358" s="34" t="s">
        <v>454</v>
      </c>
      <c r="H358" s="30" t="s">
        <v>461</v>
      </c>
      <c r="I358" s="34" t="s">
        <v>775</v>
      </c>
      <c r="J358" s="34" t="s">
        <v>145</v>
      </c>
      <c r="K358" s="580">
        <f>31.87*15%</f>
        <v>4.7805</v>
      </c>
      <c r="L358" s="580">
        <v>2080</v>
      </c>
      <c r="M358" s="580"/>
      <c r="N358" s="580">
        <f t="shared" si="786"/>
        <v>9943.44</v>
      </c>
      <c r="O358" s="580"/>
      <c r="P358" s="580">
        <f t="shared" si="787"/>
        <v>3559.7515200000003</v>
      </c>
      <c r="Q358" s="580">
        <f t="shared" si="788"/>
        <v>144.17988000000003</v>
      </c>
      <c r="R358" s="580">
        <v>0</v>
      </c>
      <c r="S358" s="580"/>
      <c r="T358" s="580"/>
      <c r="U358" s="580"/>
      <c r="V358" s="473">
        <f t="shared" ref="V358" si="797">SUM(N358:U358)</f>
        <v>13647.3714</v>
      </c>
      <c r="W358" s="580">
        <f t="shared" si="761"/>
        <v>0</v>
      </c>
      <c r="X358" s="580"/>
      <c r="Y358" s="581">
        <f t="shared" si="762"/>
        <v>13647.3714</v>
      </c>
    </row>
    <row r="359" spans="1:26" s="432" customFormat="1" ht="12.75" customHeight="1" x14ac:dyDescent="0.2">
      <c r="A359" s="30"/>
      <c r="B359" s="30"/>
      <c r="C359" s="30" t="s">
        <v>322</v>
      </c>
      <c r="D359" s="426">
        <v>619</v>
      </c>
      <c r="E359" s="30" t="s">
        <v>360</v>
      </c>
      <c r="F359" s="30" t="s">
        <v>6</v>
      </c>
      <c r="G359" s="34" t="s">
        <v>454</v>
      </c>
      <c r="H359" s="30" t="s">
        <v>461</v>
      </c>
      <c r="I359" s="34" t="s">
        <v>775</v>
      </c>
      <c r="J359" s="34" t="s">
        <v>125</v>
      </c>
      <c r="K359" s="580">
        <f t="shared" si="793"/>
        <v>1.5935000000000001</v>
      </c>
      <c r="L359" s="580">
        <v>2080</v>
      </c>
      <c r="M359" s="580"/>
      <c r="N359" s="580">
        <f t="shared" si="786"/>
        <v>3314.4800000000005</v>
      </c>
      <c r="O359" s="580"/>
      <c r="P359" s="580">
        <f t="shared" si="787"/>
        <v>1186.58384</v>
      </c>
      <c r="Q359" s="580">
        <f t="shared" si="788"/>
        <v>48.059960000000011</v>
      </c>
      <c r="R359" s="580">
        <v>0</v>
      </c>
      <c r="S359" s="580"/>
      <c r="T359" s="580"/>
      <c r="U359" s="580"/>
      <c r="V359" s="473">
        <f t="shared" ref="V359" si="798">SUM(N359:U359)</f>
        <v>4549.1238000000003</v>
      </c>
      <c r="W359" s="580">
        <f t="shared" si="761"/>
        <v>0</v>
      </c>
      <c r="X359" s="580"/>
      <c r="Y359" s="581">
        <f t="shared" si="762"/>
        <v>4549.1238000000003</v>
      </c>
    </row>
    <row r="360" spans="1:26" ht="12.75" customHeight="1" x14ac:dyDescent="0.2">
      <c r="A360" s="30">
        <v>174670</v>
      </c>
      <c r="B360" s="30"/>
      <c r="C360" s="30" t="s">
        <v>308</v>
      </c>
      <c r="D360" s="426">
        <v>618</v>
      </c>
      <c r="E360" s="30" t="s">
        <v>372</v>
      </c>
      <c r="F360" s="30" t="s">
        <v>6</v>
      </c>
      <c r="G360" s="34" t="s">
        <v>454</v>
      </c>
      <c r="H360" s="30" t="s">
        <v>461</v>
      </c>
      <c r="I360" s="34" t="s">
        <v>39</v>
      </c>
      <c r="J360" s="34" t="s">
        <v>161</v>
      </c>
      <c r="K360" s="580">
        <f>31.28*33.33%</f>
        <v>10.425623999999999</v>
      </c>
      <c r="L360" s="580">
        <v>2080</v>
      </c>
      <c r="M360" s="580"/>
      <c r="N360" s="580">
        <f>IF(H360="1",(L360*K360)+(M360*K360),0)</f>
        <v>21685.297919999997</v>
      </c>
      <c r="O360" s="580"/>
      <c r="P360" s="580">
        <f>(N360-(M360*K360))*$P$27</f>
        <v>7763.336655359999</v>
      </c>
      <c r="Q360" s="580">
        <f>N360*$Q$27</f>
        <v>314.43681984</v>
      </c>
      <c r="R360" s="580">
        <v>0</v>
      </c>
      <c r="S360" s="580">
        <f>IF(H360="1",3242.52*2,0)</f>
        <v>6485.04</v>
      </c>
      <c r="T360" s="580">
        <f>IF(H360="1",276.36*2,0)</f>
        <v>552.72</v>
      </c>
      <c r="U360" s="580">
        <f>IF(H360="1",162*2,0)</f>
        <v>324</v>
      </c>
      <c r="V360" s="473">
        <f t="shared" ref="V360" si="799">SUM(N360:U360)</f>
        <v>37124.831395199995</v>
      </c>
      <c r="W360" s="580">
        <f t="shared" si="761"/>
        <v>0</v>
      </c>
      <c r="X360" s="580"/>
      <c r="Y360" s="581">
        <f t="shared" si="762"/>
        <v>37124.831395199995</v>
      </c>
      <c r="Z360" s="432"/>
    </row>
    <row r="361" spans="1:26" s="432" customFormat="1" ht="12.75" customHeight="1" x14ac:dyDescent="0.2">
      <c r="A361" s="30"/>
      <c r="B361" s="30"/>
      <c r="C361" s="30" t="s">
        <v>308</v>
      </c>
      <c r="D361" s="426">
        <v>618</v>
      </c>
      <c r="E361" s="30" t="s">
        <v>372</v>
      </c>
      <c r="F361" s="30" t="s">
        <v>6</v>
      </c>
      <c r="G361" s="34" t="s">
        <v>454</v>
      </c>
      <c r="H361" s="30" t="s">
        <v>461</v>
      </c>
      <c r="I361" s="34" t="s">
        <v>39</v>
      </c>
      <c r="J361" s="34" t="s">
        <v>114</v>
      </c>
      <c r="K361" s="580">
        <f t="shared" ref="K361" si="800">31.28*33.33%</f>
        <v>10.425623999999999</v>
      </c>
      <c r="L361" s="580">
        <v>2080</v>
      </c>
      <c r="M361" s="580"/>
      <c r="N361" s="580">
        <f t="shared" ref="N361:N362" si="801">IF(H361="1",(L361*K361)+(M361*K361),0)</f>
        <v>21685.297919999997</v>
      </c>
      <c r="O361" s="580"/>
      <c r="P361" s="580">
        <f t="shared" ref="P361:P362" si="802">(N361-(M361*K361))*$P$27</f>
        <v>7763.336655359999</v>
      </c>
      <c r="Q361" s="580">
        <f t="shared" ref="Q361:Q362" si="803">N361*$Q$27</f>
        <v>314.43681984</v>
      </c>
      <c r="R361" s="580">
        <v>0</v>
      </c>
      <c r="S361" s="580"/>
      <c r="T361" s="580"/>
      <c r="U361" s="580"/>
      <c r="V361" s="473">
        <f t="shared" ref="V361" si="804">SUM(N361:U361)</f>
        <v>29763.071395199997</v>
      </c>
      <c r="W361" s="580">
        <f t="shared" si="761"/>
        <v>0</v>
      </c>
      <c r="X361" s="580"/>
      <c r="Y361" s="581">
        <f t="shared" si="762"/>
        <v>29763.071395199997</v>
      </c>
    </row>
    <row r="362" spans="1:26" s="432" customFormat="1" ht="12.75" customHeight="1" x14ac:dyDescent="0.2">
      <c r="A362" s="30"/>
      <c r="B362" s="30"/>
      <c r="C362" s="30" t="s">
        <v>308</v>
      </c>
      <c r="D362" s="426">
        <v>618</v>
      </c>
      <c r="E362" s="30" t="s">
        <v>372</v>
      </c>
      <c r="F362" s="30" t="s">
        <v>6</v>
      </c>
      <c r="G362" s="34" t="s">
        <v>454</v>
      </c>
      <c r="H362" s="30" t="s">
        <v>461</v>
      </c>
      <c r="I362" s="34" t="s">
        <v>39</v>
      </c>
      <c r="J362" s="34" t="s">
        <v>117</v>
      </c>
      <c r="K362" s="580">
        <f>31.28*33.34%</f>
        <v>10.428752000000001</v>
      </c>
      <c r="L362" s="580">
        <v>2080</v>
      </c>
      <c r="M362" s="580"/>
      <c r="N362" s="580">
        <f t="shared" si="801"/>
        <v>21691.804160000003</v>
      </c>
      <c r="O362" s="580"/>
      <c r="P362" s="580">
        <f t="shared" si="802"/>
        <v>7765.6658892800006</v>
      </c>
      <c r="Q362" s="580">
        <f t="shared" si="803"/>
        <v>314.53116032000008</v>
      </c>
      <c r="R362" s="580">
        <v>0</v>
      </c>
      <c r="S362" s="580"/>
      <c r="T362" s="580"/>
      <c r="U362" s="580"/>
      <c r="V362" s="473">
        <f t="shared" ref="V362" si="805">SUM(N362:U362)</f>
        <v>29772.001209600003</v>
      </c>
      <c r="W362" s="580">
        <f t="shared" si="761"/>
        <v>0</v>
      </c>
      <c r="X362" s="580"/>
      <c r="Y362" s="581">
        <f t="shared" si="762"/>
        <v>29772.001209600003</v>
      </c>
    </row>
    <row r="363" spans="1:26" s="432" customFormat="1" ht="12.75" customHeight="1" x14ac:dyDescent="0.2">
      <c r="A363" s="30">
        <v>280904</v>
      </c>
      <c r="B363" s="30"/>
      <c r="C363" s="30" t="s">
        <v>260</v>
      </c>
      <c r="D363" s="426">
        <v>613</v>
      </c>
      <c r="E363" s="30" t="s">
        <v>362</v>
      </c>
      <c r="F363" s="30" t="s">
        <v>6</v>
      </c>
      <c r="G363" s="34" t="s">
        <v>454</v>
      </c>
      <c r="H363" s="30" t="s">
        <v>461</v>
      </c>
      <c r="I363" s="30" t="s">
        <v>685</v>
      </c>
      <c r="J363" s="34" t="s">
        <v>161</v>
      </c>
      <c r="K363" s="731">
        <f>17.66*1.105*5%</f>
        <v>0.975715</v>
      </c>
      <c r="L363" s="580">
        <v>2080</v>
      </c>
      <c r="M363" s="580"/>
      <c r="N363" s="580">
        <f>IF(H363="1",(L363*K363)+(M363*K363),0)</f>
        <v>2029.4872</v>
      </c>
      <c r="O363" s="580"/>
      <c r="P363" s="580">
        <f>(N363-(M363*K363))*$P$27</f>
        <v>726.55641760000003</v>
      </c>
      <c r="Q363" s="580">
        <f>N363*$Q$27</f>
        <v>29.427564400000001</v>
      </c>
      <c r="R363" s="580">
        <v>0</v>
      </c>
      <c r="S363" s="580">
        <f>IF(H363="1",2828.52*2,0)</f>
        <v>5657.04</v>
      </c>
      <c r="T363" s="580">
        <f>IF(H363="1",127.2*2,0)</f>
        <v>254.4</v>
      </c>
      <c r="U363" s="580">
        <v>0</v>
      </c>
      <c r="V363" s="473">
        <f t="shared" ref="V363" si="806">SUM(N363:U363)</f>
        <v>8696.9111819999998</v>
      </c>
      <c r="W363" s="580">
        <f t="shared" si="761"/>
        <v>0</v>
      </c>
      <c r="X363" s="580"/>
      <c r="Y363" s="581">
        <f t="shared" si="762"/>
        <v>8696.9111819999998</v>
      </c>
    </row>
    <row r="364" spans="1:26" s="432" customFormat="1" ht="12.75" customHeight="1" x14ac:dyDescent="0.2">
      <c r="A364" s="30"/>
      <c r="B364" s="30"/>
      <c r="C364" s="30" t="s">
        <v>260</v>
      </c>
      <c r="D364" s="426">
        <v>613</v>
      </c>
      <c r="E364" s="30" t="s">
        <v>362</v>
      </c>
      <c r="F364" s="30" t="s">
        <v>6</v>
      </c>
      <c r="G364" s="34" t="s">
        <v>454</v>
      </c>
      <c r="H364" s="30" t="s">
        <v>461</v>
      </c>
      <c r="I364" s="30" t="s">
        <v>685</v>
      </c>
      <c r="J364" s="34" t="s">
        <v>1477</v>
      </c>
      <c r="K364" s="731">
        <f>17.66*1.105*7%</f>
        <v>1.366001</v>
      </c>
      <c r="L364" s="580">
        <v>2080</v>
      </c>
      <c r="M364" s="580"/>
      <c r="N364" s="580">
        <f t="shared" ref="N364:N385" si="807">IF(H364="1",(L364*K364)+(M364*K364),0)</f>
        <v>2841.28208</v>
      </c>
      <c r="O364" s="580"/>
      <c r="P364" s="580">
        <f t="shared" ref="P364:P368" si="808">(N364-(M364*K364))*$P$27</f>
        <v>1017.17898464</v>
      </c>
      <c r="Q364" s="580">
        <f t="shared" ref="Q364:Q385" si="809">N364*$Q$27</f>
        <v>41.198590160000002</v>
      </c>
      <c r="R364" s="580">
        <v>0</v>
      </c>
      <c r="S364" s="580"/>
      <c r="T364" s="580"/>
      <c r="U364" s="580"/>
      <c r="V364" s="473">
        <f t="shared" ref="V364" si="810">SUM(N364:U364)</f>
        <v>3899.6596547999998</v>
      </c>
      <c r="W364" s="580">
        <f t="shared" si="761"/>
        <v>0</v>
      </c>
      <c r="X364" s="580"/>
      <c r="Y364" s="581">
        <f t="shared" si="762"/>
        <v>3899.6596547999998</v>
      </c>
    </row>
    <row r="365" spans="1:26" s="432" customFormat="1" ht="12.75" customHeight="1" x14ac:dyDescent="0.2">
      <c r="A365" s="30"/>
      <c r="B365" s="30"/>
      <c r="C365" s="30" t="s">
        <v>260</v>
      </c>
      <c r="D365" s="426">
        <v>613</v>
      </c>
      <c r="E365" s="30" t="s">
        <v>362</v>
      </c>
      <c r="F365" s="30" t="s">
        <v>6</v>
      </c>
      <c r="G365" s="34" t="s">
        <v>454</v>
      </c>
      <c r="H365" s="30" t="s">
        <v>461</v>
      </c>
      <c r="I365" s="30" t="s">
        <v>685</v>
      </c>
      <c r="J365" s="34" t="s">
        <v>135</v>
      </c>
      <c r="K365" s="731">
        <f>17.66*1.105*7%</f>
        <v>1.366001</v>
      </c>
      <c r="L365" s="580">
        <v>2080</v>
      </c>
      <c r="M365" s="580"/>
      <c r="N365" s="580">
        <f t="shared" si="807"/>
        <v>2841.28208</v>
      </c>
      <c r="O365" s="580"/>
      <c r="P365" s="580">
        <f t="shared" si="808"/>
        <v>1017.17898464</v>
      </c>
      <c r="Q365" s="580">
        <f t="shared" si="809"/>
        <v>41.198590160000002</v>
      </c>
      <c r="R365" s="580">
        <v>0</v>
      </c>
      <c r="S365" s="580"/>
      <c r="T365" s="580"/>
      <c r="U365" s="580"/>
      <c r="V365" s="473">
        <f t="shared" ref="V365" si="811">SUM(N365:U365)</f>
        <v>3899.6596547999998</v>
      </c>
      <c r="W365" s="580">
        <f t="shared" si="761"/>
        <v>0</v>
      </c>
      <c r="X365" s="580"/>
      <c r="Y365" s="581">
        <f t="shared" si="762"/>
        <v>3899.6596547999998</v>
      </c>
    </row>
    <row r="366" spans="1:26" ht="12.75" customHeight="1" x14ac:dyDescent="0.2">
      <c r="A366" s="30"/>
      <c r="B366" s="30"/>
      <c r="C366" s="30" t="s">
        <v>260</v>
      </c>
      <c r="D366" s="426">
        <v>613</v>
      </c>
      <c r="E366" s="30" t="s">
        <v>362</v>
      </c>
      <c r="F366" s="30" t="s">
        <v>6</v>
      </c>
      <c r="G366" s="34" t="s">
        <v>454</v>
      </c>
      <c r="H366" s="30" t="s">
        <v>461</v>
      </c>
      <c r="I366" s="30" t="s">
        <v>685</v>
      </c>
      <c r="J366" s="659" t="s">
        <v>692</v>
      </c>
      <c r="K366" s="731">
        <f>17.66*1.105*3%</f>
        <v>0.58542899999999998</v>
      </c>
      <c r="L366" s="580">
        <v>2080</v>
      </c>
      <c r="M366" s="580"/>
      <c r="N366" s="580">
        <f t="shared" si="807"/>
        <v>1217.6923199999999</v>
      </c>
      <c r="O366" s="580"/>
      <c r="P366" s="580">
        <f t="shared" si="808"/>
        <v>435.93385055999994</v>
      </c>
      <c r="Q366" s="580">
        <f t="shared" si="809"/>
        <v>17.656538640000001</v>
      </c>
      <c r="R366" s="580">
        <v>0</v>
      </c>
      <c r="S366" s="580"/>
      <c r="T366" s="580"/>
      <c r="U366" s="580"/>
      <c r="V366" s="473">
        <f t="shared" ref="V366" si="812">SUM(N366:U366)</f>
        <v>1671.2827091999998</v>
      </c>
      <c r="W366" s="580">
        <f t="shared" si="761"/>
        <v>0</v>
      </c>
      <c r="X366" s="580"/>
      <c r="Y366" s="581">
        <f t="shared" si="762"/>
        <v>1671.2827091999998</v>
      </c>
      <c r="Z366" s="432"/>
    </row>
    <row r="367" spans="1:26" s="432" customFormat="1" ht="12.75" customHeight="1" x14ac:dyDescent="0.2">
      <c r="A367" s="30"/>
      <c r="B367" s="30"/>
      <c r="C367" s="30" t="s">
        <v>260</v>
      </c>
      <c r="D367" s="426">
        <v>613</v>
      </c>
      <c r="E367" s="30" t="s">
        <v>362</v>
      </c>
      <c r="F367" s="30" t="s">
        <v>6</v>
      </c>
      <c r="G367" s="34" t="s">
        <v>454</v>
      </c>
      <c r="H367" s="30" t="s">
        <v>461</v>
      </c>
      <c r="I367" s="30" t="s">
        <v>685</v>
      </c>
      <c r="J367" s="659" t="s">
        <v>114</v>
      </c>
      <c r="K367" s="731">
        <f>17.66*1.105*27%</f>
        <v>5.2688610000000002</v>
      </c>
      <c r="L367" s="580">
        <v>2080</v>
      </c>
      <c r="M367" s="580"/>
      <c r="N367" s="580">
        <f t="shared" si="807"/>
        <v>10959.230880000001</v>
      </c>
      <c r="O367" s="580"/>
      <c r="P367" s="580">
        <f t="shared" si="808"/>
        <v>3923.4046550400003</v>
      </c>
      <c r="Q367" s="580">
        <f t="shared" si="809"/>
        <v>158.90884776000001</v>
      </c>
      <c r="R367" s="580">
        <v>0</v>
      </c>
      <c r="S367" s="580"/>
      <c r="T367" s="580"/>
      <c r="U367" s="580"/>
      <c r="V367" s="473">
        <f t="shared" ref="V367" si="813">SUM(N367:U367)</f>
        <v>15041.544382800001</v>
      </c>
      <c r="W367" s="580">
        <f t="shared" si="761"/>
        <v>0</v>
      </c>
      <c r="X367" s="580"/>
      <c r="Y367" s="581">
        <f t="shared" si="762"/>
        <v>15041.544382800001</v>
      </c>
    </row>
    <row r="368" spans="1:26" s="432" customFormat="1" ht="12.75" customHeight="1" x14ac:dyDescent="0.2">
      <c r="A368" s="30"/>
      <c r="B368" s="30"/>
      <c r="C368" s="30" t="s">
        <v>260</v>
      </c>
      <c r="D368" s="426">
        <v>613</v>
      </c>
      <c r="E368" s="30" t="s">
        <v>362</v>
      </c>
      <c r="F368" s="30" t="s">
        <v>6</v>
      </c>
      <c r="G368" s="34" t="s">
        <v>454</v>
      </c>
      <c r="H368" s="30" t="s">
        <v>461</v>
      </c>
      <c r="I368" s="30" t="s">
        <v>685</v>
      </c>
      <c r="J368" s="659" t="s">
        <v>117</v>
      </c>
      <c r="K368" s="731">
        <f>17.66*1.105*51%</f>
        <v>9.9522929999999992</v>
      </c>
      <c r="L368" s="580">
        <v>2080</v>
      </c>
      <c r="M368" s="580"/>
      <c r="N368" s="580">
        <f t="shared" si="807"/>
        <v>20700.76944</v>
      </c>
      <c r="O368" s="580"/>
      <c r="P368" s="580">
        <f t="shared" si="808"/>
        <v>7410.8754595199998</v>
      </c>
      <c r="Q368" s="580">
        <f t="shared" si="809"/>
        <v>300.16115688000002</v>
      </c>
      <c r="R368" s="580">
        <v>0</v>
      </c>
      <c r="S368" s="580"/>
      <c r="T368" s="580"/>
      <c r="U368" s="580"/>
      <c r="V368" s="473">
        <f t="shared" ref="V368" si="814">SUM(N368:U368)</f>
        <v>28411.806056400001</v>
      </c>
      <c r="W368" s="580">
        <f t="shared" si="761"/>
        <v>0</v>
      </c>
      <c r="X368" s="580"/>
      <c r="Y368" s="581">
        <f t="shared" si="762"/>
        <v>28411.806056400001</v>
      </c>
    </row>
    <row r="369" spans="1:26" s="432" customFormat="1" ht="12.75" customHeight="1" x14ac:dyDescent="0.2">
      <c r="A369" s="30">
        <v>280613</v>
      </c>
      <c r="B369" s="30"/>
      <c r="C369" s="30" t="s">
        <v>290</v>
      </c>
      <c r="D369" s="426">
        <v>611</v>
      </c>
      <c r="E369" s="30" t="s">
        <v>365</v>
      </c>
      <c r="F369" s="30" t="s">
        <v>6</v>
      </c>
      <c r="G369" s="34" t="s">
        <v>454</v>
      </c>
      <c r="H369" s="30" t="s">
        <v>461</v>
      </c>
      <c r="I369" s="34" t="s">
        <v>38</v>
      </c>
      <c r="J369" s="34" t="s">
        <v>133</v>
      </c>
      <c r="K369" s="580">
        <f>22.1*5%</f>
        <v>1.1050000000000002</v>
      </c>
      <c r="L369" s="580">
        <v>2080</v>
      </c>
      <c r="M369" s="580"/>
      <c r="N369" s="580">
        <f t="shared" si="807"/>
        <v>2298.4000000000005</v>
      </c>
      <c r="O369" s="580"/>
      <c r="P369" s="580">
        <f>(N369-(M369*K369))*$P$27</f>
        <v>822.82720000000018</v>
      </c>
      <c r="Q369" s="580">
        <f t="shared" si="809"/>
        <v>33.326800000000013</v>
      </c>
      <c r="R369" s="580">
        <v>0</v>
      </c>
      <c r="S369" s="580">
        <v>0</v>
      </c>
      <c r="T369" s="580">
        <f>IF(H369="1",154.92*2,0)</f>
        <v>309.83999999999997</v>
      </c>
      <c r="U369" s="580">
        <v>0</v>
      </c>
      <c r="V369" s="473">
        <f t="shared" ref="V369" si="815">SUM(N369:U369)</f>
        <v>3464.3940000000007</v>
      </c>
      <c r="W369" s="580">
        <f t="shared" si="761"/>
        <v>0</v>
      </c>
      <c r="X369" s="580"/>
      <c r="Y369" s="581">
        <f t="shared" si="762"/>
        <v>3464.3940000000007</v>
      </c>
    </row>
    <row r="370" spans="1:26" s="432" customFormat="1" ht="12.75" customHeight="1" x14ac:dyDescent="0.2">
      <c r="A370" s="30"/>
      <c r="B370" s="30"/>
      <c r="C370" s="30" t="s">
        <v>290</v>
      </c>
      <c r="D370" s="426">
        <v>611</v>
      </c>
      <c r="E370" s="30" t="s">
        <v>365</v>
      </c>
      <c r="F370" s="30" t="s">
        <v>6</v>
      </c>
      <c r="G370" s="34" t="s">
        <v>454</v>
      </c>
      <c r="H370" s="30" t="s">
        <v>461</v>
      </c>
      <c r="I370" s="34" t="s">
        <v>38</v>
      </c>
      <c r="J370" s="34" t="s">
        <v>131</v>
      </c>
      <c r="K370" s="580">
        <f t="shared" ref="K370:K373" si="816">22.1*5%</f>
        <v>1.1050000000000002</v>
      </c>
      <c r="L370" s="580">
        <v>2080</v>
      </c>
      <c r="M370" s="580"/>
      <c r="N370" s="580">
        <f t="shared" si="807"/>
        <v>2298.4000000000005</v>
      </c>
      <c r="O370" s="580"/>
      <c r="P370" s="580">
        <f t="shared" ref="P370:P373" si="817">(N370-(M370*K370))*$P$27</f>
        <v>822.82720000000018</v>
      </c>
      <c r="Q370" s="580">
        <f t="shared" si="809"/>
        <v>33.326800000000013</v>
      </c>
      <c r="R370" s="580">
        <v>0</v>
      </c>
      <c r="S370" s="580"/>
      <c r="T370" s="580"/>
      <c r="U370" s="580"/>
      <c r="V370" s="473">
        <f t="shared" ref="V370" si="818">SUM(N370:U370)</f>
        <v>3154.5540000000005</v>
      </c>
      <c r="W370" s="580">
        <f t="shared" si="761"/>
        <v>0</v>
      </c>
      <c r="X370" s="580"/>
      <c r="Y370" s="581">
        <f t="shared" si="762"/>
        <v>3154.5540000000005</v>
      </c>
    </row>
    <row r="371" spans="1:26" ht="12.75" customHeight="1" x14ac:dyDescent="0.2">
      <c r="A371" s="30"/>
      <c r="B371" s="30"/>
      <c r="C371" s="30" t="s">
        <v>290</v>
      </c>
      <c r="D371" s="426">
        <v>611</v>
      </c>
      <c r="E371" s="30" t="s">
        <v>365</v>
      </c>
      <c r="F371" s="30" t="s">
        <v>6</v>
      </c>
      <c r="G371" s="34" t="s">
        <v>454</v>
      </c>
      <c r="H371" s="30" t="s">
        <v>461</v>
      </c>
      <c r="I371" s="34" t="s">
        <v>38</v>
      </c>
      <c r="J371" s="34" t="s">
        <v>1478</v>
      </c>
      <c r="K371" s="580">
        <f>22.1*10%</f>
        <v>2.2100000000000004</v>
      </c>
      <c r="L371" s="580">
        <v>2080</v>
      </c>
      <c r="M371" s="580"/>
      <c r="N371" s="580">
        <f t="shared" si="807"/>
        <v>4596.8000000000011</v>
      </c>
      <c r="O371" s="580"/>
      <c r="P371" s="580">
        <f t="shared" si="817"/>
        <v>1645.6544000000004</v>
      </c>
      <c r="Q371" s="580">
        <f t="shared" si="809"/>
        <v>66.653600000000026</v>
      </c>
      <c r="R371" s="580">
        <v>0</v>
      </c>
      <c r="S371" s="580"/>
      <c r="T371" s="580"/>
      <c r="U371" s="580"/>
      <c r="V371" s="473">
        <f t="shared" ref="V371" si="819">SUM(N371:U371)</f>
        <v>6309.1080000000011</v>
      </c>
      <c r="W371" s="580">
        <f t="shared" si="761"/>
        <v>0</v>
      </c>
      <c r="X371" s="580"/>
      <c r="Y371" s="581">
        <f t="shared" si="762"/>
        <v>6309.1080000000011</v>
      </c>
      <c r="Z371" s="432"/>
    </row>
    <row r="372" spans="1:26" ht="12.75" customHeight="1" x14ac:dyDescent="0.2">
      <c r="A372" s="30"/>
      <c r="B372" s="30"/>
      <c r="C372" s="30" t="s">
        <v>290</v>
      </c>
      <c r="D372" s="426">
        <v>611</v>
      </c>
      <c r="E372" s="30" t="s">
        <v>365</v>
      </c>
      <c r="F372" s="30" t="s">
        <v>6</v>
      </c>
      <c r="G372" s="34" t="s">
        <v>454</v>
      </c>
      <c r="H372" s="30" t="s">
        <v>461</v>
      </c>
      <c r="I372" s="34" t="s">
        <v>38</v>
      </c>
      <c r="J372" s="34" t="s">
        <v>128</v>
      </c>
      <c r="K372" s="580">
        <f>22.1*75%</f>
        <v>16.575000000000003</v>
      </c>
      <c r="L372" s="580">
        <v>2080</v>
      </c>
      <c r="M372" s="580"/>
      <c r="N372" s="580">
        <f t="shared" si="807"/>
        <v>34476.000000000007</v>
      </c>
      <c r="O372" s="580"/>
      <c r="P372" s="580">
        <f t="shared" si="817"/>
        <v>12342.408000000001</v>
      </c>
      <c r="Q372" s="580">
        <f t="shared" si="809"/>
        <v>499.90200000000016</v>
      </c>
      <c r="R372" s="580">
        <v>0</v>
      </c>
      <c r="S372" s="580"/>
      <c r="T372" s="580"/>
      <c r="U372" s="580"/>
      <c r="V372" s="473">
        <f t="shared" ref="V372" si="820">SUM(N372:U372)</f>
        <v>47318.310000000012</v>
      </c>
      <c r="W372" s="580">
        <f t="shared" si="761"/>
        <v>0</v>
      </c>
      <c r="X372" s="580"/>
      <c r="Y372" s="581">
        <f t="shared" si="762"/>
        <v>47318.310000000012</v>
      </c>
      <c r="Z372" s="432"/>
    </row>
    <row r="373" spans="1:26" ht="12.75" customHeight="1" x14ac:dyDescent="0.2">
      <c r="A373" s="30"/>
      <c r="B373" s="30"/>
      <c r="C373" s="30" t="s">
        <v>290</v>
      </c>
      <c r="D373" s="426">
        <v>611</v>
      </c>
      <c r="E373" s="30" t="s">
        <v>365</v>
      </c>
      <c r="F373" s="30" t="s">
        <v>6</v>
      </c>
      <c r="G373" s="34" t="s">
        <v>454</v>
      </c>
      <c r="H373" s="30" t="s">
        <v>461</v>
      </c>
      <c r="I373" s="34" t="s">
        <v>38</v>
      </c>
      <c r="J373" s="34" t="s">
        <v>129</v>
      </c>
      <c r="K373" s="580">
        <f t="shared" si="816"/>
        <v>1.1050000000000002</v>
      </c>
      <c r="L373" s="580">
        <v>2080</v>
      </c>
      <c r="M373" s="580"/>
      <c r="N373" s="580">
        <f t="shared" si="807"/>
        <v>2298.4000000000005</v>
      </c>
      <c r="O373" s="580"/>
      <c r="P373" s="580">
        <f t="shared" si="817"/>
        <v>822.82720000000018</v>
      </c>
      <c r="Q373" s="580">
        <f t="shared" si="809"/>
        <v>33.326800000000013</v>
      </c>
      <c r="R373" s="580">
        <v>0</v>
      </c>
      <c r="S373" s="580"/>
      <c r="T373" s="580"/>
      <c r="U373" s="580"/>
      <c r="V373" s="473">
        <f t="shared" ref="V373:V394" si="821">SUM(N373:U373)</f>
        <v>3154.5540000000005</v>
      </c>
      <c r="W373" s="580">
        <f t="shared" si="761"/>
        <v>0</v>
      </c>
      <c r="X373" s="580"/>
      <c r="Y373" s="581">
        <f t="shared" si="762"/>
        <v>3154.5540000000005</v>
      </c>
      <c r="Z373" s="432"/>
    </row>
    <row r="374" spans="1:26" s="432" customFormat="1" ht="12.75" customHeight="1" x14ac:dyDescent="0.2">
      <c r="A374" s="30">
        <v>297685</v>
      </c>
      <c r="B374" s="30"/>
      <c r="C374" s="34" t="s">
        <v>1419</v>
      </c>
      <c r="D374" s="426" t="s">
        <v>333</v>
      </c>
      <c r="E374" s="30" t="s">
        <v>747</v>
      </c>
      <c r="F374" s="34" t="s">
        <v>453</v>
      </c>
      <c r="G374" s="34" t="s">
        <v>792</v>
      </c>
      <c r="H374" s="30" t="s">
        <v>461</v>
      </c>
      <c r="I374" s="34" t="s">
        <v>27</v>
      </c>
      <c r="J374" s="34" t="s">
        <v>62</v>
      </c>
      <c r="K374" s="580">
        <v>50</v>
      </c>
      <c r="L374" s="580">
        <v>18</v>
      </c>
      <c r="M374" s="580"/>
      <c r="N374" s="580">
        <f t="shared" si="807"/>
        <v>900</v>
      </c>
      <c r="O374" s="580"/>
      <c r="P374" s="580">
        <v>0</v>
      </c>
      <c r="Q374" s="580">
        <f t="shared" si="809"/>
        <v>13.05</v>
      </c>
      <c r="R374" s="580">
        <f>N374*$R$27</f>
        <v>55.8</v>
      </c>
      <c r="S374" s="580">
        <v>0</v>
      </c>
      <c r="T374" s="580">
        <v>0</v>
      </c>
      <c r="U374" s="580">
        <v>0</v>
      </c>
      <c r="V374" s="473">
        <f t="shared" si="821"/>
        <v>968.84999999999991</v>
      </c>
      <c r="W374" s="580">
        <f t="shared" si="761"/>
        <v>0</v>
      </c>
      <c r="X374" s="580"/>
      <c r="Y374" s="581">
        <f t="shared" si="762"/>
        <v>968.84999999999991</v>
      </c>
    </row>
    <row r="375" spans="1:26" s="432" customFormat="1" ht="12.75" customHeight="1" x14ac:dyDescent="0.2">
      <c r="A375" s="30">
        <v>283120</v>
      </c>
      <c r="B375" s="30"/>
      <c r="C375" s="30" t="s">
        <v>323</v>
      </c>
      <c r="D375" s="426">
        <v>611</v>
      </c>
      <c r="E375" s="30" t="s">
        <v>365</v>
      </c>
      <c r="F375" s="30" t="s">
        <v>6</v>
      </c>
      <c r="G375" s="34" t="s">
        <v>454</v>
      </c>
      <c r="H375" s="30" t="s">
        <v>461</v>
      </c>
      <c r="I375" s="30" t="s">
        <v>30</v>
      </c>
      <c r="J375" s="34" t="s">
        <v>692</v>
      </c>
      <c r="K375" s="580">
        <v>19.22</v>
      </c>
      <c r="L375" s="580">
        <v>2080</v>
      </c>
      <c r="M375" s="580"/>
      <c r="N375" s="580">
        <f t="shared" si="807"/>
        <v>39977.599999999999</v>
      </c>
      <c r="O375" s="580"/>
      <c r="P375" s="580">
        <f t="shared" ref="P375:P397" si="822">(N375-(M375*K375))*$P$27</f>
        <v>14311.980799999999</v>
      </c>
      <c r="Q375" s="580">
        <f t="shared" si="809"/>
        <v>579.67520000000002</v>
      </c>
      <c r="R375" s="580">
        <v>0</v>
      </c>
      <c r="S375" s="580">
        <v>0</v>
      </c>
      <c r="T375" s="580">
        <v>0</v>
      </c>
      <c r="U375" s="580">
        <v>0</v>
      </c>
      <c r="V375" s="473">
        <f t="shared" si="821"/>
        <v>54869.255999999994</v>
      </c>
      <c r="W375" s="580">
        <f t="shared" si="761"/>
        <v>0</v>
      </c>
      <c r="X375" s="580"/>
      <c r="Y375" s="581">
        <f t="shared" si="762"/>
        <v>54869.255999999994</v>
      </c>
    </row>
    <row r="376" spans="1:26" s="432" customFormat="1" ht="12.75" customHeight="1" x14ac:dyDescent="0.2">
      <c r="A376" s="30">
        <v>213623</v>
      </c>
      <c r="B376" s="30"/>
      <c r="C376" s="30" t="s">
        <v>246</v>
      </c>
      <c r="D376" s="426">
        <v>620</v>
      </c>
      <c r="E376" s="30" t="s">
        <v>348</v>
      </c>
      <c r="F376" s="30" t="s">
        <v>6</v>
      </c>
      <c r="G376" s="34" t="s">
        <v>454</v>
      </c>
      <c r="H376" s="30" t="s">
        <v>461</v>
      </c>
      <c r="I376" s="34" t="s">
        <v>30</v>
      </c>
      <c r="J376" s="34" t="s">
        <v>692</v>
      </c>
      <c r="K376" s="580">
        <f>40.36*5%</f>
        <v>2.0180000000000002</v>
      </c>
      <c r="L376" s="580">
        <v>2080</v>
      </c>
      <c r="M376" s="580"/>
      <c r="N376" s="580">
        <f t="shared" si="807"/>
        <v>4197.4400000000005</v>
      </c>
      <c r="O376" s="580"/>
      <c r="P376" s="580">
        <f t="shared" si="822"/>
        <v>1502.68352</v>
      </c>
      <c r="Q376" s="580">
        <f t="shared" si="809"/>
        <v>60.862880000000011</v>
      </c>
      <c r="R376" s="580">
        <v>0</v>
      </c>
      <c r="S376" s="580">
        <v>0</v>
      </c>
      <c r="T376" s="580">
        <v>0</v>
      </c>
      <c r="U376" s="580">
        <v>0</v>
      </c>
      <c r="V376" s="473">
        <f t="shared" si="821"/>
        <v>5760.9864000000007</v>
      </c>
      <c r="W376" s="580">
        <f t="shared" si="761"/>
        <v>0</v>
      </c>
      <c r="X376" s="580"/>
      <c r="Y376" s="581">
        <f t="shared" si="762"/>
        <v>5760.9864000000007</v>
      </c>
    </row>
    <row r="377" spans="1:26" s="432" customFormat="1" ht="12.75" customHeight="1" x14ac:dyDescent="0.2">
      <c r="A377" s="30"/>
      <c r="B377" s="30"/>
      <c r="C377" s="30" t="s">
        <v>246</v>
      </c>
      <c r="D377" s="426">
        <v>620</v>
      </c>
      <c r="E377" s="30" t="s">
        <v>348</v>
      </c>
      <c r="F377" s="30" t="s">
        <v>6</v>
      </c>
      <c r="G377" s="34" t="s">
        <v>454</v>
      </c>
      <c r="H377" s="30" t="s">
        <v>461</v>
      </c>
      <c r="I377" s="34" t="s">
        <v>30</v>
      </c>
      <c r="J377" s="34" t="s">
        <v>125</v>
      </c>
      <c r="K377" s="580">
        <f>40.36*8%</f>
        <v>3.2288000000000001</v>
      </c>
      <c r="L377" s="580">
        <v>2080</v>
      </c>
      <c r="M377" s="580"/>
      <c r="N377" s="580">
        <f t="shared" si="807"/>
        <v>6715.9040000000005</v>
      </c>
      <c r="O377" s="580"/>
      <c r="P377" s="580">
        <f t="shared" si="822"/>
        <v>2404.2936319999999</v>
      </c>
      <c r="Q377" s="580">
        <f t="shared" si="809"/>
        <v>97.380608000000009</v>
      </c>
      <c r="R377" s="580">
        <v>0</v>
      </c>
      <c r="S377" s="580"/>
      <c r="T377" s="580"/>
      <c r="U377" s="580"/>
      <c r="V377" s="473">
        <f t="shared" si="821"/>
        <v>9217.5782399999989</v>
      </c>
      <c r="W377" s="580">
        <f t="shared" si="761"/>
        <v>0</v>
      </c>
      <c r="X377" s="580"/>
      <c r="Y377" s="581">
        <f t="shared" si="762"/>
        <v>9217.5782399999989</v>
      </c>
    </row>
    <row r="378" spans="1:26" s="432" customFormat="1" ht="12.75" customHeight="1" x14ac:dyDescent="0.2">
      <c r="A378" s="30"/>
      <c r="B378" s="30"/>
      <c r="C378" s="30" t="s">
        <v>246</v>
      </c>
      <c r="D378" s="426">
        <v>620</v>
      </c>
      <c r="E378" s="30" t="s">
        <v>348</v>
      </c>
      <c r="F378" s="30" t="s">
        <v>6</v>
      </c>
      <c r="G378" s="34" t="s">
        <v>454</v>
      </c>
      <c r="H378" s="30" t="s">
        <v>461</v>
      </c>
      <c r="I378" s="34" t="s">
        <v>30</v>
      </c>
      <c r="J378" s="34" t="s">
        <v>118</v>
      </c>
      <c r="K378" s="580">
        <f>40.36*2%</f>
        <v>0.80720000000000003</v>
      </c>
      <c r="L378" s="580">
        <v>2080</v>
      </c>
      <c r="M378" s="580"/>
      <c r="N378" s="580">
        <f t="shared" si="807"/>
        <v>1678.9760000000001</v>
      </c>
      <c r="O378" s="580"/>
      <c r="P378" s="580">
        <f t="shared" si="822"/>
        <v>601.07340799999997</v>
      </c>
      <c r="Q378" s="580">
        <f t="shared" si="809"/>
        <v>24.345152000000002</v>
      </c>
      <c r="R378" s="580">
        <v>0</v>
      </c>
      <c r="S378" s="580"/>
      <c r="T378" s="580"/>
      <c r="U378" s="580"/>
      <c r="V378" s="473">
        <f t="shared" si="821"/>
        <v>2304.3945599999997</v>
      </c>
      <c r="W378" s="580">
        <f t="shared" si="761"/>
        <v>0</v>
      </c>
      <c r="X378" s="580"/>
      <c r="Y378" s="581">
        <f t="shared" si="762"/>
        <v>2304.3945599999997</v>
      </c>
    </row>
    <row r="379" spans="1:26" s="432" customFormat="1" ht="12.75" customHeight="1" x14ac:dyDescent="0.2">
      <c r="A379" s="30"/>
      <c r="B379" s="30"/>
      <c r="C379" s="30" t="s">
        <v>246</v>
      </c>
      <c r="D379" s="426">
        <v>620</v>
      </c>
      <c r="E379" s="30" t="s">
        <v>348</v>
      </c>
      <c r="F379" s="30" t="s">
        <v>6</v>
      </c>
      <c r="G379" s="34" t="s">
        <v>454</v>
      </c>
      <c r="H379" s="30" t="s">
        <v>461</v>
      </c>
      <c r="I379" s="34" t="s">
        <v>30</v>
      </c>
      <c r="J379" s="34" t="s">
        <v>119</v>
      </c>
      <c r="K379" s="580">
        <f>40.36*2%</f>
        <v>0.80720000000000003</v>
      </c>
      <c r="L379" s="580">
        <v>2080</v>
      </c>
      <c r="M379" s="580"/>
      <c r="N379" s="580">
        <f t="shared" si="807"/>
        <v>1678.9760000000001</v>
      </c>
      <c r="O379" s="580"/>
      <c r="P379" s="580">
        <f t="shared" si="822"/>
        <v>601.07340799999997</v>
      </c>
      <c r="Q379" s="580">
        <f t="shared" si="809"/>
        <v>24.345152000000002</v>
      </c>
      <c r="R379" s="580">
        <v>0</v>
      </c>
      <c r="S379" s="580"/>
      <c r="T379" s="580"/>
      <c r="U379" s="580"/>
      <c r="V379" s="473">
        <f t="shared" si="821"/>
        <v>2304.3945599999997</v>
      </c>
      <c r="W379" s="580">
        <f t="shared" si="761"/>
        <v>0</v>
      </c>
      <c r="X379" s="580"/>
      <c r="Y379" s="581">
        <f t="shared" si="762"/>
        <v>2304.3945599999997</v>
      </c>
    </row>
    <row r="380" spans="1:26" s="432" customFormat="1" ht="12.75" customHeight="1" x14ac:dyDescent="0.2">
      <c r="A380" s="30"/>
      <c r="B380" s="30"/>
      <c r="C380" s="30" t="s">
        <v>246</v>
      </c>
      <c r="D380" s="426">
        <v>620</v>
      </c>
      <c r="E380" s="30" t="s">
        <v>348</v>
      </c>
      <c r="F380" s="30" t="s">
        <v>6</v>
      </c>
      <c r="G380" s="34" t="s">
        <v>454</v>
      </c>
      <c r="H380" s="30" t="s">
        <v>461</v>
      </c>
      <c r="I380" s="34" t="s">
        <v>30</v>
      </c>
      <c r="J380" s="34" t="s">
        <v>115</v>
      </c>
      <c r="K380" s="580">
        <f t="shared" ref="K380:K386" si="823">40.36*5%</f>
        <v>2.0180000000000002</v>
      </c>
      <c r="L380" s="580">
        <v>2080</v>
      </c>
      <c r="M380" s="580"/>
      <c r="N380" s="580">
        <f t="shared" si="807"/>
        <v>4197.4400000000005</v>
      </c>
      <c r="O380" s="580"/>
      <c r="P380" s="580">
        <f t="shared" si="822"/>
        <v>1502.68352</v>
      </c>
      <c r="Q380" s="580">
        <f t="shared" si="809"/>
        <v>60.862880000000011</v>
      </c>
      <c r="R380" s="580">
        <v>0</v>
      </c>
      <c r="S380" s="580"/>
      <c r="T380" s="580"/>
      <c r="U380" s="580"/>
      <c r="V380" s="473">
        <f t="shared" si="821"/>
        <v>5760.9864000000007</v>
      </c>
      <c r="W380" s="580">
        <f t="shared" si="761"/>
        <v>0</v>
      </c>
      <c r="X380" s="580"/>
      <c r="Y380" s="581">
        <f t="shared" si="762"/>
        <v>5760.9864000000007</v>
      </c>
    </row>
    <row r="381" spans="1:26" s="432" customFormat="1" ht="12.75" customHeight="1" x14ac:dyDescent="0.2">
      <c r="A381" s="30"/>
      <c r="B381" s="30"/>
      <c r="C381" s="30" t="s">
        <v>246</v>
      </c>
      <c r="D381" s="426">
        <v>620</v>
      </c>
      <c r="E381" s="30" t="s">
        <v>348</v>
      </c>
      <c r="F381" s="30" t="s">
        <v>6</v>
      </c>
      <c r="G381" s="34" t="s">
        <v>454</v>
      </c>
      <c r="H381" s="30" t="s">
        <v>461</v>
      </c>
      <c r="I381" s="34" t="s">
        <v>30</v>
      </c>
      <c r="J381" s="34" t="s">
        <v>114</v>
      </c>
      <c r="K381" s="580">
        <f>40.36*15%</f>
        <v>6.0539999999999994</v>
      </c>
      <c r="L381" s="580">
        <v>2080</v>
      </c>
      <c r="M381" s="580"/>
      <c r="N381" s="580">
        <f t="shared" si="807"/>
        <v>12592.319999999998</v>
      </c>
      <c r="O381" s="580"/>
      <c r="P381" s="580">
        <f t="shared" si="822"/>
        <v>4508.0505599999988</v>
      </c>
      <c r="Q381" s="580">
        <f t="shared" si="809"/>
        <v>182.58863999999997</v>
      </c>
      <c r="R381" s="580">
        <v>0</v>
      </c>
      <c r="S381" s="580"/>
      <c r="T381" s="580"/>
      <c r="U381" s="580"/>
      <c r="V381" s="473">
        <f t="shared" si="821"/>
        <v>17282.959199999998</v>
      </c>
      <c r="W381" s="580">
        <f t="shared" si="761"/>
        <v>0</v>
      </c>
      <c r="X381" s="580"/>
      <c r="Y381" s="581">
        <f t="shared" si="762"/>
        <v>17282.959199999998</v>
      </c>
    </row>
    <row r="382" spans="1:26" s="432" customFormat="1" ht="12.75" customHeight="1" x14ac:dyDescent="0.2">
      <c r="A382" s="30"/>
      <c r="B382" s="30"/>
      <c r="C382" s="30" t="s">
        <v>246</v>
      </c>
      <c r="D382" s="426">
        <v>620</v>
      </c>
      <c r="E382" s="30" t="s">
        <v>348</v>
      </c>
      <c r="F382" s="30" t="s">
        <v>6</v>
      </c>
      <c r="G382" s="34" t="s">
        <v>454</v>
      </c>
      <c r="H382" s="30" t="s">
        <v>461</v>
      </c>
      <c r="I382" s="34" t="s">
        <v>30</v>
      </c>
      <c r="J382" s="34" t="s">
        <v>127</v>
      </c>
      <c r="K382" s="580">
        <f>40.36*8%</f>
        <v>3.2288000000000001</v>
      </c>
      <c r="L382" s="580">
        <v>2080</v>
      </c>
      <c r="M382" s="580"/>
      <c r="N382" s="580">
        <f t="shared" si="807"/>
        <v>6715.9040000000005</v>
      </c>
      <c r="O382" s="580"/>
      <c r="P382" s="580">
        <f t="shared" si="822"/>
        <v>2404.2936319999999</v>
      </c>
      <c r="Q382" s="580">
        <f t="shared" si="809"/>
        <v>97.380608000000009</v>
      </c>
      <c r="R382" s="580">
        <v>0</v>
      </c>
      <c r="S382" s="580"/>
      <c r="T382" s="580"/>
      <c r="U382" s="580"/>
      <c r="V382" s="473">
        <f t="shared" si="821"/>
        <v>9217.5782399999989</v>
      </c>
      <c r="W382" s="580">
        <f t="shared" si="761"/>
        <v>0</v>
      </c>
      <c r="X382" s="580"/>
      <c r="Y382" s="581">
        <f t="shared" si="762"/>
        <v>9217.5782399999989</v>
      </c>
    </row>
    <row r="383" spans="1:26" s="432" customFormat="1" ht="12.75" customHeight="1" x14ac:dyDescent="0.2">
      <c r="A383" s="30"/>
      <c r="B383" s="30"/>
      <c r="C383" s="30" t="s">
        <v>246</v>
      </c>
      <c r="D383" s="426">
        <v>620</v>
      </c>
      <c r="E383" s="30" t="s">
        <v>348</v>
      </c>
      <c r="F383" s="30" t="s">
        <v>6</v>
      </c>
      <c r="G383" s="34" t="s">
        <v>454</v>
      </c>
      <c r="H383" s="30" t="s">
        <v>461</v>
      </c>
      <c r="I383" s="34" t="s">
        <v>30</v>
      </c>
      <c r="J383" s="34" t="s">
        <v>65</v>
      </c>
      <c r="K383" s="580">
        <f t="shared" si="823"/>
        <v>2.0180000000000002</v>
      </c>
      <c r="L383" s="580">
        <v>2080</v>
      </c>
      <c r="M383" s="580"/>
      <c r="N383" s="580">
        <f t="shared" si="807"/>
        <v>4197.4400000000005</v>
      </c>
      <c r="O383" s="580"/>
      <c r="P383" s="580">
        <f t="shared" si="822"/>
        <v>1502.68352</v>
      </c>
      <c r="Q383" s="580">
        <f t="shared" si="809"/>
        <v>60.862880000000011</v>
      </c>
      <c r="R383" s="580">
        <v>0</v>
      </c>
      <c r="S383" s="580"/>
      <c r="T383" s="580"/>
      <c r="U383" s="580"/>
      <c r="V383" s="473">
        <f t="shared" si="821"/>
        <v>5760.9864000000007</v>
      </c>
      <c r="W383" s="580">
        <f t="shared" si="761"/>
        <v>0</v>
      </c>
      <c r="X383" s="580"/>
      <c r="Y383" s="581">
        <f t="shared" si="762"/>
        <v>5760.9864000000007</v>
      </c>
    </row>
    <row r="384" spans="1:26" ht="12.75" customHeight="1" x14ac:dyDescent="0.2">
      <c r="A384" s="30"/>
      <c r="B384" s="30"/>
      <c r="C384" s="30" t="s">
        <v>246</v>
      </c>
      <c r="D384" s="426">
        <v>620</v>
      </c>
      <c r="E384" s="30" t="s">
        <v>348</v>
      </c>
      <c r="F384" s="30" t="s">
        <v>6</v>
      </c>
      <c r="G384" s="34" t="s">
        <v>454</v>
      </c>
      <c r="H384" s="30" t="s">
        <v>461</v>
      </c>
      <c r="I384" s="34" t="s">
        <v>30</v>
      </c>
      <c r="J384" s="34" t="s">
        <v>117</v>
      </c>
      <c r="K384" s="580">
        <f>40.36*40%</f>
        <v>16.144000000000002</v>
      </c>
      <c r="L384" s="580">
        <v>2080</v>
      </c>
      <c r="M384" s="580"/>
      <c r="N384" s="580">
        <f t="shared" si="807"/>
        <v>33579.520000000004</v>
      </c>
      <c r="O384" s="580"/>
      <c r="P384" s="580">
        <f t="shared" si="822"/>
        <v>12021.46816</v>
      </c>
      <c r="Q384" s="580">
        <f t="shared" si="809"/>
        <v>486.90304000000009</v>
      </c>
      <c r="R384" s="580">
        <v>0</v>
      </c>
      <c r="S384" s="580"/>
      <c r="T384" s="580"/>
      <c r="U384" s="580"/>
      <c r="V384" s="473">
        <f t="shared" si="821"/>
        <v>46087.891200000005</v>
      </c>
      <c r="W384" s="580">
        <f t="shared" si="761"/>
        <v>0</v>
      </c>
      <c r="X384" s="580"/>
      <c r="Y384" s="581">
        <f t="shared" si="762"/>
        <v>46087.891200000005</v>
      </c>
      <c r="Z384" s="432"/>
    </row>
    <row r="385" spans="1:26" s="432" customFormat="1" ht="12.75" customHeight="1" x14ac:dyDescent="0.2">
      <c r="A385" s="30"/>
      <c r="B385" s="30"/>
      <c r="C385" s="30" t="s">
        <v>246</v>
      </c>
      <c r="D385" s="426">
        <v>620</v>
      </c>
      <c r="E385" s="30" t="s">
        <v>348</v>
      </c>
      <c r="F385" s="30" t="s">
        <v>6</v>
      </c>
      <c r="G385" s="34" t="s">
        <v>454</v>
      </c>
      <c r="H385" s="30" t="s">
        <v>461</v>
      </c>
      <c r="I385" s="34" t="s">
        <v>30</v>
      </c>
      <c r="J385" s="34" t="s">
        <v>116</v>
      </c>
      <c r="K385" s="580">
        <f t="shared" si="823"/>
        <v>2.0180000000000002</v>
      </c>
      <c r="L385" s="580">
        <v>2080</v>
      </c>
      <c r="M385" s="580"/>
      <c r="N385" s="580">
        <f t="shared" si="807"/>
        <v>4197.4400000000005</v>
      </c>
      <c r="O385" s="580"/>
      <c r="P385" s="580">
        <f t="shared" si="822"/>
        <v>1502.68352</v>
      </c>
      <c r="Q385" s="580">
        <f t="shared" si="809"/>
        <v>60.862880000000011</v>
      </c>
      <c r="R385" s="580">
        <v>0</v>
      </c>
      <c r="S385" s="580"/>
      <c r="T385" s="580"/>
      <c r="U385" s="580"/>
      <c r="V385" s="473">
        <f t="shared" si="821"/>
        <v>5760.9864000000007</v>
      </c>
      <c r="W385" s="580">
        <f t="shared" si="761"/>
        <v>0</v>
      </c>
      <c r="X385" s="580"/>
      <c r="Y385" s="581">
        <f t="shared" si="762"/>
        <v>5760.9864000000007</v>
      </c>
    </row>
    <row r="386" spans="1:26" s="432" customFormat="1" ht="12.75" customHeight="1" x14ac:dyDescent="0.2">
      <c r="A386" s="30"/>
      <c r="B386" s="30"/>
      <c r="C386" s="30" t="s">
        <v>246</v>
      </c>
      <c r="D386" s="426">
        <v>620</v>
      </c>
      <c r="E386" s="30" t="s">
        <v>348</v>
      </c>
      <c r="F386" s="30" t="s">
        <v>6</v>
      </c>
      <c r="G386" s="34" t="s">
        <v>454</v>
      </c>
      <c r="H386" s="30" t="s">
        <v>461</v>
      </c>
      <c r="I386" s="34" t="s">
        <v>30</v>
      </c>
      <c r="J386" s="34" t="s">
        <v>143</v>
      </c>
      <c r="K386" s="580">
        <f t="shared" si="823"/>
        <v>2.0180000000000002</v>
      </c>
      <c r="L386" s="580">
        <v>2080</v>
      </c>
      <c r="M386" s="580"/>
      <c r="N386" s="580">
        <f t="shared" ref="N386:N446" si="824">IF(H386="1",(L386*K386)+(M386*K386),0)</f>
        <v>4197.4400000000005</v>
      </c>
      <c r="O386" s="580"/>
      <c r="P386" s="580">
        <f t="shared" si="822"/>
        <v>1502.68352</v>
      </c>
      <c r="Q386" s="580">
        <f t="shared" ref="Q386:Q446" si="825">N386*$Q$27</f>
        <v>60.862880000000011</v>
      </c>
      <c r="R386" s="580">
        <v>0</v>
      </c>
      <c r="S386" s="580"/>
      <c r="T386" s="580"/>
      <c r="U386" s="580"/>
      <c r="V386" s="473">
        <f t="shared" si="821"/>
        <v>5760.9864000000007</v>
      </c>
      <c r="W386" s="580">
        <f t="shared" si="761"/>
        <v>0</v>
      </c>
      <c r="X386" s="580"/>
      <c r="Y386" s="581">
        <f t="shared" si="762"/>
        <v>5760.9864000000007</v>
      </c>
    </row>
    <row r="387" spans="1:26" s="432" customFormat="1" ht="12.75" customHeight="1" x14ac:dyDescent="0.2">
      <c r="A387" s="30">
        <v>270726</v>
      </c>
      <c r="B387" s="30"/>
      <c r="C387" s="30" t="s">
        <v>291</v>
      </c>
      <c r="D387" s="426">
        <v>622</v>
      </c>
      <c r="E387" s="30" t="s">
        <v>366</v>
      </c>
      <c r="F387" s="30" t="s">
        <v>6</v>
      </c>
      <c r="G387" s="34" t="s">
        <v>454</v>
      </c>
      <c r="H387" s="30" t="s">
        <v>461</v>
      </c>
      <c r="I387" s="34" t="s">
        <v>38</v>
      </c>
      <c r="J387" s="34" t="s">
        <v>133</v>
      </c>
      <c r="K387" s="580">
        <f>46.4*5%</f>
        <v>2.3199999999999998</v>
      </c>
      <c r="L387" s="580">
        <v>2080</v>
      </c>
      <c r="M387" s="580"/>
      <c r="N387" s="580">
        <f t="shared" si="824"/>
        <v>4825.5999999999995</v>
      </c>
      <c r="O387" s="580"/>
      <c r="P387" s="580">
        <f t="shared" si="822"/>
        <v>1727.5647999999997</v>
      </c>
      <c r="Q387" s="580">
        <f t="shared" si="825"/>
        <v>69.971199999999996</v>
      </c>
      <c r="R387" s="580">
        <v>0</v>
      </c>
      <c r="S387" s="580">
        <f>IF(H387="1",2828.52*2,0)</f>
        <v>5657.04</v>
      </c>
      <c r="T387" s="580">
        <f>IF(H387="1",127.2*2,0)</f>
        <v>254.4</v>
      </c>
      <c r="U387" s="580">
        <f>IF(H387="1",162*2,0)</f>
        <v>324</v>
      </c>
      <c r="V387" s="473">
        <f t="shared" si="821"/>
        <v>12858.575999999999</v>
      </c>
      <c r="W387" s="580">
        <f t="shared" si="761"/>
        <v>0</v>
      </c>
      <c r="X387" s="580"/>
      <c r="Y387" s="581">
        <f t="shared" si="762"/>
        <v>12858.575999999999</v>
      </c>
    </row>
    <row r="388" spans="1:26" s="432" customFormat="1" ht="12.75" customHeight="1" x14ac:dyDescent="0.2">
      <c r="A388" s="30"/>
      <c r="B388" s="30"/>
      <c r="C388" s="30" t="s">
        <v>291</v>
      </c>
      <c r="D388" s="426">
        <v>622</v>
      </c>
      <c r="E388" s="30" t="s">
        <v>366</v>
      </c>
      <c r="F388" s="30" t="s">
        <v>6</v>
      </c>
      <c r="G388" s="34" t="s">
        <v>454</v>
      </c>
      <c r="H388" s="30" t="s">
        <v>461</v>
      </c>
      <c r="I388" s="34" t="s">
        <v>38</v>
      </c>
      <c r="J388" s="34" t="s">
        <v>131</v>
      </c>
      <c r="K388" s="580">
        <f>46.4*20%</f>
        <v>9.2799999999999994</v>
      </c>
      <c r="L388" s="580">
        <v>2080</v>
      </c>
      <c r="M388" s="580"/>
      <c r="N388" s="580">
        <f t="shared" si="824"/>
        <v>19302.399999999998</v>
      </c>
      <c r="O388" s="580"/>
      <c r="P388" s="580">
        <f t="shared" si="822"/>
        <v>6910.2591999999986</v>
      </c>
      <c r="Q388" s="580">
        <f t="shared" si="825"/>
        <v>279.88479999999998</v>
      </c>
      <c r="R388" s="580">
        <v>0</v>
      </c>
      <c r="S388" s="580"/>
      <c r="T388" s="580"/>
      <c r="U388" s="580"/>
      <c r="V388" s="473">
        <f t="shared" si="821"/>
        <v>26492.543999999994</v>
      </c>
      <c r="W388" s="580">
        <f t="shared" si="761"/>
        <v>0</v>
      </c>
      <c r="X388" s="580"/>
      <c r="Y388" s="581">
        <f t="shared" si="762"/>
        <v>26492.543999999994</v>
      </c>
    </row>
    <row r="389" spans="1:26" s="432" customFormat="1" ht="12.75" customHeight="1" x14ac:dyDescent="0.2">
      <c r="A389" s="30"/>
      <c r="B389" s="30"/>
      <c r="C389" s="30" t="s">
        <v>291</v>
      </c>
      <c r="D389" s="426">
        <v>622</v>
      </c>
      <c r="E389" s="30" t="s">
        <v>366</v>
      </c>
      <c r="F389" s="30" t="s">
        <v>6</v>
      </c>
      <c r="G389" s="34" t="s">
        <v>454</v>
      </c>
      <c r="H389" s="30" t="s">
        <v>461</v>
      </c>
      <c r="I389" s="34" t="s">
        <v>38</v>
      </c>
      <c r="J389" s="34" t="s">
        <v>1478</v>
      </c>
      <c r="K389" s="580">
        <f>46.4*18%</f>
        <v>8.3520000000000003</v>
      </c>
      <c r="L389" s="580">
        <v>2080</v>
      </c>
      <c r="M389" s="580"/>
      <c r="N389" s="580">
        <f t="shared" si="824"/>
        <v>17372.16</v>
      </c>
      <c r="O389" s="580"/>
      <c r="P389" s="580">
        <f t="shared" si="822"/>
        <v>6219.2332799999995</v>
      </c>
      <c r="Q389" s="580">
        <f t="shared" si="825"/>
        <v>251.89632</v>
      </c>
      <c r="R389" s="580">
        <v>0</v>
      </c>
      <c r="S389" s="580"/>
      <c r="T389" s="580"/>
      <c r="U389" s="580"/>
      <c r="V389" s="473">
        <f t="shared" si="821"/>
        <v>23843.2896</v>
      </c>
      <c r="W389" s="580">
        <f t="shared" si="761"/>
        <v>0</v>
      </c>
      <c r="X389" s="580"/>
      <c r="Y389" s="581">
        <f t="shared" si="762"/>
        <v>23843.2896</v>
      </c>
    </row>
    <row r="390" spans="1:26" s="432" customFormat="1" ht="12.75" customHeight="1" x14ac:dyDescent="0.2">
      <c r="A390" s="30"/>
      <c r="B390" s="30"/>
      <c r="C390" s="30" t="s">
        <v>291</v>
      </c>
      <c r="D390" s="426">
        <v>622</v>
      </c>
      <c r="E390" s="30" t="s">
        <v>366</v>
      </c>
      <c r="F390" s="30" t="s">
        <v>6</v>
      </c>
      <c r="G390" s="34" t="s">
        <v>454</v>
      </c>
      <c r="H390" s="30" t="s">
        <v>461</v>
      </c>
      <c r="I390" s="34" t="s">
        <v>38</v>
      </c>
      <c r="J390" s="34" t="s">
        <v>128</v>
      </c>
      <c r="K390" s="580">
        <f>46.4*25%</f>
        <v>11.6</v>
      </c>
      <c r="L390" s="580">
        <v>2080</v>
      </c>
      <c r="M390" s="580"/>
      <c r="N390" s="580">
        <f t="shared" si="824"/>
        <v>24128</v>
      </c>
      <c r="O390" s="580"/>
      <c r="P390" s="580">
        <f t="shared" si="822"/>
        <v>8637.8240000000005</v>
      </c>
      <c r="Q390" s="580">
        <f t="shared" si="825"/>
        <v>349.85599999999999</v>
      </c>
      <c r="R390" s="580">
        <v>0</v>
      </c>
      <c r="S390" s="580"/>
      <c r="T390" s="580"/>
      <c r="U390" s="580"/>
      <c r="V390" s="473">
        <f t="shared" si="821"/>
        <v>33115.68</v>
      </c>
      <c r="W390" s="580">
        <f t="shared" si="761"/>
        <v>0</v>
      </c>
      <c r="X390" s="580"/>
      <c r="Y390" s="581">
        <f t="shared" si="762"/>
        <v>33115.68</v>
      </c>
    </row>
    <row r="391" spans="1:26" s="432" customFormat="1" ht="12.75" customHeight="1" x14ac:dyDescent="0.2">
      <c r="A391" s="30"/>
      <c r="B391" s="30"/>
      <c r="C391" s="30" t="s">
        <v>291</v>
      </c>
      <c r="D391" s="426">
        <v>622</v>
      </c>
      <c r="E391" s="30" t="s">
        <v>366</v>
      </c>
      <c r="F391" s="30" t="s">
        <v>6</v>
      </c>
      <c r="G391" s="34" t="s">
        <v>454</v>
      </c>
      <c r="H391" s="30" t="s">
        <v>461</v>
      </c>
      <c r="I391" s="34" t="s">
        <v>38</v>
      </c>
      <c r="J391" s="34" t="s">
        <v>129</v>
      </c>
      <c r="K391" s="580">
        <f>46.4*20%</f>
        <v>9.2799999999999994</v>
      </c>
      <c r="L391" s="580">
        <v>2080</v>
      </c>
      <c r="M391" s="580"/>
      <c r="N391" s="580">
        <f t="shared" si="824"/>
        <v>19302.399999999998</v>
      </c>
      <c r="O391" s="580"/>
      <c r="P391" s="580">
        <f t="shared" si="822"/>
        <v>6910.2591999999986</v>
      </c>
      <c r="Q391" s="580">
        <f t="shared" si="825"/>
        <v>279.88479999999998</v>
      </c>
      <c r="R391" s="580">
        <v>0</v>
      </c>
      <c r="S391" s="580"/>
      <c r="T391" s="580"/>
      <c r="U391" s="580"/>
      <c r="V391" s="473">
        <f t="shared" si="821"/>
        <v>26492.543999999994</v>
      </c>
      <c r="W391" s="580">
        <f t="shared" si="761"/>
        <v>0</v>
      </c>
      <c r="X391" s="580"/>
      <c r="Y391" s="581">
        <f t="shared" si="762"/>
        <v>26492.543999999994</v>
      </c>
    </row>
    <row r="392" spans="1:26" ht="12.75" customHeight="1" x14ac:dyDescent="0.2">
      <c r="A392" s="30"/>
      <c r="B392" s="30"/>
      <c r="C392" s="30" t="s">
        <v>291</v>
      </c>
      <c r="D392" s="426">
        <v>622</v>
      </c>
      <c r="E392" s="30" t="s">
        <v>366</v>
      </c>
      <c r="F392" s="30" t="s">
        <v>6</v>
      </c>
      <c r="G392" s="34" t="s">
        <v>454</v>
      </c>
      <c r="H392" s="30" t="s">
        <v>461</v>
      </c>
      <c r="I392" s="34" t="s">
        <v>38</v>
      </c>
      <c r="J392" s="34" t="s">
        <v>1136</v>
      </c>
      <c r="K392" s="580">
        <f t="shared" ref="K392" si="826">46.4*5%</f>
        <v>2.3199999999999998</v>
      </c>
      <c r="L392" s="580">
        <v>2080</v>
      </c>
      <c r="M392" s="580"/>
      <c r="N392" s="580">
        <f t="shared" si="824"/>
        <v>4825.5999999999995</v>
      </c>
      <c r="O392" s="580"/>
      <c r="P392" s="580">
        <f t="shared" si="822"/>
        <v>1727.5647999999997</v>
      </c>
      <c r="Q392" s="580">
        <f t="shared" si="825"/>
        <v>69.971199999999996</v>
      </c>
      <c r="R392" s="580">
        <v>0</v>
      </c>
      <c r="S392" s="580"/>
      <c r="T392" s="580"/>
      <c r="U392" s="580"/>
      <c r="V392" s="473">
        <f t="shared" si="821"/>
        <v>6623.1359999999986</v>
      </c>
      <c r="W392" s="580">
        <f t="shared" si="761"/>
        <v>0</v>
      </c>
      <c r="X392" s="580"/>
      <c r="Y392" s="581">
        <f t="shared" si="762"/>
        <v>6623.1359999999986</v>
      </c>
      <c r="Z392" s="432"/>
    </row>
    <row r="393" spans="1:26" ht="12.75" customHeight="1" x14ac:dyDescent="0.2">
      <c r="A393" s="30"/>
      <c r="B393" s="30"/>
      <c r="C393" s="30" t="s">
        <v>291</v>
      </c>
      <c r="D393" s="426">
        <v>622</v>
      </c>
      <c r="E393" s="30" t="s">
        <v>366</v>
      </c>
      <c r="F393" s="30" t="s">
        <v>6</v>
      </c>
      <c r="G393" s="34" t="s">
        <v>454</v>
      </c>
      <c r="H393" s="30" t="s">
        <v>461</v>
      </c>
      <c r="I393" s="34" t="s">
        <v>38</v>
      </c>
      <c r="J393" s="34" t="s">
        <v>144</v>
      </c>
      <c r="K393" s="580">
        <f>46.4*2%</f>
        <v>0.92799999999999994</v>
      </c>
      <c r="L393" s="580">
        <v>2080</v>
      </c>
      <c r="M393" s="580"/>
      <c r="N393" s="580">
        <f t="shared" si="824"/>
        <v>1930.2399999999998</v>
      </c>
      <c r="O393" s="580"/>
      <c r="P393" s="580">
        <f t="shared" si="822"/>
        <v>691.02591999999993</v>
      </c>
      <c r="Q393" s="580">
        <f t="shared" si="825"/>
        <v>27.988479999999999</v>
      </c>
      <c r="R393" s="580">
        <v>0</v>
      </c>
      <c r="S393" s="580"/>
      <c r="T393" s="580"/>
      <c r="U393" s="580"/>
      <c r="V393" s="473">
        <f t="shared" si="821"/>
        <v>2649.2543999999998</v>
      </c>
      <c r="W393" s="580">
        <f t="shared" si="761"/>
        <v>0</v>
      </c>
      <c r="X393" s="580"/>
      <c r="Y393" s="581">
        <f t="shared" si="762"/>
        <v>2649.2543999999998</v>
      </c>
      <c r="Z393" s="432"/>
    </row>
    <row r="394" spans="1:26" ht="12.75" customHeight="1" x14ac:dyDescent="0.2">
      <c r="A394" s="30"/>
      <c r="B394" s="30"/>
      <c r="C394" s="30" t="s">
        <v>291</v>
      </c>
      <c r="D394" s="426">
        <v>622</v>
      </c>
      <c r="E394" s="30" t="s">
        <v>366</v>
      </c>
      <c r="F394" s="30" t="s">
        <v>6</v>
      </c>
      <c r="G394" s="34" t="s">
        <v>454</v>
      </c>
      <c r="H394" s="30" t="s">
        <v>461</v>
      </c>
      <c r="I394" s="34" t="s">
        <v>38</v>
      </c>
      <c r="J394" s="34" t="s">
        <v>1475</v>
      </c>
      <c r="K394" s="580">
        <f>46.4*5%</f>
        <v>2.3199999999999998</v>
      </c>
      <c r="L394" s="580">
        <v>2080</v>
      </c>
      <c r="M394" s="580"/>
      <c r="N394" s="580">
        <f t="shared" si="824"/>
        <v>4825.5999999999995</v>
      </c>
      <c r="O394" s="580"/>
      <c r="P394" s="580">
        <f t="shared" si="822"/>
        <v>1727.5647999999997</v>
      </c>
      <c r="Q394" s="580">
        <f t="shared" si="825"/>
        <v>69.971199999999996</v>
      </c>
      <c r="R394" s="580">
        <v>0</v>
      </c>
      <c r="S394" s="580"/>
      <c r="T394" s="580"/>
      <c r="U394" s="580"/>
      <c r="V394" s="473">
        <f t="shared" si="821"/>
        <v>6623.1359999999986</v>
      </c>
      <c r="W394" s="580">
        <f t="shared" si="761"/>
        <v>0</v>
      </c>
      <c r="X394" s="580"/>
      <c r="Y394" s="581">
        <f t="shared" si="762"/>
        <v>6623.1359999999986</v>
      </c>
      <c r="Z394" s="432"/>
    </row>
    <row r="395" spans="1:26" ht="12.75" customHeight="1" x14ac:dyDescent="0.2">
      <c r="A395" s="30">
        <v>287216</v>
      </c>
      <c r="B395" s="30"/>
      <c r="C395" s="30" t="s">
        <v>224</v>
      </c>
      <c r="D395" s="426">
        <v>612</v>
      </c>
      <c r="E395" s="34" t="s">
        <v>329</v>
      </c>
      <c r="F395" s="34" t="s">
        <v>6</v>
      </c>
      <c r="G395" s="34" t="s">
        <v>454</v>
      </c>
      <c r="H395" s="30" t="s">
        <v>461</v>
      </c>
      <c r="I395" s="34" t="s">
        <v>28</v>
      </c>
      <c r="J395" s="34" t="s">
        <v>692</v>
      </c>
      <c r="K395" s="731">
        <f>19.15*1.07</f>
        <v>20.490500000000001</v>
      </c>
      <c r="L395" s="580">
        <v>2080</v>
      </c>
      <c r="M395" s="580"/>
      <c r="N395" s="580">
        <f t="shared" si="824"/>
        <v>42620.240000000005</v>
      </c>
      <c r="O395" s="580"/>
      <c r="P395" s="580">
        <f t="shared" si="822"/>
        <v>15258.04592</v>
      </c>
      <c r="Q395" s="580">
        <f t="shared" si="825"/>
        <v>617.99348000000009</v>
      </c>
      <c r="R395" s="580">
        <v>0</v>
      </c>
      <c r="S395" s="580">
        <f>IF(H395="1",2828.52*2,0)</f>
        <v>5657.04</v>
      </c>
      <c r="T395" s="580">
        <f>IF(H395="1",127.2*2,0)</f>
        <v>254.4</v>
      </c>
      <c r="U395" s="580">
        <f>IF(H395="1",16.2*2,0)</f>
        <v>32.4</v>
      </c>
      <c r="V395" s="473">
        <f t="shared" ref="V395" si="827">SUM(N395:U395)</f>
        <v>64440.119400000011</v>
      </c>
      <c r="W395" s="580">
        <f t="shared" ref="W395" si="828">IF(P395&lt;&gt;"",V395*$W$27,0)</f>
        <v>0</v>
      </c>
      <c r="X395" s="580"/>
      <c r="Y395" s="581">
        <f t="shared" ref="Y395" si="829">X395+W395+V395</f>
        <v>64440.119400000011</v>
      </c>
      <c r="Z395" s="432"/>
    </row>
    <row r="396" spans="1:26" ht="12.75" customHeight="1" x14ac:dyDescent="0.2">
      <c r="A396" s="30"/>
      <c r="B396" s="30"/>
      <c r="C396" s="737" t="s">
        <v>5</v>
      </c>
      <c r="D396" s="738">
        <v>613</v>
      </c>
      <c r="E396" s="739" t="s">
        <v>332</v>
      </c>
      <c r="F396" s="30" t="s">
        <v>453</v>
      </c>
      <c r="G396" s="30" t="s">
        <v>1462</v>
      </c>
      <c r="H396" s="30" t="s">
        <v>461</v>
      </c>
      <c r="I396" s="30" t="s">
        <v>39</v>
      </c>
      <c r="J396" s="30" t="s">
        <v>692</v>
      </c>
      <c r="K396" s="580">
        <v>16.98</v>
      </c>
      <c r="L396" s="580">
        <v>1040</v>
      </c>
      <c r="M396" s="580"/>
      <c r="N396" s="580">
        <f t="shared" si="824"/>
        <v>17659.2</v>
      </c>
      <c r="O396" s="580"/>
      <c r="P396" s="580">
        <f t="shared" si="822"/>
        <v>6321.9935999999998</v>
      </c>
      <c r="Q396" s="580">
        <f t="shared" si="825"/>
        <v>256.05840000000001</v>
      </c>
      <c r="R396" s="580">
        <f>N396*$R$27</f>
        <v>1094.8704</v>
      </c>
      <c r="S396" s="580">
        <f>IF(H396="1",2828.52*2,0)</f>
        <v>5657.04</v>
      </c>
      <c r="T396" s="580">
        <v>0</v>
      </c>
      <c r="U396" s="580">
        <v>0</v>
      </c>
      <c r="V396" s="473">
        <f t="shared" ref="V396" si="830">SUM(N396:U396)</f>
        <v>30989.162400000001</v>
      </c>
      <c r="W396" s="580">
        <f t="shared" ref="W396" si="831">IF(P396&lt;&gt;"",V396*$W$27,0)</f>
        <v>0</v>
      </c>
      <c r="X396" s="580"/>
      <c r="Y396" s="581">
        <f t="shared" ref="Y396" si="832">X396+W396+V396</f>
        <v>30989.162400000001</v>
      </c>
      <c r="Z396" s="432"/>
    </row>
    <row r="397" spans="1:26" ht="12.75" customHeight="1" x14ac:dyDescent="0.2">
      <c r="A397" s="30"/>
      <c r="B397" s="30"/>
      <c r="C397" s="30" t="s">
        <v>5</v>
      </c>
      <c r="D397" s="426">
        <v>620</v>
      </c>
      <c r="E397" s="30" t="s">
        <v>348</v>
      </c>
      <c r="F397" s="30" t="s">
        <v>6</v>
      </c>
      <c r="G397" s="30" t="s">
        <v>454</v>
      </c>
      <c r="H397" s="30" t="s">
        <v>461</v>
      </c>
      <c r="I397" s="34" t="s">
        <v>30</v>
      </c>
      <c r="J397" s="34" t="s">
        <v>692</v>
      </c>
      <c r="K397" s="580">
        <f>60000/2080</f>
        <v>28.846153846153847</v>
      </c>
      <c r="L397" s="580">
        <v>2080</v>
      </c>
      <c r="M397" s="580"/>
      <c r="N397" s="580">
        <f t="shared" si="824"/>
        <v>60000</v>
      </c>
      <c r="O397" s="580"/>
      <c r="P397" s="580">
        <f t="shared" si="822"/>
        <v>21480</v>
      </c>
      <c r="Q397" s="580">
        <f t="shared" si="825"/>
        <v>870</v>
      </c>
      <c r="R397" s="580">
        <v>0</v>
      </c>
      <c r="S397" s="580">
        <f>IF(H397="1",2828.52*2,0)</f>
        <v>5657.04</v>
      </c>
      <c r="T397" s="580">
        <f>IF(H397="1",82.8*2,0)</f>
        <v>165.6</v>
      </c>
      <c r="U397" s="580">
        <v>0</v>
      </c>
      <c r="V397" s="473">
        <f t="shared" ref="V397" si="833">SUM(N397:U397)</f>
        <v>88172.64</v>
      </c>
      <c r="W397" s="580">
        <f t="shared" ref="W397" si="834">IF(P397&lt;&gt;"",V397*$W$27,0)</f>
        <v>0</v>
      </c>
      <c r="X397" s="580"/>
      <c r="Y397" s="581">
        <f t="shared" ref="Y397" si="835">X397+W397+V397</f>
        <v>88172.64</v>
      </c>
      <c r="Z397" s="432"/>
    </row>
    <row r="398" spans="1:26" x14ac:dyDescent="0.2">
      <c r="A398" s="30"/>
      <c r="B398" s="30"/>
      <c r="C398" s="34" t="s">
        <v>5</v>
      </c>
      <c r="D398" s="584" t="s">
        <v>333</v>
      </c>
      <c r="E398" s="30" t="s">
        <v>747</v>
      </c>
      <c r="F398" s="34" t="s">
        <v>453</v>
      </c>
      <c r="G398" s="34" t="s">
        <v>792</v>
      </c>
      <c r="H398" s="30" t="s">
        <v>461</v>
      </c>
      <c r="I398" s="34" t="s">
        <v>27</v>
      </c>
      <c r="J398" s="34" t="s">
        <v>62</v>
      </c>
      <c r="K398" s="580">
        <v>50</v>
      </c>
      <c r="L398" s="580">
        <v>18</v>
      </c>
      <c r="M398" s="580"/>
      <c r="N398" s="580">
        <f t="shared" si="824"/>
        <v>900</v>
      </c>
      <c r="O398" s="580"/>
      <c r="P398" s="580">
        <v>0</v>
      </c>
      <c r="Q398" s="580">
        <f t="shared" si="825"/>
        <v>13.05</v>
      </c>
      <c r="R398" s="580">
        <f>N398*$R$27</f>
        <v>55.8</v>
      </c>
      <c r="S398" s="580">
        <v>0</v>
      </c>
      <c r="T398" s="580">
        <v>0</v>
      </c>
      <c r="U398" s="580">
        <v>0</v>
      </c>
      <c r="V398" s="473">
        <f t="shared" ref="V398:V437" si="836">SUM(N398:U398)</f>
        <v>968.84999999999991</v>
      </c>
      <c r="W398" s="580">
        <f t="shared" ref="W398" si="837">IF(P398&lt;&gt;"",V398*$W$27,0)</f>
        <v>0</v>
      </c>
      <c r="X398" s="580"/>
      <c r="Y398" s="581">
        <f t="shared" ref="Y398" si="838">X398+W398+V398</f>
        <v>968.84999999999991</v>
      </c>
      <c r="Z398" s="432"/>
    </row>
    <row r="399" spans="1:26" ht="12.75" customHeight="1" x14ac:dyDescent="0.2">
      <c r="A399" s="30"/>
      <c r="B399" s="30"/>
      <c r="C399" s="30" t="s">
        <v>5</v>
      </c>
      <c r="D399" s="426" t="s">
        <v>333</v>
      </c>
      <c r="E399" s="30" t="s">
        <v>747</v>
      </c>
      <c r="F399" s="34" t="s">
        <v>453</v>
      </c>
      <c r="G399" s="34" t="s">
        <v>792</v>
      </c>
      <c r="H399" s="30" t="s">
        <v>461</v>
      </c>
      <c r="I399" s="34" t="s">
        <v>27</v>
      </c>
      <c r="J399" s="34" t="s">
        <v>62</v>
      </c>
      <c r="K399" s="580">
        <v>50</v>
      </c>
      <c r="L399" s="580">
        <v>18</v>
      </c>
      <c r="M399" s="580"/>
      <c r="N399" s="580">
        <f t="shared" si="824"/>
        <v>900</v>
      </c>
      <c r="O399" s="580"/>
      <c r="P399" s="580">
        <v>0</v>
      </c>
      <c r="Q399" s="580">
        <f t="shared" si="825"/>
        <v>13.05</v>
      </c>
      <c r="R399" s="580">
        <f>N399*$R$27</f>
        <v>55.8</v>
      </c>
      <c r="S399" s="580">
        <v>0</v>
      </c>
      <c r="T399" s="580"/>
      <c r="U399" s="580"/>
      <c r="V399" s="473">
        <f t="shared" si="836"/>
        <v>968.84999999999991</v>
      </c>
      <c r="W399" s="580">
        <f t="shared" ref="W399:W462" si="839">IF(P399&lt;&gt;"",V399*$W$27,0)</f>
        <v>0</v>
      </c>
      <c r="X399" s="580"/>
      <c r="Y399" s="581">
        <f t="shared" ref="Y399:Y462" si="840">X399+W399+V399</f>
        <v>968.84999999999991</v>
      </c>
      <c r="Z399" s="432"/>
    </row>
    <row r="400" spans="1:26" x14ac:dyDescent="0.2">
      <c r="A400" s="30"/>
      <c r="B400" s="30"/>
      <c r="C400" s="30" t="s">
        <v>5</v>
      </c>
      <c r="D400" s="426">
        <v>618</v>
      </c>
      <c r="E400" s="30" t="s">
        <v>1414</v>
      </c>
      <c r="F400" s="34" t="s">
        <v>6</v>
      </c>
      <c r="G400" s="34" t="s">
        <v>456</v>
      </c>
      <c r="H400" s="30" t="s">
        <v>460</v>
      </c>
      <c r="I400" s="34" t="s">
        <v>684</v>
      </c>
      <c r="J400" s="34" t="s">
        <v>692</v>
      </c>
      <c r="K400" s="580">
        <v>26.17</v>
      </c>
      <c r="L400" s="580">
        <v>2080</v>
      </c>
      <c r="M400" s="580"/>
      <c r="N400" s="580">
        <f t="shared" si="824"/>
        <v>0</v>
      </c>
      <c r="O400" s="580"/>
      <c r="P400" s="580">
        <f t="shared" ref="P400:P412" si="841">(N400-(M400*K400))*$P$27</f>
        <v>0</v>
      </c>
      <c r="Q400" s="580">
        <f t="shared" si="825"/>
        <v>0</v>
      </c>
      <c r="R400" s="580">
        <v>0</v>
      </c>
      <c r="S400" s="580">
        <f>IF(H400="1",2828.52*2,0)</f>
        <v>0</v>
      </c>
      <c r="T400" s="580">
        <f>IF(H400="1",154.92*2,0)</f>
        <v>0</v>
      </c>
      <c r="U400" s="580">
        <f>IF(H400="1",162*2,0)</f>
        <v>0</v>
      </c>
      <c r="V400" s="473">
        <f t="shared" si="836"/>
        <v>0</v>
      </c>
      <c r="W400" s="580">
        <f t="shared" si="839"/>
        <v>0</v>
      </c>
      <c r="X400" s="580"/>
      <c r="Y400" s="581">
        <f t="shared" si="840"/>
        <v>0</v>
      </c>
      <c r="Z400" s="432"/>
    </row>
    <row r="401" spans="1:26" ht="12.75" customHeight="1" x14ac:dyDescent="0.2">
      <c r="A401" s="30"/>
      <c r="B401" s="30"/>
      <c r="C401" s="30" t="s">
        <v>5</v>
      </c>
      <c r="D401" s="426" t="s">
        <v>333</v>
      </c>
      <c r="E401" s="30" t="s">
        <v>1156</v>
      </c>
      <c r="F401" s="30" t="s">
        <v>453</v>
      </c>
      <c r="G401" s="30" t="s">
        <v>454</v>
      </c>
      <c r="H401" s="30" t="s">
        <v>461</v>
      </c>
      <c r="I401" s="30" t="s">
        <v>29</v>
      </c>
      <c r="J401" s="30" t="s">
        <v>692</v>
      </c>
      <c r="K401" s="580">
        <v>76.930000000000007</v>
      </c>
      <c r="L401" s="580">
        <v>2080</v>
      </c>
      <c r="M401" s="580"/>
      <c r="N401" s="580">
        <f t="shared" si="824"/>
        <v>160014.40000000002</v>
      </c>
      <c r="O401" s="580"/>
      <c r="P401" s="580">
        <f t="shared" si="841"/>
        <v>57285.155200000008</v>
      </c>
      <c r="Q401" s="580">
        <f t="shared" si="825"/>
        <v>2320.2088000000003</v>
      </c>
      <c r="R401" s="580">
        <v>0</v>
      </c>
      <c r="S401" s="580">
        <f>IF(H401="1",3371.04*2,0)</f>
        <v>6742.08</v>
      </c>
      <c r="T401" s="580">
        <f>IF(H401="1",361.92*2,0)</f>
        <v>723.84</v>
      </c>
      <c r="U401" s="580">
        <f>IF(H401="1",162*2,0)</f>
        <v>324</v>
      </c>
      <c r="V401" s="473">
        <f t="shared" si="836"/>
        <v>227409.68400000001</v>
      </c>
      <c r="W401" s="580">
        <f t="shared" si="839"/>
        <v>0</v>
      </c>
      <c r="X401" s="580"/>
      <c r="Y401" s="581">
        <f t="shared" si="840"/>
        <v>227409.68400000001</v>
      </c>
      <c r="Z401" s="432"/>
    </row>
    <row r="402" spans="1:26" x14ac:dyDescent="0.2">
      <c r="A402" s="30"/>
      <c r="B402" s="30"/>
      <c r="C402" s="30" t="s">
        <v>5</v>
      </c>
      <c r="D402" s="584" t="s">
        <v>333</v>
      </c>
      <c r="E402" s="34" t="s">
        <v>789</v>
      </c>
      <c r="F402" s="34" t="s">
        <v>453</v>
      </c>
      <c r="G402" s="30" t="s">
        <v>456</v>
      </c>
      <c r="H402" s="30" t="s">
        <v>461</v>
      </c>
      <c r="I402" s="34" t="s">
        <v>28</v>
      </c>
      <c r="J402" s="34" t="s">
        <v>692</v>
      </c>
      <c r="K402" s="580">
        <v>60</v>
      </c>
      <c r="L402" s="580">
        <v>2080</v>
      </c>
      <c r="M402" s="580"/>
      <c r="N402" s="580">
        <f t="shared" si="824"/>
        <v>124800</v>
      </c>
      <c r="O402" s="580"/>
      <c r="P402" s="580">
        <f t="shared" si="841"/>
        <v>44678.400000000001</v>
      </c>
      <c r="Q402" s="580">
        <f t="shared" si="825"/>
        <v>1809.6000000000001</v>
      </c>
      <c r="R402" s="580">
        <v>0</v>
      </c>
      <c r="S402" s="580">
        <f>IF(H402="1",3242.52*2,0)</f>
        <v>6485.04</v>
      </c>
      <c r="T402" s="580">
        <f>IF(H402="1",361.92*2,0)</f>
        <v>723.84</v>
      </c>
      <c r="U402" s="580">
        <v>0</v>
      </c>
      <c r="V402" s="473">
        <f t="shared" si="836"/>
        <v>178496.88</v>
      </c>
      <c r="W402" s="580">
        <f t="shared" si="839"/>
        <v>0</v>
      </c>
      <c r="X402" s="580"/>
      <c r="Y402" s="581">
        <f t="shared" si="840"/>
        <v>178496.88</v>
      </c>
      <c r="Z402" s="432"/>
    </row>
    <row r="403" spans="1:26" ht="12.75" customHeight="1" x14ac:dyDescent="0.2">
      <c r="A403" s="30"/>
      <c r="B403" s="30"/>
      <c r="C403" s="740" t="s">
        <v>5</v>
      </c>
      <c r="D403" s="738" t="s">
        <v>333</v>
      </c>
      <c r="E403" s="740" t="s">
        <v>1299</v>
      </c>
      <c r="F403" s="30" t="s">
        <v>453</v>
      </c>
      <c r="G403" s="30" t="s">
        <v>454</v>
      </c>
      <c r="H403" s="30" t="s">
        <v>461</v>
      </c>
      <c r="I403" s="30" t="s">
        <v>29</v>
      </c>
      <c r="J403" s="30" t="s">
        <v>692</v>
      </c>
      <c r="K403" s="580">
        <v>67.599999999999994</v>
      </c>
      <c r="L403" s="580">
        <v>2080</v>
      </c>
      <c r="M403" s="580"/>
      <c r="N403" s="580">
        <f t="shared" si="824"/>
        <v>140608</v>
      </c>
      <c r="O403" s="580"/>
      <c r="P403" s="580">
        <f t="shared" si="841"/>
        <v>50337.663999999997</v>
      </c>
      <c r="Q403" s="580">
        <f t="shared" si="825"/>
        <v>2038.816</v>
      </c>
      <c r="R403" s="580">
        <v>0</v>
      </c>
      <c r="S403" s="580">
        <f>IF(H403="1",2828.52*2,0)</f>
        <v>5657.04</v>
      </c>
      <c r="T403" s="580">
        <f>IF(H403="1",387.12*2,0)</f>
        <v>774.24</v>
      </c>
      <c r="U403" s="580">
        <v>0</v>
      </c>
      <c r="V403" s="473">
        <f t="shared" si="836"/>
        <v>199415.75999999998</v>
      </c>
      <c r="W403" s="580">
        <f t="shared" si="839"/>
        <v>0</v>
      </c>
      <c r="X403" s="580"/>
      <c r="Y403" s="581">
        <f t="shared" si="840"/>
        <v>199415.75999999998</v>
      </c>
      <c r="Z403" s="432"/>
    </row>
    <row r="404" spans="1:26" ht="12.75" customHeight="1" x14ac:dyDescent="0.2">
      <c r="A404" s="30"/>
      <c r="B404" s="30"/>
      <c r="C404" s="30" t="s">
        <v>5</v>
      </c>
      <c r="D404" s="426" t="s">
        <v>333</v>
      </c>
      <c r="E404" s="30" t="s">
        <v>357</v>
      </c>
      <c r="F404" s="34" t="s">
        <v>453</v>
      </c>
      <c r="G404" s="34" t="s">
        <v>454</v>
      </c>
      <c r="H404" s="30" t="s">
        <v>460</v>
      </c>
      <c r="I404" s="34" t="s">
        <v>35</v>
      </c>
      <c r="J404" s="34" t="s">
        <v>62</v>
      </c>
      <c r="K404" s="580">
        <v>60</v>
      </c>
      <c r="L404" s="580">
        <v>2080</v>
      </c>
      <c r="M404" s="580"/>
      <c r="N404" s="580">
        <f t="shared" si="824"/>
        <v>0</v>
      </c>
      <c r="O404" s="580"/>
      <c r="P404" s="580">
        <f t="shared" si="841"/>
        <v>0</v>
      </c>
      <c r="Q404" s="580">
        <f t="shared" si="825"/>
        <v>0</v>
      </c>
      <c r="R404" s="580">
        <v>0</v>
      </c>
      <c r="S404" s="580">
        <f>IF(H404="1",3242.52*2,0)</f>
        <v>0</v>
      </c>
      <c r="T404" s="580">
        <f>IF(H404="1",361.92*2,0)</f>
        <v>0</v>
      </c>
      <c r="U404" s="580">
        <v>0</v>
      </c>
      <c r="V404" s="473">
        <f t="shared" si="836"/>
        <v>0</v>
      </c>
      <c r="W404" s="580">
        <f t="shared" si="839"/>
        <v>0</v>
      </c>
      <c r="X404" s="580"/>
      <c r="Y404" s="581">
        <f t="shared" si="840"/>
        <v>0</v>
      </c>
      <c r="Z404" s="432"/>
    </row>
    <row r="405" spans="1:26" ht="12.75" customHeight="1" x14ac:dyDescent="0.2">
      <c r="A405" s="30"/>
      <c r="B405" s="30"/>
      <c r="C405" s="30" t="s">
        <v>5</v>
      </c>
      <c r="D405" s="426" t="s">
        <v>333</v>
      </c>
      <c r="E405" s="30" t="s">
        <v>1298</v>
      </c>
      <c r="F405" s="34" t="s">
        <v>453</v>
      </c>
      <c r="G405" s="30" t="s">
        <v>454</v>
      </c>
      <c r="H405" s="583" t="s">
        <v>461</v>
      </c>
      <c r="I405" s="30" t="s">
        <v>29</v>
      </c>
      <c r="J405" s="34" t="s">
        <v>62</v>
      </c>
      <c r="K405" s="580">
        <v>125</v>
      </c>
      <c r="L405" s="580">
        <v>2080</v>
      </c>
      <c r="M405" s="580"/>
      <c r="N405" s="580">
        <f t="shared" si="824"/>
        <v>260000</v>
      </c>
      <c r="O405" s="580"/>
      <c r="P405" s="580">
        <f t="shared" si="841"/>
        <v>93080</v>
      </c>
      <c r="Q405" s="580">
        <f t="shared" si="825"/>
        <v>3770</v>
      </c>
      <c r="R405" s="580">
        <v>0</v>
      </c>
      <c r="S405" s="580">
        <f>IF(H405="1",3371.04*2,0)</f>
        <v>6742.08</v>
      </c>
      <c r="T405" s="580">
        <f>IF(H405="1",361.92*2,0)</f>
        <v>723.84</v>
      </c>
      <c r="U405" s="580">
        <f>IF(H405="1",162*2,0)</f>
        <v>324</v>
      </c>
      <c r="V405" s="473">
        <f t="shared" si="836"/>
        <v>364639.92000000004</v>
      </c>
      <c r="W405" s="580">
        <f t="shared" si="839"/>
        <v>0</v>
      </c>
      <c r="X405" s="580"/>
      <c r="Y405" s="581">
        <f t="shared" si="840"/>
        <v>364639.92000000004</v>
      </c>
      <c r="Z405" s="432"/>
    </row>
    <row r="406" spans="1:26" ht="12.75" customHeight="1" x14ac:dyDescent="0.2">
      <c r="A406" s="30"/>
      <c r="B406" s="30"/>
      <c r="C406" s="30" t="s">
        <v>5</v>
      </c>
      <c r="D406" s="426">
        <v>615</v>
      </c>
      <c r="E406" s="30" t="s">
        <v>354</v>
      </c>
      <c r="F406" s="30" t="s">
        <v>6</v>
      </c>
      <c r="G406" s="30" t="s">
        <v>454</v>
      </c>
      <c r="H406" s="30" t="s">
        <v>460</v>
      </c>
      <c r="I406" s="34" t="s">
        <v>39</v>
      </c>
      <c r="J406" s="34" t="s">
        <v>692</v>
      </c>
      <c r="K406" s="580">
        <v>22.69</v>
      </c>
      <c r="L406" s="580">
        <v>2080</v>
      </c>
      <c r="M406" s="580"/>
      <c r="N406" s="580">
        <f t="shared" si="824"/>
        <v>0</v>
      </c>
      <c r="O406" s="580"/>
      <c r="P406" s="580">
        <f t="shared" si="841"/>
        <v>0</v>
      </c>
      <c r="Q406" s="580">
        <f t="shared" si="825"/>
        <v>0</v>
      </c>
      <c r="R406" s="580">
        <v>0</v>
      </c>
      <c r="S406" s="580">
        <f>IF(H406="1",2828.52*2,0)</f>
        <v>0</v>
      </c>
      <c r="T406" s="580">
        <f>IF(H406="1",154.92*2,0)</f>
        <v>0</v>
      </c>
      <c r="U406" s="580">
        <v>0</v>
      </c>
      <c r="V406" s="473">
        <f t="shared" si="836"/>
        <v>0</v>
      </c>
      <c r="W406" s="580">
        <f t="shared" si="839"/>
        <v>0</v>
      </c>
      <c r="X406" s="580"/>
      <c r="Y406" s="581">
        <f t="shared" si="840"/>
        <v>0</v>
      </c>
      <c r="Z406" s="432"/>
    </row>
    <row r="407" spans="1:26" ht="12.75" customHeight="1" x14ac:dyDescent="0.2">
      <c r="A407" s="30"/>
      <c r="B407" s="30"/>
      <c r="C407" s="737" t="s">
        <v>5</v>
      </c>
      <c r="D407" s="738">
        <v>310</v>
      </c>
      <c r="E407" s="740" t="s">
        <v>354</v>
      </c>
      <c r="F407" s="34" t="s">
        <v>6</v>
      </c>
      <c r="G407" s="34" t="s">
        <v>455</v>
      </c>
      <c r="H407" s="583" t="s">
        <v>461</v>
      </c>
      <c r="I407" s="34" t="s">
        <v>685</v>
      </c>
      <c r="J407" s="34" t="s">
        <v>692</v>
      </c>
      <c r="K407" s="580">
        <v>21.75</v>
      </c>
      <c r="L407" s="580">
        <f>25*52</f>
        <v>1300</v>
      </c>
      <c r="M407" s="580"/>
      <c r="N407" s="580">
        <f t="shared" si="824"/>
        <v>28275</v>
      </c>
      <c r="O407" s="580"/>
      <c r="P407" s="580">
        <f t="shared" si="841"/>
        <v>10122.449999999999</v>
      </c>
      <c r="Q407" s="580">
        <f t="shared" si="825"/>
        <v>409.98750000000001</v>
      </c>
      <c r="R407" s="580">
        <v>0</v>
      </c>
      <c r="S407" s="580">
        <f>IF(H407="1",2828.52*2,0)</f>
        <v>5657.04</v>
      </c>
      <c r="T407" s="580">
        <f>IF(H407="1",387.12*2,0)</f>
        <v>774.24</v>
      </c>
      <c r="U407" s="580">
        <v>0</v>
      </c>
      <c r="V407" s="473">
        <f t="shared" si="836"/>
        <v>45238.717499999999</v>
      </c>
      <c r="W407" s="580">
        <f t="shared" si="839"/>
        <v>0</v>
      </c>
      <c r="X407" s="580"/>
      <c r="Y407" s="581">
        <f t="shared" si="840"/>
        <v>45238.717499999999</v>
      </c>
      <c r="Z407" s="432"/>
    </row>
    <row r="408" spans="1:26" ht="12.75" customHeight="1" x14ac:dyDescent="0.2">
      <c r="A408" s="30"/>
      <c r="B408" s="30"/>
      <c r="C408" s="30" t="s">
        <v>5</v>
      </c>
      <c r="D408" s="426">
        <v>615</v>
      </c>
      <c r="E408" s="34" t="s">
        <v>791</v>
      </c>
      <c r="F408" s="34" t="s">
        <v>6</v>
      </c>
      <c r="G408" s="34" t="s">
        <v>454</v>
      </c>
      <c r="H408" s="583" t="s">
        <v>461</v>
      </c>
      <c r="I408" s="34" t="s">
        <v>536</v>
      </c>
      <c r="J408" s="34" t="s">
        <v>692</v>
      </c>
      <c r="K408" s="580">
        <v>16.98</v>
      </c>
      <c r="L408" s="580">
        <v>2080</v>
      </c>
      <c r="M408" s="580"/>
      <c r="N408" s="580">
        <f t="shared" si="824"/>
        <v>35318.400000000001</v>
      </c>
      <c r="O408" s="580"/>
      <c r="P408" s="580">
        <f t="shared" si="841"/>
        <v>12643.9872</v>
      </c>
      <c r="Q408" s="580">
        <f t="shared" si="825"/>
        <v>512.11680000000001</v>
      </c>
      <c r="R408" s="580">
        <v>0</v>
      </c>
      <c r="S408" s="580">
        <v>0</v>
      </c>
      <c r="T408" s="580">
        <v>0</v>
      </c>
      <c r="U408" s="580">
        <v>0</v>
      </c>
      <c r="V408" s="473">
        <f t="shared" si="836"/>
        <v>48474.504000000001</v>
      </c>
      <c r="W408" s="580">
        <f t="shared" si="839"/>
        <v>0</v>
      </c>
      <c r="X408" s="580"/>
      <c r="Y408" s="581">
        <f t="shared" si="840"/>
        <v>48474.504000000001</v>
      </c>
      <c r="Z408" s="432"/>
    </row>
    <row r="409" spans="1:26" ht="12.75" customHeight="1" x14ac:dyDescent="0.2">
      <c r="A409" s="30"/>
      <c r="B409" s="30"/>
      <c r="C409" s="740" t="s">
        <v>5</v>
      </c>
      <c r="D409" s="738">
        <v>618</v>
      </c>
      <c r="E409" s="741" t="s">
        <v>790</v>
      </c>
      <c r="F409" s="34" t="s">
        <v>6</v>
      </c>
      <c r="G409" s="34" t="s">
        <v>454</v>
      </c>
      <c r="H409" s="583" t="s">
        <v>461</v>
      </c>
      <c r="I409" s="34" t="s">
        <v>536</v>
      </c>
      <c r="J409" s="34" t="s">
        <v>692</v>
      </c>
      <c r="K409" s="580">
        <v>25</v>
      </c>
      <c r="L409" s="580">
        <v>2080</v>
      </c>
      <c r="M409" s="580"/>
      <c r="N409" s="580">
        <f t="shared" si="824"/>
        <v>52000</v>
      </c>
      <c r="O409" s="580"/>
      <c r="P409" s="580">
        <f t="shared" si="841"/>
        <v>18616</v>
      </c>
      <c r="Q409" s="580">
        <f t="shared" si="825"/>
        <v>754</v>
      </c>
      <c r="R409" s="580">
        <v>0</v>
      </c>
      <c r="S409" s="580">
        <v>0</v>
      </c>
      <c r="T409" s="580">
        <v>0</v>
      </c>
      <c r="U409" s="580">
        <v>0</v>
      </c>
      <c r="V409" s="473">
        <f t="shared" si="836"/>
        <v>71370</v>
      </c>
      <c r="W409" s="580">
        <f t="shared" si="839"/>
        <v>0</v>
      </c>
      <c r="X409" s="580"/>
      <c r="Y409" s="581">
        <f t="shared" si="840"/>
        <v>71370</v>
      </c>
      <c r="Z409" s="432"/>
    </row>
    <row r="410" spans="1:26" ht="12.75" customHeight="1" x14ac:dyDescent="0.2">
      <c r="A410" s="30"/>
      <c r="B410" s="30"/>
      <c r="C410" s="30" t="s">
        <v>5</v>
      </c>
      <c r="D410" s="426">
        <v>315</v>
      </c>
      <c r="E410" s="30" t="s">
        <v>341</v>
      </c>
      <c r="F410" s="30" t="s">
        <v>6</v>
      </c>
      <c r="G410" s="30" t="s">
        <v>454</v>
      </c>
      <c r="H410" s="30" t="s">
        <v>460</v>
      </c>
      <c r="I410" s="34" t="s">
        <v>36</v>
      </c>
      <c r="J410" s="34" t="s">
        <v>692</v>
      </c>
      <c r="K410" s="580">
        <v>33.630000000000003</v>
      </c>
      <c r="L410" s="580">
        <v>2080</v>
      </c>
      <c r="M410" s="580"/>
      <c r="N410" s="580">
        <f t="shared" si="824"/>
        <v>0</v>
      </c>
      <c r="O410" s="580"/>
      <c r="P410" s="580">
        <f t="shared" si="841"/>
        <v>0</v>
      </c>
      <c r="Q410" s="580">
        <f t="shared" si="825"/>
        <v>0</v>
      </c>
      <c r="R410" s="580">
        <v>0</v>
      </c>
      <c r="S410" s="580">
        <f>IF(H410="1",2828.52*2,0)</f>
        <v>0</v>
      </c>
      <c r="T410" s="580">
        <f>IF(H410="1",154.92*2,0)</f>
        <v>0</v>
      </c>
      <c r="U410" s="580">
        <f>IF(H410="1",16.2*2,0)</f>
        <v>0</v>
      </c>
      <c r="V410" s="473">
        <f t="shared" si="836"/>
        <v>0</v>
      </c>
      <c r="W410" s="580">
        <f t="shared" si="839"/>
        <v>0</v>
      </c>
      <c r="X410" s="580"/>
      <c r="Y410" s="581">
        <f t="shared" si="840"/>
        <v>0</v>
      </c>
      <c r="Z410" s="432"/>
    </row>
    <row r="411" spans="1:26" ht="12.75" customHeight="1" x14ac:dyDescent="0.2">
      <c r="A411" s="30"/>
      <c r="B411" s="30"/>
      <c r="C411" s="737" t="s">
        <v>5</v>
      </c>
      <c r="D411" s="738">
        <v>618</v>
      </c>
      <c r="E411" s="739" t="s">
        <v>1463</v>
      </c>
      <c r="F411" s="30" t="s">
        <v>6</v>
      </c>
      <c r="G411" s="30" t="s">
        <v>454</v>
      </c>
      <c r="H411" s="30" t="s">
        <v>461</v>
      </c>
      <c r="I411" s="30" t="s">
        <v>34</v>
      </c>
      <c r="J411" s="30" t="s">
        <v>692</v>
      </c>
      <c r="K411" s="580">
        <f>50000/2080</f>
        <v>24.03846153846154</v>
      </c>
      <c r="L411" s="580">
        <v>2080</v>
      </c>
      <c r="M411" s="580"/>
      <c r="N411" s="580">
        <f t="shared" si="824"/>
        <v>50000</v>
      </c>
      <c r="O411" s="580"/>
      <c r="P411" s="580">
        <f t="shared" si="841"/>
        <v>17900</v>
      </c>
      <c r="Q411" s="580">
        <f t="shared" si="825"/>
        <v>725</v>
      </c>
      <c r="R411" s="580">
        <v>0</v>
      </c>
      <c r="S411" s="580">
        <f>IF(H411="1",2828.52*2,0)</f>
        <v>5657.04</v>
      </c>
      <c r="T411" s="580">
        <f>IF(H411="1",387.12*2,0)</f>
        <v>774.24</v>
      </c>
      <c r="U411" s="580">
        <v>0</v>
      </c>
      <c r="V411" s="473">
        <f t="shared" si="836"/>
        <v>75056.28</v>
      </c>
      <c r="W411" s="580">
        <f t="shared" si="839"/>
        <v>0</v>
      </c>
      <c r="X411" s="580"/>
      <c r="Y411" s="581">
        <f t="shared" si="840"/>
        <v>75056.28</v>
      </c>
      <c r="Z411" s="432"/>
    </row>
    <row r="412" spans="1:26" s="432" customFormat="1" ht="12.75" customHeight="1" x14ac:dyDescent="0.2">
      <c r="A412" s="30"/>
      <c r="B412" s="30"/>
      <c r="C412" s="34" t="s">
        <v>5</v>
      </c>
      <c r="D412" s="426" t="s">
        <v>333</v>
      </c>
      <c r="E412" s="30" t="s">
        <v>347</v>
      </c>
      <c r="F412" s="34" t="s">
        <v>458</v>
      </c>
      <c r="G412" s="30" t="s">
        <v>458</v>
      </c>
      <c r="H412" s="30" t="s">
        <v>460</v>
      </c>
      <c r="I412" s="34" t="s">
        <v>32</v>
      </c>
      <c r="J412" s="34" t="s">
        <v>692</v>
      </c>
      <c r="K412" s="580">
        <v>9.65</v>
      </c>
      <c r="L412" s="580">
        <v>1040</v>
      </c>
      <c r="M412" s="580"/>
      <c r="N412" s="580">
        <f t="shared" si="824"/>
        <v>0</v>
      </c>
      <c r="O412" s="580"/>
      <c r="P412" s="580">
        <f t="shared" si="841"/>
        <v>0</v>
      </c>
      <c r="Q412" s="580">
        <f t="shared" si="825"/>
        <v>0</v>
      </c>
      <c r="R412" s="580">
        <f>N412*$R$27</f>
        <v>0</v>
      </c>
      <c r="S412" s="580">
        <v>0</v>
      </c>
      <c r="T412" s="580">
        <v>0</v>
      </c>
      <c r="U412" s="580">
        <v>0</v>
      </c>
      <c r="V412" s="473">
        <f t="shared" si="836"/>
        <v>0</v>
      </c>
      <c r="W412" s="580">
        <f t="shared" si="839"/>
        <v>0</v>
      </c>
      <c r="X412" s="580"/>
      <c r="Y412" s="581">
        <f t="shared" si="840"/>
        <v>0</v>
      </c>
    </row>
    <row r="413" spans="1:26" s="432" customFormat="1" ht="12.75" customHeight="1" x14ac:dyDescent="0.2">
      <c r="A413" s="30">
        <v>297541</v>
      </c>
      <c r="B413" s="30"/>
      <c r="C413" s="34" t="s">
        <v>1420</v>
      </c>
      <c r="D413" s="584" t="s">
        <v>333</v>
      </c>
      <c r="E413" s="30" t="s">
        <v>747</v>
      </c>
      <c r="F413" s="34" t="s">
        <v>453</v>
      </c>
      <c r="G413" s="34" t="s">
        <v>792</v>
      </c>
      <c r="H413" s="30" t="s">
        <v>461</v>
      </c>
      <c r="I413" s="34" t="s">
        <v>27</v>
      </c>
      <c r="J413" s="34" t="s">
        <v>62</v>
      </c>
      <c r="K413" s="580">
        <v>50</v>
      </c>
      <c r="L413" s="580">
        <v>18</v>
      </c>
      <c r="M413" s="580"/>
      <c r="N413" s="580">
        <f t="shared" si="824"/>
        <v>900</v>
      </c>
      <c r="O413" s="580"/>
      <c r="P413" s="580">
        <v>0</v>
      </c>
      <c r="Q413" s="580">
        <f t="shared" si="825"/>
        <v>13.05</v>
      </c>
      <c r="R413" s="580">
        <f>N413*$R$27</f>
        <v>55.8</v>
      </c>
      <c r="S413" s="580">
        <v>0</v>
      </c>
      <c r="T413" s="580">
        <v>0</v>
      </c>
      <c r="U413" s="580">
        <v>0</v>
      </c>
      <c r="V413" s="473">
        <f t="shared" si="836"/>
        <v>968.84999999999991</v>
      </c>
      <c r="W413" s="580">
        <f t="shared" si="839"/>
        <v>0</v>
      </c>
      <c r="X413" s="580"/>
      <c r="Y413" s="581">
        <f t="shared" si="840"/>
        <v>968.84999999999991</v>
      </c>
    </row>
    <row r="414" spans="1:26" s="432" customFormat="1" ht="12.75" customHeight="1" x14ac:dyDescent="0.2">
      <c r="A414" s="30">
        <v>114441</v>
      </c>
      <c r="B414" s="30"/>
      <c r="C414" s="30" t="s">
        <v>272</v>
      </c>
      <c r="D414" s="426">
        <v>622</v>
      </c>
      <c r="E414" s="30" t="s">
        <v>366</v>
      </c>
      <c r="F414" s="34" t="s">
        <v>6</v>
      </c>
      <c r="G414" s="34" t="s">
        <v>454</v>
      </c>
      <c r="H414" s="30" t="s">
        <v>461</v>
      </c>
      <c r="I414" s="34" t="s">
        <v>37</v>
      </c>
      <c r="J414" s="34" t="s">
        <v>143</v>
      </c>
      <c r="K414" s="580">
        <f>51.48*30%</f>
        <v>15.443999999999999</v>
      </c>
      <c r="L414" s="580">
        <v>2080</v>
      </c>
      <c r="M414" s="580"/>
      <c r="N414" s="580">
        <f t="shared" si="824"/>
        <v>32123.519999999997</v>
      </c>
      <c r="O414" s="580"/>
      <c r="P414" s="580">
        <f>(N414-(M414*K414))*$P$27</f>
        <v>11500.220159999999</v>
      </c>
      <c r="Q414" s="580">
        <f t="shared" si="825"/>
        <v>465.79103999999995</v>
      </c>
      <c r="R414" s="580">
        <v>0</v>
      </c>
      <c r="S414" s="580">
        <f>IF(H414="1",2828.52*2,0)</f>
        <v>5657.04</v>
      </c>
      <c r="T414" s="580">
        <f>IF(H414="1",154.92*2,0)</f>
        <v>309.83999999999997</v>
      </c>
      <c r="U414" s="580">
        <f>IF(H414="1",162*2,0)</f>
        <v>324</v>
      </c>
      <c r="V414" s="473">
        <f t="shared" si="836"/>
        <v>50380.411199999988</v>
      </c>
      <c r="W414" s="580">
        <f t="shared" si="839"/>
        <v>0</v>
      </c>
      <c r="X414" s="580"/>
      <c r="Y414" s="581">
        <f t="shared" si="840"/>
        <v>50380.411199999988</v>
      </c>
    </row>
    <row r="415" spans="1:26" s="432" customFormat="1" ht="12.75" customHeight="1" x14ac:dyDescent="0.2">
      <c r="A415" s="30"/>
      <c r="B415" s="30"/>
      <c r="C415" s="30" t="s">
        <v>272</v>
      </c>
      <c r="D415" s="426">
        <v>622</v>
      </c>
      <c r="E415" s="30" t="s">
        <v>366</v>
      </c>
      <c r="F415" s="34" t="s">
        <v>6</v>
      </c>
      <c r="G415" s="34" t="s">
        <v>454</v>
      </c>
      <c r="H415" s="30" t="s">
        <v>461</v>
      </c>
      <c r="I415" s="34" t="s">
        <v>37</v>
      </c>
      <c r="J415" s="34" t="s">
        <v>116</v>
      </c>
      <c r="K415" s="580">
        <f>51.48*25%</f>
        <v>12.87</v>
      </c>
      <c r="L415" s="580">
        <v>2080</v>
      </c>
      <c r="M415" s="580"/>
      <c r="N415" s="580">
        <f t="shared" si="824"/>
        <v>26769.599999999999</v>
      </c>
      <c r="O415" s="580"/>
      <c r="P415" s="580">
        <f t="shared" ref="P415:P446" si="842">(N415-(M415*K415))*$P$27</f>
        <v>9583.5167999999994</v>
      </c>
      <c r="Q415" s="580">
        <f t="shared" si="825"/>
        <v>388.1592</v>
      </c>
      <c r="R415" s="580">
        <v>0</v>
      </c>
      <c r="S415" s="580"/>
      <c r="T415" s="580"/>
      <c r="U415" s="580"/>
      <c r="V415" s="473">
        <f t="shared" si="836"/>
        <v>36741.275999999998</v>
      </c>
      <c r="W415" s="580">
        <f t="shared" si="839"/>
        <v>0</v>
      </c>
      <c r="X415" s="580"/>
      <c r="Y415" s="581">
        <f t="shared" si="840"/>
        <v>36741.275999999998</v>
      </c>
    </row>
    <row r="416" spans="1:26" s="432" customFormat="1" ht="12.75" customHeight="1" x14ac:dyDescent="0.2">
      <c r="A416" s="30"/>
      <c r="B416" s="30"/>
      <c r="C416" s="30" t="s">
        <v>272</v>
      </c>
      <c r="D416" s="426">
        <v>622</v>
      </c>
      <c r="E416" s="30" t="s">
        <v>366</v>
      </c>
      <c r="F416" s="34" t="s">
        <v>6</v>
      </c>
      <c r="G416" s="34" t="s">
        <v>454</v>
      </c>
      <c r="H416" s="30" t="s">
        <v>461</v>
      </c>
      <c r="I416" s="34" t="s">
        <v>37</v>
      </c>
      <c r="J416" s="34" t="s">
        <v>127</v>
      </c>
      <c r="K416" s="580">
        <f>51.48*12%</f>
        <v>6.1775999999999991</v>
      </c>
      <c r="L416" s="580">
        <v>2080</v>
      </c>
      <c r="M416" s="580"/>
      <c r="N416" s="580">
        <f t="shared" si="824"/>
        <v>12849.407999999998</v>
      </c>
      <c r="O416" s="580"/>
      <c r="P416" s="580">
        <f t="shared" si="842"/>
        <v>4600.0880639999987</v>
      </c>
      <c r="Q416" s="580">
        <f t="shared" si="825"/>
        <v>186.31641599999998</v>
      </c>
      <c r="R416" s="580">
        <v>0</v>
      </c>
      <c r="S416" s="580"/>
      <c r="T416" s="580"/>
      <c r="U416" s="580"/>
      <c r="V416" s="473">
        <f t="shared" si="836"/>
        <v>17635.812479999997</v>
      </c>
      <c r="W416" s="580">
        <f t="shared" si="839"/>
        <v>0</v>
      </c>
      <c r="X416" s="580"/>
      <c r="Y416" s="581">
        <f t="shared" si="840"/>
        <v>17635.812479999997</v>
      </c>
    </row>
    <row r="417" spans="1:26" s="432" customFormat="1" ht="12.75" customHeight="1" x14ac:dyDescent="0.2">
      <c r="A417" s="30"/>
      <c r="B417" s="30"/>
      <c r="C417" s="30" t="s">
        <v>272</v>
      </c>
      <c r="D417" s="426">
        <v>622</v>
      </c>
      <c r="E417" s="30" t="s">
        <v>366</v>
      </c>
      <c r="F417" s="34" t="s">
        <v>6</v>
      </c>
      <c r="G417" s="34" t="s">
        <v>454</v>
      </c>
      <c r="H417" s="30" t="s">
        <v>461</v>
      </c>
      <c r="I417" s="34" t="s">
        <v>37</v>
      </c>
      <c r="J417" s="34" t="s">
        <v>126</v>
      </c>
      <c r="K417" s="580">
        <f>51.48*1%</f>
        <v>0.51479999999999992</v>
      </c>
      <c r="L417" s="580">
        <v>2080</v>
      </c>
      <c r="M417" s="580"/>
      <c r="N417" s="580">
        <f t="shared" si="824"/>
        <v>1070.7839999999999</v>
      </c>
      <c r="O417" s="580"/>
      <c r="P417" s="580">
        <f t="shared" si="842"/>
        <v>383.34067199999993</v>
      </c>
      <c r="Q417" s="580">
        <f t="shared" si="825"/>
        <v>15.526368</v>
      </c>
      <c r="R417" s="580">
        <v>0</v>
      </c>
      <c r="S417" s="580"/>
      <c r="T417" s="580"/>
      <c r="U417" s="580"/>
      <c r="V417" s="473">
        <f t="shared" si="836"/>
        <v>1469.65104</v>
      </c>
      <c r="W417" s="580">
        <f t="shared" si="839"/>
        <v>0</v>
      </c>
      <c r="X417" s="580"/>
      <c r="Y417" s="581">
        <f t="shared" si="840"/>
        <v>1469.65104</v>
      </c>
    </row>
    <row r="418" spans="1:26" s="432" customFormat="1" ht="12.75" customHeight="1" x14ac:dyDescent="0.2">
      <c r="A418" s="30"/>
      <c r="B418" s="30"/>
      <c r="C418" s="30" t="s">
        <v>272</v>
      </c>
      <c r="D418" s="426">
        <v>622</v>
      </c>
      <c r="E418" s="30" t="s">
        <v>366</v>
      </c>
      <c r="F418" s="34" t="s">
        <v>6</v>
      </c>
      <c r="G418" s="34" t="s">
        <v>454</v>
      </c>
      <c r="H418" s="30" t="s">
        <v>461</v>
      </c>
      <c r="I418" s="34" t="s">
        <v>37</v>
      </c>
      <c r="J418" s="34" t="s">
        <v>115</v>
      </c>
      <c r="K418" s="580">
        <f>51.48*1%</f>
        <v>0.51479999999999992</v>
      </c>
      <c r="L418" s="580">
        <v>2080</v>
      </c>
      <c r="M418" s="580"/>
      <c r="N418" s="580">
        <f t="shared" si="824"/>
        <v>1070.7839999999999</v>
      </c>
      <c r="O418" s="580"/>
      <c r="P418" s="580">
        <f t="shared" si="842"/>
        <v>383.34067199999993</v>
      </c>
      <c r="Q418" s="580">
        <f t="shared" si="825"/>
        <v>15.526368</v>
      </c>
      <c r="R418" s="580">
        <v>0</v>
      </c>
      <c r="S418" s="580"/>
      <c r="T418" s="580"/>
      <c r="U418" s="580"/>
      <c r="V418" s="473">
        <f t="shared" si="836"/>
        <v>1469.65104</v>
      </c>
      <c r="W418" s="580">
        <f t="shared" si="839"/>
        <v>0</v>
      </c>
      <c r="X418" s="580"/>
      <c r="Y418" s="581">
        <f t="shared" si="840"/>
        <v>1469.65104</v>
      </c>
    </row>
    <row r="419" spans="1:26" s="432" customFormat="1" ht="12.75" customHeight="1" x14ac:dyDescent="0.2">
      <c r="A419" s="30"/>
      <c r="B419" s="30"/>
      <c r="C419" s="30" t="s">
        <v>272</v>
      </c>
      <c r="D419" s="426">
        <v>622</v>
      </c>
      <c r="E419" s="30" t="s">
        <v>366</v>
      </c>
      <c r="F419" s="34" t="s">
        <v>6</v>
      </c>
      <c r="G419" s="34" t="s">
        <v>454</v>
      </c>
      <c r="H419" s="30" t="s">
        <v>461</v>
      </c>
      <c r="I419" s="34" t="s">
        <v>37</v>
      </c>
      <c r="J419" s="34" t="s">
        <v>124</v>
      </c>
      <c r="K419" s="580">
        <f>51.48*15%</f>
        <v>7.7219999999999995</v>
      </c>
      <c r="L419" s="580">
        <v>2080</v>
      </c>
      <c r="M419" s="580"/>
      <c r="N419" s="580">
        <f t="shared" si="824"/>
        <v>16061.759999999998</v>
      </c>
      <c r="O419" s="580"/>
      <c r="P419" s="580">
        <f t="shared" si="842"/>
        <v>5750.1100799999995</v>
      </c>
      <c r="Q419" s="580">
        <f t="shared" si="825"/>
        <v>232.89551999999998</v>
      </c>
      <c r="R419" s="580">
        <v>0</v>
      </c>
      <c r="S419" s="580"/>
      <c r="T419" s="580"/>
      <c r="U419" s="580"/>
      <c r="V419" s="473">
        <f t="shared" si="836"/>
        <v>22044.765599999995</v>
      </c>
      <c r="W419" s="580">
        <f t="shared" si="839"/>
        <v>0</v>
      </c>
      <c r="X419" s="580"/>
      <c r="Y419" s="581">
        <f t="shared" si="840"/>
        <v>22044.765599999995</v>
      </c>
    </row>
    <row r="420" spans="1:26" s="432" customFormat="1" ht="12.75" customHeight="1" x14ac:dyDescent="0.2">
      <c r="A420" s="30"/>
      <c r="B420" s="30"/>
      <c r="C420" s="30" t="s">
        <v>272</v>
      </c>
      <c r="D420" s="426">
        <v>622</v>
      </c>
      <c r="E420" s="30" t="s">
        <v>366</v>
      </c>
      <c r="F420" s="34" t="s">
        <v>6</v>
      </c>
      <c r="G420" s="34" t="s">
        <v>454</v>
      </c>
      <c r="H420" s="30" t="s">
        <v>461</v>
      </c>
      <c r="I420" s="34" t="s">
        <v>37</v>
      </c>
      <c r="J420" s="34" t="s">
        <v>162</v>
      </c>
      <c r="K420" s="580">
        <f>51.48*5%</f>
        <v>2.5739999999999998</v>
      </c>
      <c r="L420" s="580">
        <v>2080</v>
      </c>
      <c r="M420" s="580"/>
      <c r="N420" s="580">
        <f t="shared" si="824"/>
        <v>5353.92</v>
      </c>
      <c r="O420" s="580"/>
      <c r="P420" s="580">
        <f t="shared" si="842"/>
        <v>1916.70336</v>
      </c>
      <c r="Q420" s="580">
        <f t="shared" si="825"/>
        <v>77.631840000000011</v>
      </c>
      <c r="R420" s="580">
        <v>0</v>
      </c>
      <c r="S420" s="580"/>
      <c r="T420" s="580"/>
      <c r="U420" s="580"/>
      <c r="V420" s="473">
        <f t="shared" si="836"/>
        <v>7348.2551999999996</v>
      </c>
      <c r="W420" s="580">
        <f t="shared" si="839"/>
        <v>0</v>
      </c>
      <c r="X420" s="580"/>
      <c r="Y420" s="581">
        <f t="shared" si="840"/>
        <v>7348.2551999999996</v>
      </c>
    </row>
    <row r="421" spans="1:26" s="432" customFormat="1" ht="12.75" customHeight="1" x14ac:dyDescent="0.2">
      <c r="A421" s="30"/>
      <c r="B421" s="30"/>
      <c r="C421" s="30" t="s">
        <v>272</v>
      </c>
      <c r="D421" s="426">
        <v>622</v>
      </c>
      <c r="E421" s="30" t="s">
        <v>366</v>
      </c>
      <c r="F421" s="34" t="s">
        <v>6</v>
      </c>
      <c r="G421" s="34" t="s">
        <v>454</v>
      </c>
      <c r="H421" s="30" t="s">
        <v>461</v>
      </c>
      <c r="I421" s="34" t="s">
        <v>37</v>
      </c>
      <c r="J421" s="34" t="s">
        <v>159</v>
      </c>
      <c r="K421" s="580">
        <f>51.48*5%</f>
        <v>2.5739999999999998</v>
      </c>
      <c r="L421" s="580">
        <v>2080</v>
      </c>
      <c r="M421" s="580"/>
      <c r="N421" s="580">
        <f t="shared" si="824"/>
        <v>5353.92</v>
      </c>
      <c r="O421" s="580"/>
      <c r="P421" s="580">
        <f t="shared" si="842"/>
        <v>1916.70336</v>
      </c>
      <c r="Q421" s="580">
        <f t="shared" si="825"/>
        <v>77.631840000000011</v>
      </c>
      <c r="R421" s="580">
        <v>0</v>
      </c>
      <c r="S421" s="580"/>
      <c r="T421" s="580"/>
      <c r="U421" s="580"/>
      <c r="V421" s="473">
        <f t="shared" si="836"/>
        <v>7348.2551999999996</v>
      </c>
      <c r="W421" s="580">
        <f t="shared" si="839"/>
        <v>0</v>
      </c>
      <c r="X421" s="580"/>
      <c r="Y421" s="581">
        <f t="shared" si="840"/>
        <v>7348.2551999999996</v>
      </c>
    </row>
    <row r="422" spans="1:26" ht="12.75" customHeight="1" x14ac:dyDescent="0.2">
      <c r="A422" s="30"/>
      <c r="B422" s="30"/>
      <c r="C422" s="30" t="s">
        <v>272</v>
      </c>
      <c r="D422" s="426">
        <v>622</v>
      </c>
      <c r="E422" s="30" t="s">
        <v>366</v>
      </c>
      <c r="F422" s="34" t="s">
        <v>6</v>
      </c>
      <c r="G422" s="34" t="s">
        <v>454</v>
      </c>
      <c r="H422" s="30" t="s">
        <v>461</v>
      </c>
      <c r="I422" s="34" t="s">
        <v>37</v>
      </c>
      <c r="J422" s="34" t="s">
        <v>148</v>
      </c>
      <c r="K422" s="580">
        <f>51.48*2%</f>
        <v>1.0295999999999998</v>
      </c>
      <c r="L422" s="580">
        <v>2080</v>
      </c>
      <c r="M422" s="580"/>
      <c r="N422" s="580">
        <f t="shared" si="824"/>
        <v>2141.5679999999998</v>
      </c>
      <c r="O422" s="580"/>
      <c r="P422" s="580">
        <f t="shared" si="842"/>
        <v>766.68134399999985</v>
      </c>
      <c r="Q422" s="580">
        <f t="shared" si="825"/>
        <v>31.052735999999999</v>
      </c>
      <c r="R422" s="580">
        <v>0</v>
      </c>
      <c r="S422" s="580"/>
      <c r="T422" s="580"/>
      <c r="U422" s="580"/>
      <c r="V422" s="473">
        <f t="shared" si="836"/>
        <v>2939.3020799999999</v>
      </c>
      <c r="W422" s="580">
        <f t="shared" si="839"/>
        <v>0</v>
      </c>
      <c r="X422" s="580"/>
      <c r="Y422" s="581">
        <f t="shared" si="840"/>
        <v>2939.3020799999999</v>
      </c>
      <c r="Z422" s="432"/>
    </row>
    <row r="423" spans="1:26" s="432" customFormat="1" ht="12.75" customHeight="1" x14ac:dyDescent="0.2">
      <c r="A423" s="30"/>
      <c r="B423" s="30"/>
      <c r="C423" s="30" t="s">
        <v>272</v>
      </c>
      <c r="D423" s="426">
        <v>622</v>
      </c>
      <c r="E423" s="30" t="s">
        <v>366</v>
      </c>
      <c r="F423" s="34" t="s">
        <v>6</v>
      </c>
      <c r="G423" s="34" t="s">
        <v>454</v>
      </c>
      <c r="H423" s="30" t="s">
        <v>461</v>
      </c>
      <c r="I423" s="34" t="s">
        <v>37</v>
      </c>
      <c r="J423" s="34" t="s">
        <v>63</v>
      </c>
      <c r="K423" s="580">
        <f t="shared" ref="K423:K424" si="843">51.48*2%</f>
        <v>1.0295999999999998</v>
      </c>
      <c r="L423" s="580">
        <v>2080</v>
      </c>
      <c r="M423" s="580"/>
      <c r="N423" s="580">
        <f t="shared" si="824"/>
        <v>2141.5679999999998</v>
      </c>
      <c r="O423" s="580"/>
      <c r="P423" s="580">
        <f t="shared" si="842"/>
        <v>766.68134399999985</v>
      </c>
      <c r="Q423" s="580">
        <f t="shared" si="825"/>
        <v>31.052735999999999</v>
      </c>
      <c r="R423" s="580">
        <v>0</v>
      </c>
      <c r="S423" s="580"/>
      <c r="T423" s="580"/>
      <c r="U423" s="580"/>
      <c r="V423" s="473">
        <f t="shared" si="836"/>
        <v>2939.3020799999999</v>
      </c>
      <c r="W423" s="580">
        <f t="shared" si="839"/>
        <v>0</v>
      </c>
      <c r="X423" s="580"/>
      <c r="Y423" s="581">
        <f t="shared" si="840"/>
        <v>2939.3020799999999</v>
      </c>
    </row>
    <row r="424" spans="1:26" s="432" customFormat="1" ht="12.75" customHeight="1" x14ac:dyDescent="0.2">
      <c r="A424" s="30"/>
      <c r="B424" s="30"/>
      <c r="C424" s="30" t="s">
        <v>272</v>
      </c>
      <c r="D424" s="426">
        <v>622</v>
      </c>
      <c r="E424" s="30" t="s">
        <v>366</v>
      </c>
      <c r="F424" s="34" t="s">
        <v>6</v>
      </c>
      <c r="G424" s="34" t="s">
        <v>454</v>
      </c>
      <c r="H424" s="30" t="s">
        <v>461</v>
      </c>
      <c r="I424" s="34" t="s">
        <v>37</v>
      </c>
      <c r="J424" s="34" t="s">
        <v>64</v>
      </c>
      <c r="K424" s="580">
        <f t="shared" si="843"/>
        <v>1.0295999999999998</v>
      </c>
      <c r="L424" s="580">
        <v>2080</v>
      </c>
      <c r="M424" s="580"/>
      <c r="N424" s="580">
        <f t="shared" si="824"/>
        <v>2141.5679999999998</v>
      </c>
      <c r="O424" s="580"/>
      <c r="P424" s="580">
        <f t="shared" si="842"/>
        <v>766.68134399999985</v>
      </c>
      <c r="Q424" s="580">
        <f t="shared" si="825"/>
        <v>31.052735999999999</v>
      </c>
      <c r="R424" s="580">
        <v>0</v>
      </c>
      <c r="S424" s="580"/>
      <c r="T424" s="580"/>
      <c r="U424" s="580"/>
      <c r="V424" s="473">
        <f t="shared" si="836"/>
        <v>2939.3020799999999</v>
      </c>
      <c r="W424" s="580">
        <f t="shared" si="839"/>
        <v>0</v>
      </c>
      <c r="X424" s="580"/>
      <c r="Y424" s="581">
        <f t="shared" si="840"/>
        <v>2939.3020799999999</v>
      </c>
    </row>
    <row r="425" spans="1:26" ht="12.75" customHeight="1" x14ac:dyDescent="0.2">
      <c r="A425" s="30">
        <v>242767</v>
      </c>
      <c r="B425" s="30"/>
      <c r="C425" s="30" t="s">
        <v>275</v>
      </c>
      <c r="D425" s="426">
        <v>619</v>
      </c>
      <c r="E425" s="30" t="s">
        <v>368</v>
      </c>
      <c r="F425" s="34" t="s">
        <v>6</v>
      </c>
      <c r="G425" s="34" t="s">
        <v>454</v>
      </c>
      <c r="H425" s="30" t="s">
        <v>461</v>
      </c>
      <c r="I425" s="34" t="s">
        <v>775</v>
      </c>
      <c r="J425" s="34" t="s">
        <v>124</v>
      </c>
      <c r="K425" s="580">
        <f>33.66*60%</f>
        <v>20.195999999999998</v>
      </c>
      <c r="L425" s="580">
        <v>2080</v>
      </c>
      <c r="M425" s="580"/>
      <c r="N425" s="580">
        <f t="shared" si="824"/>
        <v>42007.679999999993</v>
      </c>
      <c r="O425" s="580"/>
      <c r="P425" s="580">
        <f t="shared" si="842"/>
        <v>15038.749439999996</v>
      </c>
      <c r="Q425" s="580">
        <f t="shared" si="825"/>
        <v>609.11135999999988</v>
      </c>
      <c r="R425" s="580">
        <v>0</v>
      </c>
      <c r="S425" s="580">
        <f>IF(H425="1",2828.52*2,0)</f>
        <v>5657.04</v>
      </c>
      <c r="T425" s="580">
        <f>IF(H425="1",127.2*2,0)</f>
        <v>254.4</v>
      </c>
      <c r="U425" s="580">
        <f>IF(H425="1",162*2,0)</f>
        <v>324</v>
      </c>
      <c r="V425" s="473">
        <f t="shared" si="836"/>
        <v>63890.980799999998</v>
      </c>
      <c r="W425" s="580">
        <f t="shared" si="839"/>
        <v>0</v>
      </c>
      <c r="X425" s="580"/>
      <c r="Y425" s="581">
        <f t="shared" si="840"/>
        <v>63890.980799999998</v>
      </c>
      <c r="Z425" s="432"/>
    </row>
    <row r="426" spans="1:26" s="432" customFormat="1" ht="12.75" customHeight="1" x14ac:dyDescent="0.2">
      <c r="A426" s="30"/>
      <c r="B426" s="30"/>
      <c r="C426" s="30" t="s">
        <v>275</v>
      </c>
      <c r="D426" s="426">
        <v>619</v>
      </c>
      <c r="E426" s="30" t="s">
        <v>368</v>
      </c>
      <c r="F426" s="34" t="s">
        <v>6</v>
      </c>
      <c r="G426" s="34" t="s">
        <v>454</v>
      </c>
      <c r="H426" s="30" t="s">
        <v>461</v>
      </c>
      <c r="I426" s="34" t="s">
        <v>775</v>
      </c>
      <c r="J426" s="34" t="s">
        <v>162</v>
      </c>
      <c r="K426" s="580">
        <f>33.66*10%</f>
        <v>3.3659999999999997</v>
      </c>
      <c r="L426" s="580">
        <v>2080</v>
      </c>
      <c r="M426" s="580"/>
      <c r="N426" s="580">
        <f t="shared" si="824"/>
        <v>7001.2799999999988</v>
      </c>
      <c r="O426" s="580"/>
      <c r="P426" s="580">
        <f t="shared" si="842"/>
        <v>2506.4582399999995</v>
      </c>
      <c r="Q426" s="580">
        <f t="shared" si="825"/>
        <v>101.51855999999999</v>
      </c>
      <c r="R426" s="580">
        <v>0</v>
      </c>
      <c r="S426" s="580"/>
      <c r="T426" s="580"/>
      <c r="U426" s="580"/>
      <c r="V426" s="473">
        <f t="shared" si="836"/>
        <v>9609.2567999999992</v>
      </c>
      <c r="W426" s="580">
        <f t="shared" si="839"/>
        <v>0</v>
      </c>
      <c r="X426" s="580"/>
      <c r="Y426" s="581">
        <f t="shared" si="840"/>
        <v>9609.2567999999992</v>
      </c>
    </row>
    <row r="427" spans="1:26" s="432" customFormat="1" ht="12.75" customHeight="1" x14ac:dyDescent="0.2">
      <c r="A427" s="30"/>
      <c r="B427" s="30"/>
      <c r="C427" s="30" t="s">
        <v>275</v>
      </c>
      <c r="D427" s="426">
        <v>619</v>
      </c>
      <c r="E427" s="30" t="s">
        <v>368</v>
      </c>
      <c r="F427" s="34" t="s">
        <v>6</v>
      </c>
      <c r="G427" s="34" t="s">
        <v>454</v>
      </c>
      <c r="H427" s="30" t="s">
        <v>461</v>
      </c>
      <c r="I427" s="34" t="s">
        <v>775</v>
      </c>
      <c r="J427" s="34" t="s">
        <v>159</v>
      </c>
      <c r="K427" s="580">
        <f>33.66*30%</f>
        <v>10.097999999999999</v>
      </c>
      <c r="L427" s="580">
        <v>2080</v>
      </c>
      <c r="M427" s="580"/>
      <c r="N427" s="580">
        <f t="shared" si="824"/>
        <v>21003.839999999997</v>
      </c>
      <c r="O427" s="580"/>
      <c r="P427" s="580">
        <f t="shared" si="842"/>
        <v>7519.374719999998</v>
      </c>
      <c r="Q427" s="580">
        <f t="shared" si="825"/>
        <v>304.55567999999994</v>
      </c>
      <c r="R427" s="580">
        <v>0</v>
      </c>
      <c r="S427" s="580"/>
      <c r="T427" s="580"/>
      <c r="U427" s="580"/>
      <c r="V427" s="473">
        <f t="shared" si="836"/>
        <v>28827.770399999998</v>
      </c>
      <c r="W427" s="580">
        <f t="shared" si="839"/>
        <v>0</v>
      </c>
      <c r="X427" s="580"/>
      <c r="Y427" s="581">
        <f t="shared" si="840"/>
        <v>28827.770399999998</v>
      </c>
    </row>
    <row r="428" spans="1:26" s="432" customFormat="1" ht="12.75" customHeight="1" x14ac:dyDescent="0.2">
      <c r="A428" s="30">
        <v>114702</v>
      </c>
      <c r="B428" s="30"/>
      <c r="C428" s="30" t="s">
        <v>292</v>
      </c>
      <c r="D428" s="426">
        <v>618</v>
      </c>
      <c r="E428" s="30" t="s">
        <v>372</v>
      </c>
      <c r="F428" s="34" t="s">
        <v>6</v>
      </c>
      <c r="G428" s="30" t="s">
        <v>454</v>
      </c>
      <c r="H428" s="30" t="s">
        <v>461</v>
      </c>
      <c r="I428" s="34" t="s">
        <v>38</v>
      </c>
      <c r="J428" s="34" t="s">
        <v>133</v>
      </c>
      <c r="K428" s="580">
        <f>30.13*10%</f>
        <v>3.0129999999999999</v>
      </c>
      <c r="L428" s="580">
        <v>2080</v>
      </c>
      <c r="M428" s="580"/>
      <c r="N428" s="580">
        <f t="shared" si="824"/>
        <v>6267.04</v>
      </c>
      <c r="O428" s="580"/>
      <c r="P428" s="580">
        <f t="shared" si="842"/>
        <v>2243.60032</v>
      </c>
      <c r="Q428" s="580">
        <f t="shared" si="825"/>
        <v>90.872080000000011</v>
      </c>
      <c r="R428" s="580">
        <v>0</v>
      </c>
      <c r="S428" s="580">
        <f>IF(H428="1",3242.52*2,0)</f>
        <v>6485.04</v>
      </c>
      <c r="T428" s="580">
        <f>IF(H428="1",276.36*2,0)</f>
        <v>552.72</v>
      </c>
      <c r="U428" s="580">
        <v>0</v>
      </c>
      <c r="V428" s="473">
        <f t="shared" si="836"/>
        <v>15639.2724</v>
      </c>
      <c r="W428" s="580">
        <f t="shared" si="839"/>
        <v>0</v>
      </c>
      <c r="X428" s="580"/>
      <c r="Y428" s="581">
        <f t="shared" si="840"/>
        <v>15639.2724</v>
      </c>
    </row>
    <row r="429" spans="1:26" s="432" customFormat="1" ht="12.75" customHeight="1" x14ac:dyDescent="0.2">
      <c r="A429" s="30"/>
      <c r="B429" s="30"/>
      <c r="C429" s="30" t="s">
        <v>292</v>
      </c>
      <c r="D429" s="426">
        <v>618</v>
      </c>
      <c r="E429" s="30" t="s">
        <v>372</v>
      </c>
      <c r="F429" s="34" t="s">
        <v>6</v>
      </c>
      <c r="G429" s="30" t="s">
        <v>454</v>
      </c>
      <c r="H429" s="30" t="s">
        <v>461</v>
      </c>
      <c r="I429" s="34" t="s">
        <v>38</v>
      </c>
      <c r="J429" s="34" t="s">
        <v>130</v>
      </c>
      <c r="K429" s="580">
        <f>30.13*24%</f>
        <v>7.2311999999999994</v>
      </c>
      <c r="L429" s="580">
        <v>2080</v>
      </c>
      <c r="M429" s="580"/>
      <c r="N429" s="580">
        <f t="shared" si="824"/>
        <v>15040.895999999999</v>
      </c>
      <c r="O429" s="580"/>
      <c r="P429" s="580">
        <f t="shared" si="842"/>
        <v>5384.6407679999993</v>
      </c>
      <c r="Q429" s="580">
        <f t="shared" si="825"/>
        <v>218.09299199999998</v>
      </c>
      <c r="R429" s="580">
        <v>0</v>
      </c>
      <c r="S429" s="580"/>
      <c r="T429" s="580"/>
      <c r="U429" s="580"/>
      <c r="V429" s="473">
        <f t="shared" si="836"/>
        <v>20643.62976</v>
      </c>
      <c r="W429" s="580">
        <f t="shared" si="839"/>
        <v>0</v>
      </c>
      <c r="X429" s="580"/>
      <c r="Y429" s="581">
        <f t="shared" si="840"/>
        <v>20643.62976</v>
      </c>
    </row>
    <row r="430" spans="1:26" s="432" customFormat="1" ht="12.75" customHeight="1" x14ac:dyDescent="0.2">
      <c r="A430" s="30"/>
      <c r="B430" s="30"/>
      <c r="C430" s="30" t="s">
        <v>292</v>
      </c>
      <c r="D430" s="426">
        <v>618</v>
      </c>
      <c r="E430" s="30" t="s">
        <v>372</v>
      </c>
      <c r="F430" s="34" t="s">
        <v>6</v>
      </c>
      <c r="G430" s="30" t="s">
        <v>454</v>
      </c>
      <c r="H430" s="30" t="s">
        <v>461</v>
      </c>
      <c r="I430" s="34" t="s">
        <v>38</v>
      </c>
      <c r="J430" s="34" t="s">
        <v>128</v>
      </c>
      <c r="K430" s="580">
        <f>30.13*25%</f>
        <v>7.5324999999999998</v>
      </c>
      <c r="L430" s="580">
        <v>2080</v>
      </c>
      <c r="M430" s="580"/>
      <c r="N430" s="580">
        <f t="shared" si="824"/>
        <v>15667.6</v>
      </c>
      <c r="O430" s="580"/>
      <c r="P430" s="580">
        <f t="shared" si="842"/>
        <v>5609.0007999999998</v>
      </c>
      <c r="Q430" s="580">
        <f t="shared" si="825"/>
        <v>227.18020000000001</v>
      </c>
      <c r="R430" s="580">
        <v>0</v>
      </c>
      <c r="S430" s="580"/>
      <c r="T430" s="580"/>
      <c r="U430" s="580"/>
      <c r="V430" s="473">
        <f t="shared" si="836"/>
        <v>21503.780999999999</v>
      </c>
      <c r="W430" s="580">
        <f t="shared" si="839"/>
        <v>0</v>
      </c>
      <c r="X430" s="580"/>
      <c r="Y430" s="581">
        <f t="shared" si="840"/>
        <v>21503.780999999999</v>
      </c>
    </row>
    <row r="431" spans="1:26" ht="12.75" customHeight="1" x14ac:dyDescent="0.2">
      <c r="A431" s="30"/>
      <c r="B431" s="30"/>
      <c r="C431" s="30" t="s">
        <v>292</v>
      </c>
      <c r="D431" s="426">
        <v>618</v>
      </c>
      <c r="E431" s="30" t="s">
        <v>372</v>
      </c>
      <c r="F431" s="34" t="s">
        <v>6</v>
      </c>
      <c r="G431" s="30" t="s">
        <v>454</v>
      </c>
      <c r="H431" s="30" t="s">
        <v>461</v>
      </c>
      <c r="I431" s="34" t="s">
        <v>38</v>
      </c>
      <c r="J431" s="34" t="s">
        <v>129</v>
      </c>
      <c r="K431" s="580">
        <f>30.13*25%</f>
        <v>7.5324999999999998</v>
      </c>
      <c r="L431" s="580">
        <v>2080</v>
      </c>
      <c r="M431" s="580"/>
      <c r="N431" s="580">
        <f t="shared" si="824"/>
        <v>15667.6</v>
      </c>
      <c r="O431" s="580"/>
      <c r="P431" s="580">
        <f t="shared" si="842"/>
        <v>5609.0007999999998</v>
      </c>
      <c r="Q431" s="580">
        <f t="shared" si="825"/>
        <v>227.18020000000001</v>
      </c>
      <c r="R431" s="580">
        <v>0</v>
      </c>
      <c r="S431" s="580"/>
      <c r="T431" s="580"/>
      <c r="U431" s="580"/>
      <c r="V431" s="473">
        <f t="shared" si="836"/>
        <v>21503.780999999999</v>
      </c>
      <c r="W431" s="580">
        <f t="shared" si="839"/>
        <v>0</v>
      </c>
      <c r="X431" s="580"/>
      <c r="Y431" s="581">
        <f t="shared" si="840"/>
        <v>21503.780999999999</v>
      </c>
      <c r="Z431" s="432"/>
    </row>
    <row r="432" spans="1:26" s="432" customFormat="1" ht="12.75" customHeight="1" x14ac:dyDescent="0.2">
      <c r="A432" s="30"/>
      <c r="B432" s="30"/>
      <c r="C432" s="30" t="s">
        <v>292</v>
      </c>
      <c r="D432" s="426">
        <v>618</v>
      </c>
      <c r="E432" s="30" t="s">
        <v>372</v>
      </c>
      <c r="F432" s="34" t="s">
        <v>6</v>
      </c>
      <c r="G432" s="30" t="s">
        <v>454</v>
      </c>
      <c r="H432" s="30" t="s">
        <v>461</v>
      </c>
      <c r="I432" s="34" t="s">
        <v>38</v>
      </c>
      <c r="J432" s="34" t="s">
        <v>1136</v>
      </c>
      <c r="K432" s="580">
        <f>30.13*11%</f>
        <v>3.3142999999999998</v>
      </c>
      <c r="L432" s="580">
        <v>2080</v>
      </c>
      <c r="M432" s="580"/>
      <c r="N432" s="580">
        <f t="shared" si="824"/>
        <v>6893.7439999999997</v>
      </c>
      <c r="O432" s="580"/>
      <c r="P432" s="580">
        <f t="shared" si="842"/>
        <v>2467.9603519999996</v>
      </c>
      <c r="Q432" s="580">
        <f t="shared" si="825"/>
        <v>99.959288000000001</v>
      </c>
      <c r="R432" s="580">
        <v>0</v>
      </c>
      <c r="S432" s="580"/>
      <c r="T432" s="580"/>
      <c r="U432" s="580"/>
      <c r="V432" s="473">
        <f t="shared" si="836"/>
        <v>9461.6636399999988</v>
      </c>
      <c r="W432" s="580">
        <f t="shared" si="839"/>
        <v>0</v>
      </c>
      <c r="X432" s="580"/>
      <c r="Y432" s="581">
        <f t="shared" si="840"/>
        <v>9461.6636399999988</v>
      </c>
    </row>
    <row r="433" spans="1:26" s="432" customFormat="1" ht="12.75" customHeight="1" x14ac:dyDescent="0.2">
      <c r="A433" s="30"/>
      <c r="B433" s="30"/>
      <c r="C433" s="30" t="s">
        <v>292</v>
      </c>
      <c r="D433" s="426">
        <v>618</v>
      </c>
      <c r="E433" s="30" t="s">
        <v>372</v>
      </c>
      <c r="F433" s="34" t="s">
        <v>6</v>
      </c>
      <c r="G433" s="30" t="s">
        <v>454</v>
      </c>
      <c r="H433" s="30" t="s">
        <v>461</v>
      </c>
      <c r="I433" s="34" t="s">
        <v>38</v>
      </c>
      <c r="J433" s="34" t="s">
        <v>144</v>
      </c>
      <c r="K433" s="580">
        <f>30.13*5%</f>
        <v>1.5065</v>
      </c>
      <c r="L433" s="580">
        <v>2080</v>
      </c>
      <c r="M433" s="580"/>
      <c r="N433" s="580">
        <f t="shared" si="824"/>
        <v>3133.52</v>
      </c>
      <c r="O433" s="580"/>
      <c r="P433" s="580">
        <f t="shared" si="842"/>
        <v>1121.80016</v>
      </c>
      <c r="Q433" s="580">
        <f t="shared" si="825"/>
        <v>45.436040000000006</v>
      </c>
      <c r="R433" s="580">
        <v>0</v>
      </c>
      <c r="S433" s="580"/>
      <c r="T433" s="580"/>
      <c r="U433" s="580"/>
      <c r="V433" s="473">
        <f t="shared" si="836"/>
        <v>4300.7561999999998</v>
      </c>
      <c r="W433" s="580">
        <f t="shared" si="839"/>
        <v>0</v>
      </c>
      <c r="X433" s="580"/>
      <c r="Y433" s="581">
        <f t="shared" si="840"/>
        <v>4300.7561999999998</v>
      </c>
    </row>
    <row r="434" spans="1:26" ht="12.75" customHeight="1" x14ac:dyDescent="0.2">
      <c r="A434" s="30">
        <v>134107</v>
      </c>
      <c r="B434" s="30"/>
      <c r="C434" s="30" t="s">
        <v>309</v>
      </c>
      <c r="D434" s="426">
        <v>622</v>
      </c>
      <c r="E434" s="30" t="s">
        <v>366</v>
      </c>
      <c r="F434" s="34" t="s">
        <v>6</v>
      </c>
      <c r="G434" s="34" t="s">
        <v>454</v>
      </c>
      <c r="H434" s="30" t="s">
        <v>461</v>
      </c>
      <c r="I434" s="30" t="s">
        <v>39</v>
      </c>
      <c r="J434" s="34" t="s">
        <v>692</v>
      </c>
      <c r="K434" s="580">
        <f>39.71*5%</f>
        <v>1.9855</v>
      </c>
      <c r="L434" s="580">
        <v>2080</v>
      </c>
      <c r="M434" s="580"/>
      <c r="N434" s="580">
        <f t="shared" si="824"/>
        <v>4129.84</v>
      </c>
      <c r="O434" s="580"/>
      <c r="P434" s="580">
        <f t="shared" si="842"/>
        <v>1478.48272</v>
      </c>
      <c r="Q434" s="580">
        <f t="shared" si="825"/>
        <v>59.882680000000008</v>
      </c>
      <c r="R434" s="580">
        <v>0</v>
      </c>
      <c r="S434" s="580">
        <f>IF(H434="1",3242.52*2,0)</f>
        <v>6485.04</v>
      </c>
      <c r="T434" s="580">
        <f>IF(H434="1",387.12*2,0)</f>
        <v>774.24</v>
      </c>
      <c r="U434" s="580">
        <f>IF(H434="1",162*2,0)</f>
        <v>324</v>
      </c>
      <c r="V434" s="473">
        <f t="shared" si="836"/>
        <v>13251.4854</v>
      </c>
      <c r="W434" s="580">
        <f t="shared" si="839"/>
        <v>0</v>
      </c>
      <c r="X434" s="580"/>
      <c r="Y434" s="581">
        <f t="shared" si="840"/>
        <v>13251.4854</v>
      </c>
      <c r="Z434" s="432"/>
    </row>
    <row r="435" spans="1:26" ht="12.75" customHeight="1" x14ac:dyDescent="0.2">
      <c r="A435" s="30"/>
      <c r="B435" s="30"/>
      <c r="C435" s="30" t="s">
        <v>309</v>
      </c>
      <c r="D435" s="426">
        <v>622</v>
      </c>
      <c r="E435" s="30" t="s">
        <v>366</v>
      </c>
      <c r="F435" s="34" t="s">
        <v>6</v>
      </c>
      <c r="G435" s="34" t="s">
        <v>454</v>
      </c>
      <c r="H435" s="30" t="s">
        <v>461</v>
      </c>
      <c r="I435" s="30" t="s">
        <v>39</v>
      </c>
      <c r="J435" s="34" t="s">
        <v>114</v>
      </c>
      <c r="K435" s="580">
        <f>39.71*15%</f>
        <v>5.9565000000000001</v>
      </c>
      <c r="L435" s="580">
        <v>2080</v>
      </c>
      <c r="M435" s="580"/>
      <c r="N435" s="580">
        <f t="shared" si="824"/>
        <v>12389.52</v>
      </c>
      <c r="O435" s="580"/>
      <c r="P435" s="580">
        <f t="shared" si="842"/>
        <v>4435.4481599999999</v>
      </c>
      <c r="Q435" s="580">
        <f t="shared" si="825"/>
        <v>179.64804000000001</v>
      </c>
      <c r="R435" s="580">
        <v>0</v>
      </c>
      <c r="S435" s="580"/>
      <c r="T435" s="580"/>
      <c r="U435" s="580"/>
      <c r="V435" s="473">
        <f t="shared" si="836"/>
        <v>17004.6162</v>
      </c>
      <c r="W435" s="580">
        <f t="shared" si="839"/>
        <v>0</v>
      </c>
      <c r="X435" s="580"/>
      <c r="Y435" s="581">
        <f t="shared" si="840"/>
        <v>17004.6162</v>
      </c>
      <c r="Z435" s="432"/>
    </row>
    <row r="436" spans="1:26" s="432" customFormat="1" ht="12.75" customHeight="1" x14ac:dyDescent="0.2">
      <c r="A436" s="30"/>
      <c r="B436" s="30"/>
      <c r="C436" s="30" t="s">
        <v>309</v>
      </c>
      <c r="D436" s="426">
        <v>622</v>
      </c>
      <c r="E436" s="30" t="s">
        <v>366</v>
      </c>
      <c r="F436" s="34" t="s">
        <v>6</v>
      </c>
      <c r="G436" s="34" t="s">
        <v>454</v>
      </c>
      <c r="H436" s="30" t="s">
        <v>461</v>
      </c>
      <c r="I436" s="30" t="s">
        <v>39</v>
      </c>
      <c r="J436" s="34" t="s">
        <v>117</v>
      </c>
      <c r="K436" s="580">
        <f>39.71*80%</f>
        <v>31.768000000000001</v>
      </c>
      <c r="L436" s="580">
        <v>2080</v>
      </c>
      <c r="M436" s="580"/>
      <c r="N436" s="580">
        <f t="shared" si="824"/>
        <v>66077.440000000002</v>
      </c>
      <c r="O436" s="580"/>
      <c r="P436" s="580">
        <f t="shared" si="842"/>
        <v>23655.72352</v>
      </c>
      <c r="Q436" s="580">
        <f t="shared" si="825"/>
        <v>958.12288000000012</v>
      </c>
      <c r="R436" s="580">
        <v>0</v>
      </c>
      <c r="S436" s="580"/>
      <c r="T436" s="580"/>
      <c r="U436" s="580"/>
      <c r="V436" s="473">
        <f t="shared" si="836"/>
        <v>90691.286399999997</v>
      </c>
      <c r="W436" s="580">
        <f t="shared" si="839"/>
        <v>0</v>
      </c>
      <c r="X436" s="580"/>
      <c r="Y436" s="581">
        <f t="shared" si="840"/>
        <v>90691.286399999997</v>
      </c>
    </row>
    <row r="437" spans="1:26" s="432" customFormat="1" ht="12.75" customHeight="1" x14ac:dyDescent="0.2">
      <c r="A437" s="30">
        <v>215067</v>
      </c>
      <c r="B437" s="30"/>
      <c r="C437" s="30" t="s">
        <v>250</v>
      </c>
      <c r="D437" s="426">
        <v>618</v>
      </c>
      <c r="E437" s="30" t="s">
        <v>353</v>
      </c>
      <c r="F437" s="34" t="s">
        <v>6</v>
      </c>
      <c r="G437" s="34" t="s">
        <v>454</v>
      </c>
      <c r="H437" s="30" t="s">
        <v>461</v>
      </c>
      <c r="I437" s="34" t="s">
        <v>684</v>
      </c>
      <c r="J437" s="34" t="s">
        <v>692</v>
      </c>
      <c r="K437" s="580">
        <v>34.53</v>
      </c>
      <c r="L437" s="580">
        <v>2080</v>
      </c>
      <c r="M437" s="580"/>
      <c r="N437" s="580">
        <f t="shared" si="824"/>
        <v>71822.400000000009</v>
      </c>
      <c r="O437" s="580"/>
      <c r="P437" s="580">
        <f t="shared" si="842"/>
        <v>25712.4192</v>
      </c>
      <c r="Q437" s="580">
        <f t="shared" si="825"/>
        <v>1041.4248000000002</v>
      </c>
      <c r="R437" s="580">
        <v>0</v>
      </c>
      <c r="S437" s="580">
        <v>0</v>
      </c>
      <c r="T437" s="580">
        <f>IF(H437="1",276.36*2,0)</f>
        <v>552.72</v>
      </c>
      <c r="U437" s="580">
        <f>IF(H437="1",162*2,0)</f>
        <v>324</v>
      </c>
      <c r="V437" s="473">
        <f t="shared" si="836"/>
        <v>99452.964000000007</v>
      </c>
      <c r="W437" s="580">
        <f t="shared" si="839"/>
        <v>0</v>
      </c>
      <c r="X437" s="580"/>
      <c r="Y437" s="581">
        <f t="shared" si="840"/>
        <v>99452.964000000007</v>
      </c>
    </row>
    <row r="438" spans="1:26" s="432" customFormat="1" ht="12.75" customHeight="1" x14ac:dyDescent="0.2">
      <c r="A438" s="30">
        <v>102328</v>
      </c>
      <c r="B438" s="30"/>
      <c r="C438" s="30" t="s">
        <v>310</v>
      </c>
      <c r="D438" s="426">
        <v>613</v>
      </c>
      <c r="E438" s="30" t="s">
        <v>354</v>
      </c>
      <c r="F438" s="34" t="s">
        <v>6</v>
      </c>
      <c r="G438" s="34" t="s">
        <v>454</v>
      </c>
      <c r="H438" s="30" t="s">
        <v>461</v>
      </c>
      <c r="I438" s="30" t="s">
        <v>34</v>
      </c>
      <c r="J438" s="34" t="s">
        <v>167</v>
      </c>
      <c r="K438" s="580">
        <f>20.82*20%</f>
        <v>4.1640000000000006</v>
      </c>
      <c r="L438" s="580">
        <v>2080</v>
      </c>
      <c r="M438" s="580"/>
      <c r="N438" s="580">
        <f t="shared" si="824"/>
        <v>8661.1200000000008</v>
      </c>
      <c r="O438" s="580"/>
      <c r="P438" s="580">
        <f t="shared" si="842"/>
        <v>3100.6809600000001</v>
      </c>
      <c r="Q438" s="580">
        <f t="shared" si="825"/>
        <v>125.58624000000002</v>
      </c>
      <c r="R438" s="580">
        <v>0</v>
      </c>
      <c r="S438" s="580">
        <f>IF(H438="1",2828.52*2,0)</f>
        <v>5657.04</v>
      </c>
      <c r="T438" s="580">
        <f>IF(H438="1",127.2*2,0)</f>
        <v>254.4</v>
      </c>
      <c r="U438" s="580">
        <f>IF(H438="1",162*2,0)</f>
        <v>324</v>
      </c>
      <c r="V438" s="473">
        <f t="shared" ref="V438:V461" si="844">SUM(N438:U438)</f>
        <v>18122.827200000003</v>
      </c>
      <c r="W438" s="580">
        <f t="shared" si="839"/>
        <v>0</v>
      </c>
      <c r="X438" s="580"/>
      <c r="Y438" s="581">
        <f t="shared" si="840"/>
        <v>18122.827200000003</v>
      </c>
    </row>
    <row r="439" spans="1:26" ht="12.75" customHeight="1" x14ac:dyDescent="0.2">
      <c r="A439" s="30"/>
      <c r="B439" s="30"/>
      <c r="C439" s="30" t="s">
        <v>310</v>
      </c>
      <c r="D439" s="426">
        <v>613</v>
      </c>
      <c r="E439" s="30" t="s">
        <v>354</v>
      </c>
      <c r="F439" s="34" t="s">
        <v>6</v>
      </c>
      <c r="G439" s="34" t="s">
        <v>454</v>
      </c>
      <c r="H439" s="30" t="s">
        <v>461</v>
      </c>
      <c r="I439" s="30" t="s">
        <v>34</v>
      </c>
      <c r="J439" s="34" t="s">
        <v>121</v>
      </c>
      <c r="K439" s="580">
        <f>20.82*60%</f>
        <v>12.491999999999999</v>
      </c>
      <c r="L439" s="580">
        <v>2080</v>
      </c>
      <c r="M439" s="580"/>
      <c r="N439" s="580">
        <f t="shared" si="824"/>
        <v>25983.359999999997</v>
      </c>
      <c r="O439" s="580"/>
      <c r="P439" s="580">
        <f t="shared" si="842"/>
        <v>9302.0428799999991</v>
      </c>
      <c r="Q439" s="580">
        <f t="shared" si="825"/>
        <v>376.75871999999998</v>
      </c>
      <c r="R439" s="580">
        <v>0</v>
      </c>
      <c r="S439" s="580"/>
      <c r="T439" s="580"/>
      <c r="U439" s="580"/>
      <c r="V439" s="473">
        <f t="shared" si="844"/>
        <v>35662.161599999992</v>
      </c>
      <c r="W439" s="580">
        <f t="shared" si="839"/>
        <v>0</v>
      </c>
      <c r="X439" s="580"/>
      <c r="Y439" s="581">
        <f t="shared" si="840"/>
        <v>35662.161599999992</v>
      </c>
      <c r="Z439" s="432"/>
    </row>
    <row r="440" spans="1:26" s="432" customFormat="1" ht="12.75" customHeight="1" x14ac:dyDescent="0.2">
      <c r="A440" s="30"/>
      <c r="B440" s="30"/>
      <c r="C440" s="30" t="s">
        <v>310</v>
      </c>
      <c r="D440" s="426">
        <v>613</v>
      </c>
      <c r="E440" s="30" t="s">
        <v>354</v>
      </c>
      <c r="F440" s="34" t="s">
        <v>6</v>
      </c>
      <c r="G440" s="34" t="s">
        <v>454</v>
      </c>
      <c r="H440" s="30" t="s">
        <v>461</v>
      </c>
      <c r="I440" s="30" t="s">
        <v>34</v>
      </c>
      <c r="J440" s="34" t="s">
        <v>160</v>
      </c>
      <c r="K440" s="580">
        <f t="shared" ref="K440" si="845">20.82*20%</f>
        <v>4.1640000000000006</v>
      </c>
      <c r="L440" s="580">
        <v>2080</v>
      </c>
      <c r="M440" s="580"/>
      <c r="N440" s="580">
        <f t="shared" si="824"/>
        <v>8661.1200000000008</v>
      </c>
      <c r="O440" s="580"/>
      <c r="P440" s="580">
        <f t="shared" si="842"/>
        <v>3100.6809600000001</v>
      </c>
      <c r="Q440" s="580">
        <f t="shared" si="825"/>
        <v>125.58624000000002</v>
      </c>
      <c r="R440" s="580">
        <v>0</v>
      </c>
      <c r="S440" s="580"/>
      <c r="T440" s="580"/>
      <c r="U440" s="580"/>
      <c r="V440" s="473">
        <f t="shared" si="844"/>
        <v>11887.387200000001</v>
      </c>
      <c r="W440" s="580">
        <f t="shared" si="839"/>
        <v>0</v>
      </c>
      <c r="X440" s="580"/>
      <c r="Y440" s="581">
        <f t="shared" si="840"/>
        <v>11887.387200000001</v>
      </c>
    </row>
    <row r="441" spans="1:26" s="432" customFormat="1" ht="12.75" customHeight="1" x14ac:dyDescent="0.2">
      <c r="A441" s="30">
        <v>285105</v>
      </c>
      <c r="B441" s="30"/>
      <c r="C441" s="30" t="s">
        <v>238</v>
      </c>
      <c r="D441" s="426">
        <v>312</v>
      </c>
      <c r="E441" s="30" t="s">
        <v>342</v>
      </c>
      <c r="F441" s="34" t="s">
        <v>6</v>
      </c>
      <c r="G441" s="34" t="s">
        <v>454</v>
      </c>
      <c r="H441" s="30" t="s">
        <v>461</v>
      </c>
      <c r="I441" s="34" t="s">
        <v>36</v>
      </c>
      <c r="J441" s="34" t="s">
        <v>692</v>
      </c>
      <c r="K441" s="580">
        <v>27.55</v>
      </c>
      <c r="L441" s="580">
        <v>2080</v>
      </c>
      <c r="M441" s="580"/>
      <c r="N441" s="580">
        <f t="shared" si="824"/>
        <v>57304</v>
      </c>
      <c r="O441" s="580"/>
      <c r="P441" s="580">
        <f t="shared" si="842"/>
        <v>20514.831999999999</v>
      </c>
      <c r="Q441" s="580">
        <f t="shared" si="825"/>
        <v>830.90800000000002</v>
      </c>
      <c r="R441" s="580">
        <v>0</v>
      </c>
      <c r="S441" s="580">
        <f>IF(H441="1",3371.04*2,0)</f>
        <v>6742.08</v>
      </c>
      <c r="T441" s="580">
        <f>IF(H441="1",361.92*2,0)</f>
        <v>723.84</v>
      </c>
      <c r="U441" s="580">
        <f>IF(H441="1",16.2*2,0)</f>
        <v>32.4</v>
      </c>
      <c r="V441" s="473">
        <f t="shared" si="844"/>
        <v>86148.059999999983</v>
      </c>
      <c r="W441" s="580">
        <f t="shared" si="839"/>
        <v>0</v>
      </c>
      <c r="X441" s="580"/>
      <c r="Y441" s="581">
        <f t="shared" si="840"/>
        <v>86148.059999999983</v>
      </c>
    </row>
    <row r="442" spans="1:26" s="432" customFormat="1" ht="12.75" customHeight="1" x14ac:dyDescent="0.2">
      <c r="A442" s="30">
        <v>189449</v>
      </c>
      <c r="B442" s="30"/>
      <c r="C442" s="30" t="s">
        <v>225</v>
      </c>
      <c r="D442" s="426">
        <v>615</v>
      </c>
      <c r="E442" s="30" t="s">
        <v>328</v>
      </c>
      <c r="F442" s="34" t="s">
        <v>6</v>
      </c>
      <c r="G442" s="34" t="s">
        <v>454</v>
      </c>
      <c r="H442" s="30" t="s">
        <v>461</v>
      </c>
      <c r="I442" s="34" t="s">
        <v>28</v>
      </c>
      <c r="J442" s="34" t="s">
        <v>121</v>
      </c>
      <c r="K442" s="580">
        <f>21.87*50%</f>
        <v>10.935</v>
      </c>
      <c r="L442" s="580">
        <v>2080</v>
      </c>
      <c r="M442" s="580"/>
      <c r="N442" s="580">
        <f t="shared" si="824"/>
        <v>22744.799999999999</v>
      </c>
      <c r="O442" s="580"/>
      <c r="P442" s="580">
        <f t="shared" si="842"/>
        <v>8142.6383999999998</v>
      </c>
      <c r="Q442" s="580">
        <f t="shared" si="825"/>
        <v>329.7996</v>
      </c>
      <c r="R442" s="580">
        <v>0</v>
      </c>
      <c r="S442" s="580">
        <f>IF(H442="1",2828.52*2,0)</f>
        <v>5657.04</v>
      </c>
      <c r="T442" s="580">
        <f>IF(H442="1",387.12*2,0)</f>
        <v>774.24</v>
      </c>
      <c r="U442" s="580">
        <v>0</v>
      </c>
      <c r="V442" s="473">
        <f t="shared" si="844"/>
        <v>37648.517999999996</v>
      </c>
      <c r="W442" s="580">
        <f t="shared" si="839"/>
        <v>0</v>
      </c>
      <c r="X442" s="580"/>
      <c r="Y442" s="581">
        <f t="shared" si="840"/>
        <v>37648.517999999996</v>
      </c>
    </row>
    <row r="443" spans="1:26" s="432" customFormat="1" ht="12.75" customHeight="1" x14ac:dyDescent="0.2">
      <c r="A443" s="30"/>
      <c r="B443" s="30"/>
      <c r="C443" s="30" t="s">
        <v>225</v>
      </c>
      <c r="D443" s="426">
        <v>615</v>
      </c>
      <c r="E443" s="30" t="s">
        <v>328</v>
      </c>
      <c r="F443" s="34" t="s">
        <v>6</v>
      </c>
      <c r="G443" s="34" t="s">
        <v>454</v>
      </c>
      <c r="H443" s="30" t="s">
        <v>461</v>
      </c>
      <c r="I443" s="34" t="s">
        <v>28</v>
      </c>
      <c r="J443" s="34" t="s">
        <v>114</v>
      </c>
      <c r="K443" s="580">
        <f>21.87*33%</f>
        <v>7.2171000000000003</v>
      </c>
      <c r="L443" s="580">
        <v>2080</v>
      </c>
      <c r="M443" s="580"/>
      <c r="N443" s="580">
        <f t="shared" si="824"/>
        <v>15011.568000000001</v>
      </c>
      <c r="O443" s="580"/>
      <c r="P443" s="580">
        <f t="shared" si="842"/>
        <v>5374.1413440000006</v>
      </c>
      <c r="Q443" s="580">
        <f t="shared" si="825"/>
        <v>217.66773600000002</v>
      </c>
      <c r="R443" s="580">
        <v>0</v>
      </c>
      <c r="S443" s="580"/>
      <c r="T443" s="580"/>
      <c r="U443" s="580"/>
      <c r="V443" s="473">
        <f t="shared" si="844"/>
        <v>20603.377080000002</v>
      </c>
      <c r="W443" s="580">
        <f t="shared" si="839"/>
        <v>0</v>
      </c>
      <c r="X443" s="580"/>
      <c r="Y443" s="581">
        <f t="shared" si="840"/>
        <v>20603.377080000002</v>
      </c>
    </row>
    <row r="444" spans="1:26" ht="12.75" customHeight="1" x14ac:dyDescent="0.2">
      <c r="A444" s="30"/>
      <c r="B444" s="30"/>
      <c r="C444" s="30" t="s">
        <v>225</v>
      </c>
      <c r="D444" s="426">
        <v>615</v>
      </c>
      <c r="E444" s="30" t="s">
        <v>328</v>
      </c>
      <c r="F444" s="34" t="s">
        <v>6</v>
      </c>
      <c r="G444" s="34" t="s">
        <v>454</v>
      </c>
      <c r="H444" s="30" t="s">
        <v>461</v>
      </c>
      <c r="I444" s="34" t="s">
        <v>28</v>
      </c>
      <c r="J444" s="34" t="s">
        <v>140</v>
      </c>
      <c r="K444" s="580">
        <f>21.87*5%</f>
        <v>1.0935000000000001</v>
      </c>
      <c r="L444" s="580">
        <v>2080</v>
      </c>
      <c r="M444" s="580"/>
      <c r="N444" s="580">
        <f t="shared" si="824"/>
        <v>2274.4800000000005</v>
      </c>
      <c r="O444" s="580"/>
      <c r="P444" s="580">
        <f t="shared" si="842"/>
        <v>814.26384000000019</v>
      </c>
      <c r="Q444" s="580">
        <f t="shared" si="825"/>
        <v>32.979960000000005</v>
      </c>
      <c r="R444" s="580">
        <v>0</v>
      </c>
      <c r="S444" s="580"/>
      <c r="T444" s="580"/>
      <c r="U444" s="580"/>
      <c r="V444" s="473">
        <f t="shared" si="844"/>
        <v>3121.7238000000007</v>
      </c>
      <c r="W444" s="580">
        <f t="shared" si="839"/>
        <v>0</v>
      </c>
      <c r="X444" s="580"/>
      <c r="Y444" s="581">
        <f t="shared" si="840"/>
        <v>3121.7238000000007</v>
      </c>
      <c r="Z444" s="432"/>
    </row>
    <row r="445" spans="1:26" ht="12.75" customHeight="1" x14ac:dyDescent="0.2">
      <c r="A445" s="30"/>
      <c r="B445" s="30"/>
      <c r="C445" s="30" t="s">
        <v>225</v>
      </c>
      <c r="D445" s="426">
        <v>615</v>
      </c>
      <c r="E445" s="30" t="s">
        <v>328</v>
      </c>
      <c r="F445" s="34" t="s">
        <v>6</v>
      </c>
      <c r="G445" s="34" t="s">
        <v>454</v>
      </c>
      <c r="H445" s="30" t="s">
        <v>461</v>
      </c>
      <c r="I445" s="34" t="s">
        <v>28</v>
      </c>
      <c r="J445" s="34" t="s">
        <v>128</v>
      </c>
      <c r="K445" s="580">
        <f>21.87*2%</f>
        <v>0.43740000000000001</v>
      </c>
      <c r="L445" s="580">
        <v>2080</v>
      </c>
      <c r="M445" s="580"/>
      <c r="N445" s="580">
        <f t="shared" si="824"/>
        <v>909.79200000000003</v>
      </c>
      <c r="O445" s="580"/>
      <c r="P445" s="580">
        <f t="shared" si="842"/>
        <v>325.705536</v>
      </c>
      <c r="Q445" s="580">
        <f t="shared" si="825"/>
        <v>13.191984000000001</v>
      </c>
      <c r="R445" s="580">
        <v>0</v>
      </c>
      <c r="S445" s="580"/>
      <c r="T445" s="580"/>
      <c r="U445" s="580"/>
      <c r="V445" s="473">
        <f t="shared" si="844"/>
        <v>1248.6895200000001</v>
      </c>
      <c r="W445" s="580">
        <f t="shared" si="839"/>
        <v>0</v>
      </c>
      <c r="X445" s="580"/>
      <c r="Y445" s="581">
        <f t="shared" si="840"/>
        <v>1248.6895200000001</v>
      </c>
      <c r="Z445" s="432"/>
    </row>
    <row r="446" spans="1:26" s="432" customFormat="1" ht="12.75" customHeight="1" x14ac:dyDescent="0.2">
      <c r="A446" s="30"/>
      <c r="B446" s="30"/>
      <c r="C446" s="30" t="s">
        <v>225</v>
      </c>
      <c r="D446" s="426">
        <v>615</v>
      </c>
      <c r="E446" s="30" t="s">
        <v>328</v>
      </c>
      <c r="F446" s="34" t="s">
        <v>6</v>
      </c>
      <c r="G446" s="34" t="s">
        <v>454</v>
      </c>
      <c r="H446" s="30" t="s">
        <v>461</v>
      </c>
      <c r="I446" s="34" t="s">
        <v>28</v>
      </c>
      <c r="J446" s="34" t="s">
        <v>692</v>
      </c>
      <c r="K446" s="580">
        <f>21.87*10%</f>
        <v>2.1870000000000003</v>
      </c>
      <c r="L446" s="580">
        <v>2080</v>
      </c>
      <c r="M446" s="580"/>
      <c r="N446" s="580">
        <f t="shared" si="824"/>
        <v>4548.9600000000009</v>
      </c>
      <c r="O446" s="580"/>
      <c r="P446" s="580">
        <f t="shared" si="842"/>
        <v>1628.5276800000004</v>
      </c>
      <c r="Q446" s="580">
        <f t="shared" si="825"/>
        <v>65.959920000000011</v>
      </c>
      <c r="R446" s="580">
        <v>0</v>
      </c>
      <c r="S446" s="580"/>
      <c r="T446" s="580"/>
      <c r="U446" s="580"/>
      <c r="V446" s="473">
        <f t="shared" si="844"/>
        <v>6243.4476000000013</v>
      </c>
      <c r="W446" s="580">
        <f t="shared" si="839"/>
        <v>0</v>
      </c>
      <c r="X446" s="580"/>
      <c r="Y446" s="581">
        <f t="shared" si="840"/>
        <v>6243.4476000000013</v>
      </c>
    </row>
    <row r="447" spans="1:26" s="432" customFormat="1" x14ac:dyDescent="0.2">
      <c r="A447" s="30">
        <v>270732</v>
      </c>
      <c r="B447" s="30"/>
      <c r="C447" s="30" t="s">
        <v>293</v>
      </c>
      <c r="D447" s="426">
        <v>613</v>
      </c>
      <c r="E447" s="30" t="s">
        <v>362</v>
      </c>
      <c r="F447" s="34" t="s">
        <v>6</v>
      </c>
      <c r="G447" s="34" t="s">
        <v>454</v>
      </c>
      <c r="H447" s="30" t="s">
        <v>461</v>
      </c>
      <c r="I447" s="34" t="s">
        <v>38</v>
      </c>
      <c r="J447" s="34" t="s">
        <v>128</v>
      </c>
      <c r="K447" s="731">
        <f>17.56*1.105</f>
        <v>19.403799999999997</v>
      </c>
      <c r="L447" s="580">
        <v>2080</v>
      </c>
      <c r="M447" s="580"/>
      <c r="N447" s="580">
        <f>IF(H447="1",(L447*K447)+(M447*K447),0)</f>
        <v>40359.903999999995</v>
      </c>
      <c r="O447" s="580"/>
      <c r="P447" s="580">
        <f>(N447-(M447*K447))*$P$27</f>
        <v>14448.845631999997</v>
      </c>
      <c r="Q447" s="580">
        <f>N447*$Q$27</f>
        <v>585.2186079999999</v>
      </c>
      <c r="R447" s="580">
        <v>0</v>
      </c>
      <c r="S447" s="580">
        <f>IF(H447="1",3371.04*2,0)</f>
        <v>6742.08</v>
      </c>
      <c r="T447" s="580">
        <f>IF(H447="1",527.28*2,0)</f>
        <v>1054.56</v>
      </c>
      <c r="U447" s="580">
        <f>IF(H447="1",162*2,0)</f>
        <v>324</v>
      </c>
      <c r="V447" s="473">
        <f t="shared" si="844"/>
        <v>63514.608239999994</v>
      </c>
      <c r="W447" s="580">
        <f t="shared" si="839"/>
        <v>0</v>
      </c>
      <c r="X447" s="580"/>
      <c r="Y447" s="581">
        <f t="shared" si="840"/>
        <v>63514.608239999994</v>
      </c>
    </row>
    <row r="448" spans="1:26" s="432" customFormat="1" x14ac:dyDescent="0.2">
      <c r="A448" s="30">
        <v>270732</v>
      </c>
      <c r="B448" s="30"/>
      <c r="C448" s="30" t="s">
        <v>271</v>
      </c>
      <c r="D448" s="426">
        <v>619</v>
      </c>
      <c r="E448" s="30" t="s">
        <v>360</v>
      </c>
      <c r="F448" s="34" t="s">
        <v>6</v>
      </c>
      <c r="G448" s="34" t="s">
        <v>454</v>
      </c>
      <c r="H448" s="30" t="s">
        <v>461</v>
      </c>
      <c r="I448" s="34" t="s">
        <v>37</v>
      </c>
      <c r="J448" s="34" t="s">
        <v>116</v>
      </c>
      <c r="K448" s="580">
        <f>35.36*60%</f>
        <v>21.215999999999998</v>
      </c>
      <c r="L448" s="580">
        <v>2080</v>
      </c>
      <c r="M448" s="580"/>
      <c r="N448" s="580">
        <f>IF(H448="1",(L448*K448)+(M448*K448),0)</f>
        <v>44129.279999999992</v>
      </c>
      <c r="O448" s="580"/>
      <c r="P448" s="580">
        <f>(N448-(M448*K448))*$P$27</f>
        <v>15798.282239999997</v>
      </c>
      <c r="Q448" s="580">
        <f>N448*$Q$27</f>
        <v>639.87455999999986</v>
      </c>
      <c r="R448" s="580">
        <v>0</v>
      </c>
      <c r="S448" s="580">
        <f>IF(H448="1",3242.52*2,0)</f>
        <v>6485.04</v>
      </c>
      <c r="T448" s="580">
        <v>0</v>
      </c>
      <c r="U448" s="580">
        <f>IF(H448="1",162*2,0)</f>
        <v>324</v>
      </c>
      <c r="V448" s="473">
        <f t="shared" si="844"/>
        <v>67376.476799999975</v>
      </c>
      <c r="W448" s="580">
        <f t="shared" si="839"/>
        <v>0</v>
      </c>
      <c r="X448" s="580"/>
      <c r="Y448" s="581">
        <f t="shared" si="840"/>
        <v>67376.476799999975</v>
      </c>
    </row>
    <row r="449" spans="1:25" s="432" customFormat="1" x14ac:dyDescent="0.2">
      <c r="A449" s="30"/>
      <c r="B449" s="30"/>
      <c r="C449" s="30" t="s">
        <v>271</v>
      </c>
      <c r="D449" s="426">
        <v>619</v>
      </c>
      <c r="E449" s="30" t="s">
        <v>360</v>
      </c>
      <c r="F449" s="34" t="s">
        <v>6</v>
      </c>
      <c r="G449" s="34" t="s">
        <v>454</v>
      </c>
      <c r="H449" s="30" t="s">
        <v>461</v>
      </c>
      <c r="I449" s="34" t="s">
        <v>37</v>
      </c>
      <c r="J449" s="34" t="s">
        <v>143</v>
      </c>
      <c r="K449" s="580">
        <f>35.36*40%</f>
        <v>14.144</v>
      </c>
      <c r="L449" s="580">
        <v>2080</v>
      </c>
      <c r="M449" s="580"/>
      <c r="N449" s="580">
        <f>IF(H449="1",(L449*K449)+(M449*K449),0)</f>
        <v>29419.52</v>
      </c>
      <c r="O449" s="580"/>
      <c r="P449" s="580">
        <f>(N449-(M449*K449))*$P$27</f>
        <v>10532.18816</v>
      </c>
      <c r="Q449" s="580">
        <f>N449*$Q$27</f>
        <v>426.58304000000004</v>
      </c>
      <c r="R449" s="580">
        <v>0</v>
      </c>
      <c r="S449" s="580"/>
      <c r="T449" s="580"/>
      <c r="U449" s="580"/>
      <c r="V449" s="473">
        <f t="shared" si="844"/>
        <v>40378.2912</v>
      </c>
      <c r="W449" s="580">
        <f t="shared" si="839"/>
        <v>0</v>
      </c>
      <c r="X449" s="580"/>
      <c r="Y449" s="581">
        <f t="shared" si="840"/>
        <v>40378.2912</v>
      </c>
    </row>
    <row r="450" spans="1:25" s="432" customFormat="1" x14ac:dyDescent="0.2">
      <c r="A450" s="30">
        <v>270748</v>
      </c>
      <c r="B450" s="30"/>
      <c r="C450" s="30" t="s">
        <v>230</v>
      </c>
      <c r="D450" s="426">
        <v>620</v>
      </c>
      <c r="E450" s="30" t="s">
        <v>335</v>
      </c>
      <c r="F450" s="34" t="s">
        <v>6</v>
      </c>
      <c r="G450" s="34" t="s">
        <v>454</v>
      </c>
      <c r="H450" s="583" t="s">
        <v>461</v>
      </c>
      <c r="I450" s="34" t="s">
        <v>29</v>
      </c>
      <c r="J450" s="34" t="s">
        <v>134</v>
      </c>
      <c r="K450" s="580">
        <f>43.27*1.5%</f>
        <v>0.64905000000000002</v>
      </c>
      <c r="L450" s="580">
        <v>2080</v>
      </c>
      <c r="M450" s="580"/>
      <c r="N450" s="580">
        <f>IF(H450="1",(L450*K450)+(M450*K450),0)</f>
        <v>1350.0240000000001</v>
      </c>
      <c r="O450" s="580"/>
      <c r="P450" s="580">
        <f>(N450-(M450*K450))*$P$27</f>
        <v>483.30859200000003</v>
      </c>
      <c r="Q450" s="580">
        <f>N450*$Q$27</f>
        <v>19.575348000000002</v>
      </c>
      <c r="R450" s="580">
        <v>0</v>
      </c>
      <c r="S450" s="580">
        <f>IF(H450="1",2828.52*2,0)</f>
        <v>5657.04</v>
      </c>
      <c r="T450" s="580">
        <f>IF(H450="1",387.12*2,0)</f>
        <v>774.24</v>
      </c>
      <c r="U450" s="580">
        <v>0</v>
      </c>
      <c r="V450" s="473">
        <f t="shared" si="844"/>
        <v>8284.1879399999998</v>
      </c>
      <c r="W450" s="580">
        <f t="shared" si="839"/>
        <v>0</v>
      </c>
      <c r="X450" s="580"/>
      <c r="Y450" s="581">
        <f t="shared" si="840"/>
        <v>8284.1879399999998</v>
      </c>
    </row>
    <row r="451" spans="1:25" s="432" customFormat="1" x14ac:dyDescent="0.2">
      <c r="A451" s="30"/>
      <c r="B451" s="30"/>
      <c r="C451" s="30" t="s">
        <v>230</v>
      </c>
      <c r="D451" s="426">
        <v>620</v>
      </c>
      <c r="E451" s="30" t="s">
        <v>335</v>
      </c>
      <c r="F451" s="34" t="s">
        <v>6</v>
      </c>
      <c r="G451" s="34" t="s">
        <v>454</v>
      </c>
      <c r="H451" s="583" t="s">
        <v>461</v>
      </c>
      <c r="I451" s="34" t="s">
        <v>29</v>
      </c>
      <c r="J451" s="34" t="s">
        <v>167</v>
      </c>
      <c r="K451" s="580">
        <f t="shared" ref="K451:K459" si="846">43.27*1.5%</f>
        <v>0.64905000000000002</v>
      </c>
      <c r="L451" s="580">
        <v>2080</v>
      </c>
      <c r="M451" s="580"/>
      <c r="N451" s="580">
        <f t="shared" ref="N451:N462" si="847">IF(H451="1",(L451*K451)+(M451*K451),0)</f>
        <v>1350.0240000000001</v>
      </c>
      <c r="O451" s="580"/>
      <c r="P451" s="580">
        <f t="shared" ref="P451:P462" si="848">(N451-(M451*K451))*$P$27</f>
        <v>483.30859200000003</v>
      </c>
      <c r="Q451" s="580">
        <f t="shared" ref="Q451:Q462" si="849">N451*$Q$27</f>
        <v>19.575348000000002</v>
      </c>
      <c r="R451" s="580">
        <v>0</v>
      </c>
      <c r="S451" s="580"/>
      <c r="T451" s="580"/>
      <c r="U451" s="580"/>
      <c r="V451" s="473">
        <f t="shared" si="844"/>
        <v>1852.9079400000003</v>
      </c>
      <c r="W451" s="580">
        <f t="shared" si="839"/>
        <v>0</v>
      </c>
      <c r="X451" s="580"/>
      <c r="Y451" s="581">
        <f t="shared" si="840"/>
        <v>1852.9079400000003</v>
      </c>
    </row>
    <row r="452" spans="1:25" s="432" customFormat="1" x14ac:dyDescent="0.2">
      <c r="A452" s="30"/>
      <c r="B452" s="30"/>
      <c r="C452" s="30" t="s">
        <v>230</v>
      </c>
      <c r="D452" s="426">
        <v>620</v>
      </c>
      <c r="E452" s="30" t="s">
        <v>335</v>
      </c>
      <c r="F452" s="34" t="s">
        <v>6</v>
      </c>
      <c r="G452" s="34" t="s">
        <v>454</v>
      </c>
      <c r="H452" s="583" t="s">
        <v>461</v>
      </c>
      <c r="I452" s="34" t="s">
        <v>29</v>
      </c>
      <c r="J452" s="34" t="s">
        <v>156</v>
      </c>
      <c r="K452" s="580">
        <f t="shared" si="846"/>
        <v>0.64905000000000002</v>
      </c>
      <c r="L452" s="580">
        <v>2080</v>
      </c>
      <c r="M452" s="580"/>
      <c r="N452" s="580">
        <f t="shared" si="847"/>
        <v>1350.0240000000001</v>
      </c>
      <c r="O452" s="580"/>
      <c r="P452" s="580">
        <f t="shared" si="848"/>
        <v>483.30859200000003</v>
      </c>
      <c r="Q452" s="580">
        <f t="shared" si="849"/>
        <v>19.575348000000002</v>
      </c>
      <c r="R452" s="580">
        <v>0</v>
      </c>
      <c r="S452" s="580"/>
      <c r="T452" s="580"/>
      <c r="U452" s="580"/>
      <c r="V452" s="473">
        <f t="shared" si="844"/>
        <v>1852.9079400000003</v>
      </c>
      <c r="W452" s="580">
        <f t="shared" si="839"/>
        <v>0</v>
      </c>
      <c r="X452" s="580"/>
      <c r="Y452" s="581">
        <f t="shared" si="840"/>
        <v>1852.9079400000003</v>
      </c>
    </row>
    <row r="453" spans="1:25" s="432" customFormat="1" x14ac:dyDescent="0.2">
      <c r="A453" s="30"/>
      <c r="B453" s="30"/>
      <c r="C453" s="30" t="s">
        <v>230</v>
      </c>
      <c r="D453" s="426">
        <v>620</v>
      </c>
      <c r="E453" s="30" t="s">
        <v>335</v>
      </c>
      <c r="F453" s="34" t="s">
        <v>6</v>
      </c>
      <c r="G453" s="34" t="s">
        <v>454</v>
      </c>
      <c r="H453" s="583" t="s">
        <v>461</v>
      </c>
      <c r="I453" s="34" t="s">
        <v>29</v>
      </c>
      <c r="J453" s="34" t="s">
        <v>65</v>
      </c>
      <c r="K453" s="580">
        <f t="shared" si="846"/>
        <v>0.64905000000000002</v>
      </c>
      <c r="L453" s="580">
        <v>2080</v>
      </c>
      <c r="M453" s="580"/>
      <c r="N453" s="580">
        <f t="shared" si="847"/>
        <v>1350.0240000000001</v>
      </c>
      <c r="O453" s="580"/>
      <c r="P453" s="580">
        <f t="shared" si="848"/>
        <v>483.30859200000003</v>
      </c>
      <c r="Q453" s="580">
        <f t="shared" si="849"/>
        <v>19.575348000000002</v>
      </c>
      <c r="R453" s="580">
        <v>0</v>
      </c>
      <c r="S453" s="580"/>
      <c r="T453" s="580"/>
      <c r="U453" s="580"/>
      <c r="V453" s="473">
        <f t="shared" si="844"/>
        <v>1852.9079400000003</v>
      </c>
      <c r="W453" s="580">
        <f t="shared" si="839"/>
        <v>0</v>
      </c>
      <c r="X453" s="580"/>
      <c r="Y453" s="581">
        <f t="shared" si="840"/>
        <v>1852.9079400000003</v>
      </c>
    </row>
    <row r="454" spans="1:25" s="432" customFormat="1" x14ac:dyDescent="0.2">
      <c r="A454" s="30"/>
      <c r="B454" s="30"/>
      <c r="C454" s="30" t="s">
        <v>230</v>
      </c>
      <c r="D454" s="426">
        <v>620</v>
      </c>
      <c r="E454" s="30" t="s">
        <v>335</v>
      </c>
      <c r="F454" s="34" t="s">
        <v>6</v>
      </c>
      <c r="G454" s="34" t="s">
        <v>454</v>
      </c>
      <c r="H454" s="583" t="s">
        <v>461</v>
      </c>
      <c r="I454" s="34" t="s">
        <v>29</v>
      </c>
      <c r="J454" s="34" t="s">
        <v>153</v>
      </c>
      <c r="K454" s="580">
        <f t="shared" si="846"/>
        <v>0.64905000000000002</v>
      </c>
      <c r="L454" s="580">
        <v>2080</v>
      </c>
      <c r="M454" s="580"/>
      <c r="N454" s="580">
        <f t="shared" si="847"/>
        <v>1350.0240000000001</v>
      </c>
      <c r="O454" s="580"/>
      <c r="P454" s="580">
        <f t="shared" si="848"/>
        <v>483.30859200000003</v>
      </c>
      <c r="Q454" s="580">
        <f t="shared" si="849"/>
        <v>19.575348000000002</v>
      </c>
      <c r="R454" s="580">
        <v>0</v>
      </c>
      <c r="S454" s="580"/>
      <c r="T454" s="580"/>
      <c r="U454" s="580"/>
      <c r="V454" s="473">
        <f t="shared" si="844"/>
        <v>1852.9079400000003</v>
      </c>
      <c r="W454" s="580">
        <f t="shared" si="839"/>
        <v>0</v>
      </c>
      <c r="X454" s="580"/>
      <c r="Y454" s="581">
        <f t="shared" si="840"/>
        <v>1852.9079400000003</v>
      </c>
    </row>
    <row r="455" spans="1:25" s="432" customFormat="1" x14ac:dyDescent="0.2">
      <c r="A455" s="30"/>
      <c r="B455" s="30"/>
      <c r="C455" s="30" t="s">
        <v>230</v>
      </c>
      <c r="D455" s="426">
        <v>620</v>
      </c>
      <c r="E455" s="30" t="s">
        <v>335</v>
      </c>
      <c r="F455" s="34" t="s">
        <v>6</v>
      </c>
      <c r="G455" s="34" t="s">
        <v>454</v>
      </c>
      <c r="H455" s="583" t="s">
        <v>461</v>
      </c>
      <c r="I455" s="34" t="s">
        <v>29</v>
      </c>
      <c r="J455" s="34" t="s">
        <v>161</v>
      </c>
      <c r="K455" s="580">
        <f t="shared" si="846"/>
        <v>0.64905000000000002</v>
      </c>
      <c r="L455" s="580">
        <v>2080</v>
      </c>
      <c r="M455" s="580"/>
      <c r="N455" s="580">
        <f t="shared" si="847"/>
        <v>1350.0240000000001</v>
      </c>
      <c r="O455" s="580"/>
      <c r="P455" s="580">
        <f t="shared" si="848"/>
        <v>483.30859200000003</v>
      </c>
      <c r="Q455" s="580">
        <f t="shared" si="849"/>
        <v>19.575348000000002</v>
      </c>
      <c r="R455" s="580">
        <v>0</v>
      </c>
      <c r="S455" s="580"/>
      <c r="T455" s="580"/>
      <c r="U455" s="580"/>
      <c r="V455" s="473">
        <f t="shared" si="844"/>
        <v>1852.9079400000003</v>
      </c>
      <c r="W455" s="580">
        <f t="shared" si="839"/>
        <v>0</v>
      </c>
      <c r="X455" s="580"/>
      <c r="Y455" s="581">
        <f t="shared" si="840"/>
        <v>1852.9079400000003</v>
      </c>
    </row>
    <row r="456" spans="1:25" s="432" customFormat="1" x14ac:dyDescent="0.2">
      <c r="A456" s="30"/>
      <c r="B456" s="30"/>
      <c r="C456" s="30" t="s">
        <v>230</v>
      </c>
      <c r="D456" s="426">
        <v>620</v>
      </c>
      <c r="E456" s="30" t="s">
        <v>335</v>
      </c>
      <c r="F456" s="34" t="s">
        <v>6</v>
      </c>
      <c r="G456" s="34" t="s">
        <v>454</v>
      </c>
      <c r="H456" s="583" t="s">
        <v>461</v>
      </c>
      <c r="I456" s="34" t="s">
        <v>29</v>
      </c>
      <c r="J456" s="34" t="s">
        <v>136</v>
      </c>
      <c r="K456" s="580">
        <f t="shared" si="846"/>
        <v>0.64905000000000002</v>
      </c>
      <c r="L456" s="580">
        <v>2080</v>
      </c>
      <c r="M456" s="580"/>
      <c r="N456" s="580">
        <f t="shared" si="847"/>
        <v>1350.0240000000001</v>
      </c>
      <c r="O456" s="580"/>
      <c r="P456" s="580">
        <f t="shared" si="848"/>
        <v>483.30859200000003</v>
      </c>
      <c r="Q456" s="580">
        <f t="shared" si="849"/>
        <v>19.575348000000002</v>
      </c>
      <c r="R456" s="580">
        <v>0</v>
      </c>
      <c r="S456" s="580"/>
      <c r="T456" s="580"/>
      <c r="U456" s="580"/>
      <c r="V456" s="473">
        <f t="shared" si="844"/>
        <v>1852.9079400000003</v>
      </c>
      <c r="W456" s="580">
        <f t="shared" si="839"/>
        <v>0</v>
      </c>
      <c r="X456" s="580"/>
      <c r="Y456" s="581">
        <f t="shared" si="840"/>
        <v>1852.9079400000003</v>
      </c>
    </row>
    <row r="457" spans="1:25" s="432" customFormat="1" x14ac:dyDescent="0.2">
      <c r="A457" s="30"/>
      <c r="B457" s="30"/>
      <c r="C457" s="30" t="s">
        <v>230</v>
      </c>
      <c r="D457" s="426">
        <v>620</v>
      </c>
      <c r="E457" s="30" t="s">
        <v>335</v>
      </c>
      <c r="F457" s="34" t="s">
        <v>6</v>
      </c>
      <c r="G457" s="34" t="s">
        <v>454</v>
      </c>
      <c r="H457" s="583" t="s">
        <v>461</v>
      </c>
      <c r="I457" s="34" t="s">
        <v>29</v>
      </c>
      <c r="J457" s="34" t="s">
        <v>135</v>
      </c>
      <c r="K457" s="580">
        <f t="shared" si="846"/>
        <v>0.64905000000000002</v>
      </c>
      <c r="L457" s="580">
        <v>2080</v>
      </c>
      <c r="M457" s="580"/>
      <c r="N457" s="580">
        <f t="shared" si="847"/>
        <v>1350.0240000000001</v>
      </c>
      <c r="O457" s="580"/>
      <c r="P457" s="580">
        <f t="shared" si="848"/>
        <v>483.30859200000003</v>
      </c>
      <c r="Q457" s="580">
        <f t="shared" si="849"/>
        <v>19.575348000000002</v>
      </c>
      <c r="R457" s="580">
        <v>0</v>
      </c>
      <c r="S457" s="580"/>
      <c r="T457" s="580"/>
      <c r="U457" s="580"/>
      <c r="V457" s="473">
        <f t="shared" si="844"/>
        <v>1852.9079400000003</v>
      </c>
      <c r="W457" s="580">
        <f t="shared" si="839"/>
        <v>0</v>
      </c>
      <c r="X457" s="580"/>
      <c r="Y457" s="581">
        <f t="shared" si="840"/>
        <v>1852.9079400000003</v>
      </c>
    </row>
    <row r="458" spans="1:25" s="432" customFormat="1" x14ac:dyDescent="0.2">
      <c r="A458" s="30"/>
      <c r="B458" s="30"/>
      <c r="C458" s="30" t="s">
        <v>230</v>
      </c>
      <c r="D458" s="426">
        <v>620</v>
      </c>
      <c r="E458" s="30" t="s">
        <v>335</v>
      </c>
      <c r="F458" s="34" t="s">
        <v>6</v>
      </c>
      <c r="G458" s="34" t="s">
        <v>454</v>
      </c>
      <c r="H458" s="583" t="s">
        <v>461</v>
      </c>
      <c r="I458" s="34" t="s">
        <v>29</v>
      </c>
      <c r="J458" s="34" t="s">
        <v>125</v>
      </c>
      <c r="K458" s="580">
        <f t="shared" si="846"/>
        <v>0.64905000000000002</v>
      </c>
      <c r="L458" s="580">
        <v>2080</v>
      </c>
      <c r="M458" s="580"/>
      <c r="N458" s="580">
        <f t="shared" si="847"/>
        <v>1350.0240000000001</v>
      </c>
      <c r="O458" s="580"/>
      <c r="P458" s="580">
        <f t="shared" si="848"/>
        <v>483.30859200000003</v>
      </c>
      <c r="Q458" s="580">
        <f t="shared" si="849"/>
        <v>19.575348000000002</v>
      </c>
      <c r="R458" s="580">
        <v>0</v>
      </c>
      <c r="S458" s="580"/>
      <c r="T458" s="580"/>
      <c r="U458" s="580"/>
      <c r="V458" s="473">
        <f t="shared" si="844"/>
        <v>1852.9079400000003</v>
      </c>
      <c r="W458" s="580">
        <f t="shared" si="839"/>
        <v>0</v>
      </c>
      <c r="X458" s="580"/>
      <c r="Y458" s="581">
        <f t="shared" si="840"/>
        <v>1852.9079400000003</v>
      </c>
    </row>
    <row r="459" spans="1:25" s="432" customFormat="1" ht="12.75" customHeight="1" x14ac:dyDescent="0.2">
      <c r="A459" s="30"/>
      <c r="B459" s="30"/>
      <c r="C459" s="30" t="s">
        <v>230</v>
      </c>
      <c r="D459" s="426">
        <v>620</v>
      </c>
      <c r="E459" s="30" t="s">
        <v>335</v>
      </c>
      <c r="F459" s="34" t="s">
        <v>6</v>
      </c>
      <c r="G459" s="34" t="s">
        <v>454</v>
      </c>
      <c r="H459" s="583" t="s">
        <v>461</v>
      </c>
      <c r="I459" s="34" t="s">
        <v>29</v>
      </c>
      <c r="J459" s="34" t="s">
        <v>162</v>
      </c>
      <c r="K459" s="580">
        <f t="shared" si="846"/>
        <v>0.64905000000000002</v>
      </c>
      <c r="L459" s="580">
        <v>2080</v>
      </c>
      <c r="M459" s="580"/>
      <c r="N459" s="580">
        <f t="shared" si="847"/>
        <v>1350.0240000000001</v>
      </c>
      <c r="O459" s="580"/>
      <c r="P459" s="580">
        <f t="shared" si="848"/>
        <v>483.30859200000003</v>
      </c>
      <c r="Q459" s="580">
        <f t="shared" si="849"/>
        <v>19.575348000000002</v>
      </c>
      <c r="R459" s="580">
        <v>0</v>
      </c>
      <c r="S459" s="580"/>
      <c r="T459" s="580"/>
      <c r="U459" s="580"/>
      <c r="V459" s="473">
        <f t="shared" si="844"/>
        <v>1852.9079400000003</v>
      </c>
      <c r="W459" s="580">
        <f t="shared" si="839"/>
        <v>0</v>
      </c>
      <c r="X459" s="580"/>
      <c r="Y459" s="581">
        <f t="shared" si="840"/>
        <v>1852.9079400000003</v>
      </c>
    </row>
    <row r="460" spans="1:25" s="432" customFormat="1" ht="12.75" customHeight="1" x14ac:dyDescent="0.2">
      <c r="A460" s="30"/>
      <c r="B460" s="30"/>
      <c r="C460" s="30" t="s">
        <v>230</v>
      </c>
      <c r="D460" s="426">
        <v>620</v>
      </c>
      <c r="E460" s="30" t="s">
        <v>335</v>
      </c>
      <c r="F460" s="34" t="s">
        <v>6</v>
      </c>
      <c r="G460" s="34" t="s">
        <v>454</v>
      </c>
      <c r="H460" s="583" t="s">
        <v>461</v>
      </c>
      <c r="I460" s="34" t="s">
        <v>29</v>
      </c>
      <c r="J460" s="34" t="s">
        <v>124</v>
      </c>
      <c r="K460" s="580">
        <f>43.27*10%</f>
        <v>4.3270000000000008</v>
      </c>
      <c r="L460" s="580">
        <v>2080</v>
      </c>
      <c r="M460" s="580"/>
      <c r="N460" s="580">
        <f t="shared" si="847"/>
        <v>9000.1600000000017</v>
      </c>
      <c r="O460" s="580"/>
      <c r="P460" s="580">
        <f t="shared" si="848"/>
        <v>3222.0572800000004</v>
      </c>
      <c r="Q460" s="580">
        <f t="shared" si="849"/>
        <v>130.50232000000003</v>
      </c>
      <c r="R460" s="580">
        <v>0</v>
      </c>
      <c r="S460" s="580"/>
      <c r="T460" s="580"/>
      <c r="U460" s="580"/>
      <c r="V460" s="473">
        <f t="shared" si="844"/>
        <v>12352.719600000002</v>
      </c>
      <c r="W460" s="580">
        <f t="shared" si="839"/>
        <v>0</v>
      </c>
      <c r="X460" s="580"/>
      <c r="Y460" s="581">
        <f t="shared" si="840"/>
        <v>12352.719600000002</v>
      </c>
    </row>
    <row r="461" spans="1:25" s="432" customFormat="1" ht="12.75" customHeight="1" x14ac:dyDescent="0.2">
      <c r="A461" s="30"/>
      <c r="B461" s="30"/>
      <c r="C461" s="30" t="s">
        <v>230</v>
      </c>
      <c r="D461" s="426">
        <v>620</v>
      </c>
      <c r="E461" s="30" t="s">
        <v>335</v>
      </c>
      <c r="F461" s="34" t="s">
        <v>6</v>
      </c>
      <c r="G461" s="34" t="s">
        <v>454</v>
      </c>
      <c r="H461" s="583" t="s">
        <v>461</v>
      </c>
      <c r="I461" s="34" t="s">
        <v>29</v>
      </c>
      <c r="J461" s="34" t="s">
        <v>692</v>
      </c>
      <c r="K461" s="580">
        <f>43.27*75%</f>
        <v>32.452500000000001</v>
      </c>
      <c r="L461" s="580">
        <v>2080</v>
      </c>
      <c r="M461" s="580"/>
      <c r="N461" s="580">
        <f t="shared" si="847"/>
        <v>67501.2</v>
      </c>
      <c r="O461" s="580"/>
      <c r="P461" s="580">
        <f t="shared" si="848"/>
        <v>24165.429599999999</v>
      </c>
      <c r="Q461" s="580">
        <f t="shared" si="849"/>
        <v>978.76739999999995</v>
      </c>
      <c r="R461" s="580">
        <v>0</v>
      </c>
      <c r="S461" s="580"/>
      <c r="T461" s="580"/>
      <c r="U461" s="580"/>
      <c r="V461" s="473">
        <f t="shared" si="844"/>
        <v>92645.396999999997</v>
      </c>
      <c r="W461" s="580">
        <f t="shared" si="839"/>
        <v>0</v>
      </c>
      <c r="X461" s="580"/>
      <c r="Y461" s="581">
        <f t="shared" si="840"/>
        <v>92645.396999999997</v>
      </c>
    </row>
    <row r="462" spans="1:25" s="432" customFormat="1" ht="13.5" customHeight="1" thickBot="1" x14ac:dyDescent="0.25">
      <c r="A462" s="30"/>
      <c r="B462" s="30"/>
      <c r="C462" s="30"/>
      <c r="D462" s="30"/>
      <c r="E462" s="30"/>
      <c r="F462" s="30"/>
      <c r="G462" s="30"/>
      <c r="H462" s="30"/>
      <c r="I462" s="30"/>
      <c r="J462" s="30"/>
      <c r="K462" s="580"/>
      <c r="L462" s="580"/>
      <c r="M462" s="580"/>
      <c r="N462" s="580">
        <f t="shared" si="847"/>
        <v>0</v>
      </c>
      <c r="O462" s="580"/>
      <c r="P462" s="580">
        <f t="shared" si="848"/>
        <v>0</v>
      </c>
      <c r="Q462" s="580">
        <f t="shared" si="849"/>
        <v>0</v>
      </c>
      <c r="R462" s="580">
        <f t="shared" ref="R462" si="850">N462*$R$27</f>
        <v>0</v>
      </c>
      <c r="S462" s="580"/>
      <c r="T462" s="580"/>
      <c r="U462" s="580"/>
      <c r="V462" s="473">
        <f t="shared" ref="V462" si="851">SUM(N462:U462)</f>
        <v>0</v>
      </c>
      <c r="W462" s="580">
        <f t="shared" si="839"/>
        <v>0</v>
      </c>
      <c r="X462" s="580"/>
      <c r="Y462" s="581">
        <f t="shared" si="840"/>
        <v>0</v>
      </c>
    </row>
    <row r="463" spans="1:25" ht="13.5" customHeight="1" thickBot="1" x14ac:dyDescent="0.25">
      <c r="A463" s="101"/>
      <c r="B463" s="102"/>
      <c r="C463" s="103">
        <f>COUNTA(C29:C462)</f>
        <v>433</v>
      </c>
      <c r="D463" s="102"/>
      <c r="E463" s="102"/>
      <c r="F463" s="102"/>
      <c r="G463" s="102"/>
      <c r="H463" s="102"/>
      <c r="I463" s="102"/>
      <c r="J463" s="102"/>
      <c r="K463" s="104">
        <f>SUM(K29:K462)</f>
        <v>4075.8719153846109</v>
      </c>
      <c r="L463" s="104">
        <f t="shared" ref="L463:Y463" si="852">SUM(L29:L462)</f>
        <v>870920</v>
      </c>
      <c r="M463" s="104">
        <f t="shared" si="852"/>
        <v>0</v>
      </c>
      <c r="N463" s="104">
        <f t="shared" si="852"/>
        <v>6978748.584000011</v>
      </c>
      <c r="O463" s="104">
        <f t="shared" si="852"/>
        <v>0</v>
      </c>
      <c r="P463" s="104">
        <f t="shared" si="852"/>
        <v>2490344.7258719993</v>
      </c>
      <c r="Q463" s="104">
        <f t="shared" si="852"/>
        <v>100227.03606800003</v>
      </c>
      <c r="R463" s="104">
        <f t="shared" si="852"/>
        <v>3516.9872000000005</v>
      </c>
      <c r="S463" s="104">
        <f t="shared" si="852"/>
        <v>748000.80000000028</v>
      </c>
      <c r="T463" s="104">
        <f t="shared" si="852"/>
        <v>49070.159999999974</v>
      </c>
      <c r="U463" s="104">
        <f t="shared" si="852"/>
        <v>21722.400000000001</v>
      </c>
      <c r="V463" s="105">
        <f t="shared" si="852"/>
        <v>10391630.693139995</v>
      </c>
      <c r="W463" s="106">
        <f t="shared" si="852"/>
        <v>0</v>
      </c>
      <c r="X463" s="104">
        <f t="shared" si="852"/>
        <v>0</v>
      </c>
      <c r="Y463" s="107">
        <f t="shared" si="852"/>
        <v>10391630.693139995</v>
      </c>
    </row>
    <row r="464" spans="1:25" ht="12.75" customHeight="1" x14ac:dyDescent="0.2">
      <c r="A464" s="98"/>
      <c r="B464" s="99"/>
      <c r="C464" s="99">
        <f>COUNTIFS($I$29:$I$462,$I464,$H$29:$H$462,"1")</f>
        <v>79</v>
      </c>
      <c r="D464" s="99"/>
      <c r="E464" s="99"/>
      <c r="F464" s="99"/>
      <c r="G464" s="99"/>
      <c r="H464" s="99"/>
      <c r="I464" s="75" t="s">
        <v>28</v>
      </c>
      <c r="J464" s="99"/>
      <c r="K464" s="100"/>
      <c r="L464" s="100">
        <f>SUMIFS(L$29:L$462,$I$29:$I$462,$I464,$H$29:$H$462,"1")</f>
        <v>163280</v>
      </c>
      <c r="M464" s="100">
        <f t="shared" ref="M464:Y479" si="853">SUMIFS(M$29:M$462,$I$29:$I$462,$I464,$H$29:$H$462,"1")</f>
        <v>0</v>
      </c>
      <c r="N464" s="100">
        <f t="shared" si="853"/>
        <v>845713.44000000018</v>
      </c>
      <c r="O464" s="100">
        <f t="shared" si="853"/>
        <v>0</v>
      </c>
      <c r="P464" s="100">
        <f t="shared" si="853"/>
        <v>297940.14432000008</v>
      </c>
      <c r="Q464" s="100">
        <f t="shared" si="853"/>
        <v>12262.844879999997</v>
      </c>
      <c r="R464" s="100">
        <f t="shared" si="853"/>
        <v>835.66080000000011</v>
      </c>
      <c r="S464" s="100">
        <f t="shared" si="853"/>
        <v>70215.600000000006</v>
      </c>
      <c r="T464" s="100">
        <f t="shared" si="853"/>
        <v>6144.7199999999993</v>
      </c>
      <c r="U464" s="100">
        <f t="shared" si="853"/>
        <v>1328.4</v>
      </c>
      <c r="V464" s="100">
        <f t="shared" si="853"/>
        <v>1234440.81</v>
      </c>
      <c r="W464" s="100">
        <f t="shared" si="853"/>
        <v>0</v>
      </c>
      <c r="X464" s="100">
        <f t="shared" si="853"/>
        <v>0</v>
      </c>
      <c r="Y464" s="313">
        <f t="shared" si="853"/>
        <v>1234440.81</v>
      </c>
    </row>
    <row r="465" spans="1:25" ht="12.75" customHeight="1" x14ac:dyDescent="0.2">
      <c r="A465" s="84"/>
      <c r="B465" s="85"/>
      <c r="C465" s="85">
        <f t="shared" ref="C465:C481" si="854">COUNTIFS($I$29:$I$462,$I465,$H$29:$H$462,"1")</f>
        <v>10</v>
      </c>
      <c r="D465" s="85"/>
      <c r="E465" s="85"/>
      <c r="F465" s="85"/>
      <c r="G465" s="85"/>
      <c r="H465" s="85"/>
      <c r="I465" s="108" t="s">
        <v>27</v>
      </c>
      <c r="J465" s="85"/>
      <c r="K465" s="86"/>
      <c r="L465" s="86">
        <f t="shared" ref="L465:Y480" si="855">SUMIFS(L$29:L$462,$I$29:$I$462,$I465,$H$29:$H$462,"1")</f>
        <v>180</v>
      </c>
      <c r="M465" s="86">
        <f t="shared" si="853"/>
        <v>0</v>
      </c>
      <c r="N465" s="86">
        <f t="shared" si="853"/>
        <v>9000</v>
      </c>
      <c r="O465" s="86">
        <f t="shared" si="853"/>
        <v>0</v>
      </c>
      <c r="P465" s="86">
        <f t="shared" si="853"/>
        <v>0</v>
      </c>
      <c r="Q465" s="86">
        <f t="shared" si="853"/>
        <v>130.5</v>
      </c>
      <c r="R465" s="86">
        <f t="shared" si="853"/>
        <v>558</v>
      </c>
      <c r="S465" s="86">
        <f t="shared" si="853"/>
        <v>0</v>
      </c>
      <c r="T465" s="86">
        <f t="shared" si="853"/>
        <v>0</v>
      </c>
      <c r="U465" s="86">
        <f t="shared" si="853"/>
        <v>0</v>
      </c>
      <c r="V465" s="86">
        <f t="shared" si="853"/>
        <v>9688.5000000000018</v>
      </c>
      <c r="W465" s="86">
        <f t="shared" si="853"/>
        <v>0</v>
      </c>
      <c r="X465" s="86">
        <f t="shared" si="853"/>
        <v>0</v>
      </c>
      <c r="Y465" s="314">
        <f t="shared" si="853"/>
        <v>9688.5000000000018</v>
      </c>
    </row>
    <row r="466" spans="1:25" ht="12.75" customHeight="1" x14ac:dyDescent="0.2">
      <c r="A466" s="84"/>
      <c r="B466" s="85"/>
      <c r="C466" s="85">
        <f t="shared" si="854"/>
        <v>16</v>
      </c>
      <c r="D466" s="85"/>
      <c r="E466" s="85"/>
      <c r="F466" s="85"/>
      <c r="G466" s="85"/>
      <c r="H466" s="85"/>
      <c r="I466" s="108" t="s">
        <v>32</v>
      </c>
      <c r="J466" s="85"/>
      <c r="K466" s="86"/>
      <c r="L466" s="86">
        <f t="shared" si="855"/>
        <v>33280</v>
      </c>
      <c r="M466" s="86">
        <f t="shared" si="853"/>
        <v>0</v>
      </c>
      <c r="N466" s="86">
        <f t="shared" si="853"/>
        <v>135324.80000000002</v>
      </c>
      <c r="O466" s="86">
        <f t="shared" si="853"/>
        <v>0</v>
      </c>
      <c r="P466" s="86">
        <f t="shared" si="853"/>
        <v>48446.278400000003</v>
      </c>
      <c r="Q466" s="86">
        <f t="shared" si="853"/>
        <v>1962.2095999999992</v>
      </c>
      <c r="R466" s="86">
        <f t="shared" si="853"/>
        <v>0</v>
      </c>
      <c r="S466" s="86">
        <f t="shared" si="853"/>
        <v>6485.04</v>
      </c>
      <c r="T466" s="86">
        <f t="shared" si="853"/>
        <v>774.24</v>
      </c>
      <c r="U466" s="86">
        <f t="shared" si="853"/>
        <v>324</v>
      </c>
      <c r="V466" s="86">
        <f t="shared" si="853"/>
        <v>193316.56799999994</v>
      </c>
      <c r="W466" s="86">
        <f t="shared" si="853"/>
        <v>0</v>
      </c>
      <c r="X466" s="86">
        <f t="shared" si="853"/>
        <v>0</v>
      </c>
      <c r="Y466" s="314">
        <f t="shared" si="853"/>
        <v>193316.56799999994</v>
      </c>
    </row>
    <row r="467" spans="1:25" ht="12.75" customHeight="1" x14ac:dyDescent="0.2">
      <c r="A467" s="84"/>
      <c r="B467" s="85"/>
      <c r="C467" s="85">
        <f t="shared" si="854"/>
        <v>41</v>
      </c>
      <c r="D467" s="85"/>
      <c r="E467" s="85"/>
      <c r="F467" s="85"/>
      <c r="G467" s="85"/>
      <c r="H467" s="85"/>
      <c r="I467" s="108" t="s">
        <v>685</v>
      </c>
      <c r="J467" s="85"/>
      <c r="K467" s="86"/>
      <c r="L467" s="86">
        <f t="shared" si="855"/>
        <v>84500</v>
      </c>
      <c r="M467" s="86">
        <f t="shared" si="853"/>
        <v>0</v>
      </c>
      <c r="N467" s="86">
        <f t="shared" si="853"/>
        <v>381946.34399999987</v>
      </c>
      <c r="O467" s="86">
        <f t="shared" si="853"/>
        <v>0</v>
      </c>
      <c r="P467" s="86">
        <f t="shared" si="853"/>
        <v>136736.79115199999</v>
      </c>
      <c r="Q467" s="86">
        <f t="shared" si="853"/>
        <v>5538.2219880000002</v>
      </c>
      <c r="R467" s="86">
        <f t="shared" si="853"/>
        <v>0</v>
      </c>
      <c r="S467" s="86">
        <f t="shared" si="853"/>
        <v>33789.360000000001</v>
      </c>
      <c r="T467" s="86">
        <f t="shared" si="853"/>
        <v>2890.3199999999997</v>
      </c>
      <c r="U467" s="86">
        <f t="shared" si="853"/>
        <v>972</v>
      </c>
      <c r="V467" s="86">
        <f t="shared" si="853"/>
        <v>561873.03714000003</v>
      </c>
      <c r="W467" s="86">
        <f t="shared" si="853"/>
        <v>0</v>
      </c>
      <c r="X467" s="86">
        <f t="shared" si="853"/>
        <v>0</v>
      </c>
      <c r="Y467" s="314">
        <f t="shared" si="853"/>
        <v>561873.03714000003</v>
      </c>
    </row>
    <row r="468" spans="1:25" ht="12.75" customHeight="1" x14ac:dyDescent="0.2">
      <c r="A468" s="84"/>
      <c r="B468" s="85"/>
      <c r="C468" s="85">
        <f t="shared" si="854"/>
        <v>16</v>
      </c>
      <c r="D468" s="85"/>
      <c r="E468" s="85"/>
      <c r="F468" s="85"/>
      <c r="G468" s="85"/>
      <c r="H468" s="85"/>
      <c r="I468" s="108" t="s">
        <v>41</v>
      </c>
      <c r="J468" s="85"/>
      <c r="K468" s="86"/>
      <c r="L468" s="86">
        <f t="shared" si="855"/>
        <v>33280</v>
      </c>
      <c r="M468" s="86">
        <f t="shared" si="853"/>
        <v>0</v>
      </c>
      <c r="N468" s="86">
        <f t="shared" si="853"/>
        <v>199742.4</v>
      </c>
      <c r="O468" s="86">
        <f t="shared" si="853"/>
        <v>0</v>
      </c>
      <c r="P468" s="86">
        <f t="shared" si="853"/>
        <v>71507.77919999999</v>
      </c>
      <c r="Q468" s="86">
        <f t="shared" si="853"/>
        <v>2896.2647999999999</v>
      </c>
      <c r="R468" s="86">
        <f t="shared" si="853"/>
        <v>0</v>
      </c>
      <c r="S468" s="86">
        <f t="shared" si="853"/>
        <v>18627.12</v>
      </c>
      <c r="T468" s="86">
        <f t="shared" si="853"/>
        <v>1342.56</v>
      </c>
      <c r="U468" s="86">
        <f t="shared" si="853"/>
        <v>648</v>
      </c>
      <c r="V468" s="86">
        <f t="shared" si="853"/>
        <v>294764.12400000007</v>
      </c>
      <c r="W468" s="86">
        <f t="shared" si="853"/>
        <v>0</v>
      </c>
      <c r="X468" s="86">
        <f t="shared" si="853"/>
        <v>0</v>
      </c>
      <c r="Y468" s="314">
        <f t="shared" si="853"/>
        <v>294764.12400000007</v>
      </c>
    </row>
    <row r="469" spans="1:25" ht="12.75" customHeight="1" x14ac:dyDescent="0.2">
      <c r="A469" s="84"/>
      <c r="B469" s="85"/>
      <c r="C469" s="85">
        <f t="shared" si="854"/>
        <v>46</v>
      </c>
      <c r="D469" s="85"/>
      <c r="E469" s="85"/>
      <c r="F469" s="85"/>
      <c r="G469" s="85"/>
      <c r="H469" s="85"/>
      <c r="I469" s="108" t="s">
        <v>775</v>
      </c>
      <c r="J469" s="85"/>
      <c r="K469" s="85"/>
      <c r="L469" s="86">
        <f t="shared" si="855"/>
        <v>95680</v>
      </c>
      <c r="M469" s="86">
        <f t="shared" si="853"/>
        <v>0</v>
      </c>
      <c r="N469" s="86">
        <f t="shared" si="853"/>
        <v>429228.79999999993</v>
      </c>
      <c r="O469" s="86">
        <f t="shared" si="853"/>
        <v>0</v>
      </c>
      <c r="P469" s="86">
        <f t="shared" si="853"/>
        <v>153663.91039999996</v>
      </c>
      <c r="Q469" s="86">
        <f t="shared" si="853"/>
        <v>6223.8175999999985</v>
      </c>
      <c r="R469" s="86">
        <f t="shared" si="853"/>
        <v>0</v>
      </c>
      <c r="S469" s="86">
        <f t="shared" si="853"/>
        <v>47859.64</v>
      </c>
      <c r="T469" s="86">
        <f t="shared" si="853"/>
        <v>2555.2800000000002</v>
      </c>
      <c r="U469" s="86">
        <f t="shared" si="853"/>
        <v>1004.4</v>
      </c>
      <c r="V469" s="86">
        <f t="shared" si="853"/>
        <v>640535.84800000011</v>
      </c>
      <c r="W469" s="86">
        <f t="shared" si="853"/>
        <v>0</v>
      </c>
      <c r="X469" s="86">
        <f t="shared" si="853"/>
        <v>0</v>
      </c>
      <c r="Y469" s="314">
        <f t="shared" si="853"/>
        <v>640535.84800000011</v>
      </c>
    </row>
    <row r="470" spans="1:25" ht="12.75" customHeight="1" x14ac:dyDescent="0.2">
      <c r="A470" s="84"/>
      <c r="B470" s="85"/>
      <c r="C470" s="85">
        <f t="shared" si="854"/>
        <v>32</v>
      </c>
      <c r="D470" s="85"/>
      <c r="E470" s="85"/>
      <c r="F470" s="85"/>
      <c r="G470" s="85"/>
      <c r="H470" s="85"/>
      <c r="I470" s="108" t="s">
        <v>37</v>
      </c>
      <c r="J470" s="85"/>
      <c r="K470" s="86"/>
      <c r="L470" s="86">
        <f t="shared" si="855"/>
        <v>66560</v>
      </c>
      <c r="M470" s="86">
        <f t="shared" si="853"/>
        <v>0</v>
      </c>
      <c r="N470" s="86">
        <f t="shared" si="853"/>
        <v>516464.00000000006</v>
      </c>
      <c r="O470" s="86">
        <f t="shared" si="853"/>
        <v>0</v>
      </c>
      <c r="P470" s="86">
        <f t="shared" si="853"/>
        <v>184894.11200000008</v>
      </c>
      <c r="Q470" s="86">
        <f t="shared" si="853"/>
        <v>6523.9096</v>
      </c>
      <c r="R470" s="86">
        <f t="shared" si="853"/>
        <v>0</v>
      </c>
      <c r="S470" s="86">
        <f t="shared" si="853"/>
        <v>54225.36</v>
      </c>
      <c r="T470" s="86">
        <f t="shared" si="853"/>
        <v>2677.92</v>
      </c>
      <c r="U470" s="86">
        <f t="shared" si="853"/>
        <v>1944</v>
      </c>
      <c r="V470" s="86">
        <f t="shared" si="853"/>
        <v>766729.30160000012</v>
      </c>
      <c r="W470" s="86">
        <f t="shared" si="853"/>
        <v>0</v>
      </c>
      <c r="X470" s="86">
        <f t="shared" si="853"/>
        <v>0</v>
      </c>
      <c r="Y470" s="314">
        <f t="shared" si="853"/>
        <v>766729.30160000012</v>
      </c>
    </row>
    <row r="471" spans="1:25" x14ac:dyDescent="0.2">
      <c r="A471" s="84"/>
      <c r="B471" s="85"/>
      <c r="C471" s="85">
        <f t="shared" si="854"/>
        <v>17</v>
      </c>
      <c r="D471" s="85"/>
      <c r="E471" s="85"/>
      <c r="F471" s="85"/>
      <c r="G471" s="85"/>
      <c r="H471" s="85"/>
      <c r="I471" s="108" t="s">
        <v>29</v>
      </c>
      <c r="J471" s="85"/>
      <c r="K471" s="86"/>
      <c r="L471" s="86">
        <f t="shared" si="855"/>
        <v>33280</v>
      </c>
      <c r="M471" s="86">
        <f t="shared" si="853"/>
        <v>0</v>
      </c>
      <c r="N471" s="86">
        <f t="shared" si="853"/>
        <v>723735.99999999977</v>
      </c>
      <c r="O471" s="86">
        <f t="shared" si="853"/>
        <v>0</v>
      </c>
      <c r="P471" s="86">
        <f t="shared" si="853"/>
        <v>259097.48799999987</v>
      </c>
      <c r="Q471" s="86">
        <f t="shared" si="853"/>
        <v>10494.172000000002</v>
      </c>
      <c r="R471" s="86">
        <f t="shared" si="853"/>
        <v>0</v>
      </c>
      <c r="S471" s="86">
        <f t="shared" si="853"/>
        <v>183690.48</v>
      </c>
      <c r="T471" s="86">
        <f t="shared" si="853"/>
        <v>3068.16</v>
      </c>
      <c r="U471" s="86">
        <f t="shared" si="853"/>
        <v>7336.8</v>
      </c>
      <c r="V471" s="86">
        <f t="shared" si="853"/>
        <v>1187423.1000000006</v>
      </c>
      <c r="W471" s="86">
        <f t="shared" si="853"/>
        <v>0</v>
      </c>
      <c r="X471" s="86">
        <f t="shared" si="853"/>
        <v>0</v>
      </c>
      <c r="Y471" s="314">
        <f t="shared" si="853"/>
        <v>1187423.1000000006</v>
      </c>
    </row>
    <row r="472" spans="1:25" ht="12.75" customHeight="1" x14ac:dyDescent="0.2">
      <c r="A472" s="84"/>
      <c r="B472" s="85"/>
      <c r="C472" s="85">
        <f t="shared" si="854"/>
        <v>2</v>
      </c>
      <c r="D472" s="85"/>
      <c r="E472" s="85"/>
      <c r="F472" s="85"/>
      <c r="G472" s="85"/>
      <c r="H472" s="85"/>
      <c r="I472" s="108" t="s">
        <v>536</v>
      </c>
      <c r="J472" s="85"/>
      <c r="K472" s="86"/>
      <c r="L472" s="86">
        <f t="shared" si="855"/>
        <v>4160</v>
      </c>
      <c r="M472" s="86">
        <f t="shared" si="853"/>
        <v>0</v>
      </c>
      <c r="N472" s="86">
        <f t="shared" si="853"/>
        <v>87318.399999999994</v>
      </c>
      <c r="O472" s="86">
        <f t="shared" si="853"/>
        <v>0</v>
      </c>
      <c r="P472" s="86">
        <f t="shared" si="853"/>
        <v>31259.9872</v>
      </c>
      <c r="Q472" s="86">
        <f t="shared" si="853"/>
        <v>1266.1168</v>
      </c>
      <c r="R472" s="86">
        <f t="shared" si="853"/>
        <v>0</v>
      </c>
      <c r="S472" s="86">
        <f t="shared" si="853"/>
        <v>0</v>
      </c>
      <c r="T472" s="86">
        <f t="shared" si="853"/>
        <v>0</v>
      </c>
      <c r="U472" s="86">
        <f t="shared" si="853"/>
        <v>0</v>
      </c>
      <c r="V472" s="86">
        <f t="shared" si="853"/>
        <v>119844.504</v>
      </c>
      <c r="W472" s="86">
        <f t="shared" si="853"/>
        <v>0</v>
      </c>
      <c r="X472" s="86">
        <f t="shared" si="853"/>
        <v>0</v>
      </c>
      <c r="Y472" s="314">
        <f t="shared" si="853"/>
        <v>119844.504</v>
      </c>
    </row>
    <row r="473" spans="1:25" ht="12.75" customHeight="1" x14ac:dyDescent="0.2">
      <c r="A473" s="84"/>
      <c r="B473" s="85"/>
      <c r="C473" s="85">
        <f t="shared" si="854"/>
        <v>6</v>
      </c>
      <c r="D473" s="85"/>
      <c r="E473" s="85"/>
      <c r="F473" s="85"/>
      <c r="G473" s="85"/>
      <c r="H473" s="85"/>
      <c r="I473" s="108" t="s">
        <v>36</v>
      </c>
      <c r="J473" s="85"/>
      <c r="K473" s="86"/>
      <c r="L473" s="86">
        <f t="shared" si="855"/>
        <v>12480</v>
      </c>
      <c r="M473" s="86">
        <f t="shared" si="853"/>
        <v>0</v>
      </c>
      <c r="N473" s="86">
        <f t="shared" si="853"/>
        <v>348804.76799999998</v>
      </c>
      <c r="O473" s="86">
        <f t="shared" si="853"/>
        <v>0</v>
      </c>
      <c r="P473" s="86">
        <f t="shared" si="853"/>
        <v>124872.106944</v>
      </c>
      <c r="Q473" s="86">
        <f t="shared" si="853"/>
        <v>5057.6691360000004</v>
      </c>
      <c r="R473" s="86">
        <f t="shared" si="853"/>
        <v>0</v>
      </c>
      <c r="S473" s="86">
        <f t="shared" si="853"/>
        <v>35855.279999999999</v>
      </c>
      <c r="T473" s="86">
        <f t="shared" si="853"/>
        <v>3021.84</v>
      </c>
      <c r="U473" s="86">
        <f t="shared" si="853"/>
        <v>1004.4</v>
      </c>
      <c r="V473" s="86">
        <f t="shared" si="853"/>
        <v>518616.06407999998</v>
      </c>
      <c r="W473" s="86">
        <f t="shared" si="853"/>
        <v>0</v>
      </c>
      <c r="X473" s="86">
        <f t="shared" si="853"/>
        <v>0</v>
      </c>
      <c r="Y473" s="314">
        <f t="shared" si="853"/>
        <v>518616.06407999998</v>
      </c>
    </row>
    <row r="474" spans="1:25" ht="12.75" customHeight="1" x14ac:dyDescent="0.2">
      <c r="A474" s="84"/>
      <c r="B474" s="85"/>
      <c r="C474" s="85">
        <f t="shared" si="854"/>
        <v>20</v>
      </c>
      <c r="D474" s="85"/>
      <c r="E474" s="85"/>
      <c r="F474" s="85"/>
      <c r="G474" s="85"/>
      <c r="H474" s="85"/>
      <c r="I474" s="85" t="s">
        <v>31</v>
      </c>
      <c r="J474" s="85"/>
      <c r="K474" s="86"/>
      <c r="L474" s="86">
        <f t="shared" si="855"/>
        <v>41600</v>
      </c>
      <c r="M474" s="86">
        <f t="shared" si="853"/>
        <v>0</v>
      </c>
      <c r="N474" s="86">
        <f t="shared" si="853"/>
        <v>300462.76</v>
      </c>
      <c r="O474" s="86">
        <f t="shared" si="853"/>
        <v>0</v>
      </c>
      <c r="P474" s="86">
        <f t="shared" si="853"/>
        <v>107565.66808</v>
      </c>
      <c r="Q474" s="86">
        <f t="shared" si="853"/>
        <v>4356.7100200000014</v>
      </c>
      <c r="R474" s="86">
        <f t="shared" si="853"/>
        <v>0</v>
      </c>
      <c r="S474" s="86">
        <f t="shared" si="853"/>
        <v>24284.16</v>
      </c>
      <c r="T474" s="86">
        <f t="shared" si="853"/>
        <v>2812.0800000000004</v>
      </c>
      <c r="U474" s="86">
        <f t="shared" si="853"/>
        <v>324</v>
      </c>
      <c r="V474" s="86">
        <f t="shared" si="853"/>
        <v>439805.37810000003</v>
      </c>
      <c r="W474" s="86">
        <f t="shared" si="853"/>
        <v>0</v>
      </c>
      <c r="X474" s="86">
        <f t="shared" si="853"/>
        <v>0</v>
      </c>
      <c r="Y474" s="314">
        <f t="shared" si="853"/>
        <v>439805.37810000003</v>
      </c>
    </row>
    <row r="475" spans="1:25" ht="12.75" customHeight="1" x14ac:dyDescent="0.2">
      <c r="A475" s="84"/>
      <c r="B475" s="85"/>
      <c r="C475" s="85">
        <f t="shared" si="854"/>
        <v>23</v>
      </c>
      <c r="D475" s="85"/>
      <c r="E475" s="85"/>
      <c r="F475" s="85"/>
      <c r="G475" s="85"/>
      <c r="H475" s="85"/>
      <c r="I475" s="85" t="s">
        <v>30</v>
      </c>
      <c r="J475" s="85"/>
      <c r="K475" s="86"/>
      <c r="L475" s="86">
        <f t="shared" si="855"/>
        <v>47840</v>
      </c>
      <c r="M475" s="86">
        <f t="shared" si="853"/>
        <v>0</v>
      </c>
      <c r="N475" s="86">
        <f t="shared" si="853"/>
        <v>403075.2</v>
      </c>
      <c r="O475" s="86">
        <f t="shared" si="853"/>
        <v>0</v>
      </c>
      <c r="P475" s="86">
        <f t="shared" si="853"/>
        <v>144300.92160000003</v>
      </c>
      <c r="Q475" s="86">
        <f t="shared" si="853"/>
        <v>5844.5904</v>
      </c>
      <c r="R475" s="86">
        <f t="shared" si="853"/>
        <v>0</v>
      </c>
      <c r="S475" s="86">
        <f t="shared" si="853"/>
        <v>21647.280000000002</v>
      </c>
      <c r="T475" s="86">
        <f t="shared" si="853"/>
        <v>1194.24</v>
      </c>
      <c r="U475" s="86">
        <f t="shared" si="853"/>
        <v>0</v>
      </c>
      <c r="V475" s="86">
        <f t="shared" si="853"/>
        <v>576062.23199999996</v>
      </c>
      <c r="W475" s="86">
        <f t="shared" si="853"/>
        <v>0</v>
      </c>
      <c r="X475" s="86">
        <f t="shared" si="853"/>
        <v>0</v>
      </c>
      <c r="Y475" s="314">
        <f t="shared" si="853"/>
        <v>576062.23199999996</v>
      </c>
    </row>
    <row r="476" spans="1:25" ht="12.75" customHeight="1" x14ac:dyDescent="0.2">
      <c r="A476" s="84"/>
      <c r="B476" s="85"/>
      <c r="C476" s="85">
        <f t="shared" si="854"/>
        <v>54</v>
      </c>
      <c r="D476" s="85"/>
      <c r="E476" s="85"/>
      <c r="F476" s="85"/>
      <c r="G476" s="85"/>
      <c r="H476" s="85"/>
      <c r="I476" s="85" t="s">
        <v>38</v>
      </c>
      <c r="J476" s="85"/>
      <c r="K476" s="86"/>
      <c r="L476" s="86">
        <f t="shared" si="855"/>
        <v>110240</v>
      </c>
      <c r="M476" s="86">
        <f t="shared" si="853"/>
        <v>0</v>
      </c>
      <c r="N476" s="86">
        <f t="shared" si="853"/>
        <v>919508.51200000022</v>
      </c>
      <c r="O476" s="86">
        <f t="shared" si="853"/>
        <v>0</v>
      </c>
      <c r="P476" s="86">
        <f t="shared" si="853"/>
        <v>329184.04729599989</v>
      </c>
      <c r="Q476" s="86">
        <f t="shared" si="853"/>
        <v>13332.873424000003</v>
      </c>
      <c r="R476" s="86">
        <f t="shared" si="853"/>
        <v>1028.4559999999999</v>
      </c>
      <c r="S476" s="86">
        <f t="shared" si="853"/>
        <v>87068.719999999987</v>
      </c>
      <c r="T476" s="86">
        <f t="shared" si="853"/>
        <v>7536.9600000000009</v>
      </c>
      <c r="U476" s="86">
        <f t="shared" si="853"/>
        <v>2961.3599999999997</v>
      </c>
      <c r="V476" s="86">
        <f t="shared" si="853"/>
        <v>1360620.9287199993</v>
      </c>
      <c r="W476" s="86">
        <f t="shared" si="853"/>
        <v>0</v>
      </c>
      <c r="X476" s="86">
        <f t="shared" si="853"/>
        <v>0</v>
      </c>
      <c r="Y476" s="314">
        <f t="shared" si="853"/>
        <v>1360620.9287199993</v>
      </c>
    </row>
    <row r="477" spans="1:25" ht="12.75" customHeight="1" x14ac:dyDescent="0.2">
      <c r="A477" s="84"/>
      <c r="B477" s="85"/>
      <c r="C477" s="85">
        <f t="shared" si="854"/>
        <v>7</v>
      </c>
      <c r="D477" s="85"/>
      <c r="E477" s="85"/>
      <c r="F477" s="85"/>
      <c r="G477" s="85"/>
      <c r="H477" s="85"/>
      <c r="I477" s="85" t="s">
        <v>684</v>
      </c>
      <c r="J477" s="85"/>
      <c r="K477" s="86"/>
      <c r="L477" s="86">
        <f t="shared" si="855"/>
        <v>14560</v>
      </c>
      <c r="M477" s="86">
        <f t="shared" si="853"/>
        <v>0</v>
      </c>
      <c r="N477" s="86">
        <f t="shared" si="853"/>
        <v>306654.40000000002</v>
      </c>
      <c r="O477" s="86">
        <f t="shared" si="853"/>
        <v>0</v>
      </c>
      <c r="P477" s="86">
        <f t="shared" si="853"/>
        <v>109782.2752</v>
      </c>
      <c r="Q477" s="86">
        <f t="shared" si="853"/>
        <v>4446.4888000000001</v>
      </c>
      <c r="R477" s="86">
        <f t="shared" si="853"/>
        <v>0</v>
      </c>
      <c r="S477" s="86">
        <f t="shared" si="853"/>
        <v>18022.8</v>
      </c>
      <c r="T477" s="86">
        <f t="shared" si="853"/>
        <v>1999.92</v>
      </c>
      <c r="U477" s="86">
        <f t="shared" si="853"/>
        <v>356.4</v>
      </c>
      <c r="V477" s="86">
        <f t="shared" si="853"/>
        <v>441262.28399999999</v>
      </c>
      <c r="W477" s="86">
        <f t="shared" si="853"/>
        <v>0</v>
      </c>
      <c r="X477" s="86">
        <f t="shared" si="853"/>
        <v>0</v>
      </c>
      <c r="Y477" s="314">
        <f t="shared" si="853"/>
        <v>441262.28399999999</v>
      </c>
    </row>
    <row r="478" spans="1:25" ht="12.75" customHeight="1" x14ac:dyDescent="0.2">
      <c r="A478" s="84"/>
      <c r="B478" s="85"/>
      <c r="C478" s="85">
        <f t="shared" si="854"/>
        <v>11</v>
      </c>
      <c r="D478" s="85"/>
      <c r="E478" s="85"/>
      <c r="F478" s="85"/>
      <c r="G478" s="85"/>
      <c r="H478" s="85"/>
      <c r="I478" s="85" t="s">
        <v>33</v>
      </c>
      <c r="J478" s="85"/>
      <c r="K478" s="86"/>
      <c r="L478" s="86">
        <f t="shared" si="855"/>
        <v>22880</v>
      </c>
      <c r="M478" s="86">
        <f t="shared" si="853"/>
        <v>0</v>
      </c>
      <c r="N478" s="86">
        <f t="shared" si="853"/>
        <v>395752.76</v>
      </c>
      <c r="O478" s="86">
        <f t="shared" si="853"/>
        <v>0</v>
      </c>
      <c r="P478" s="86">
        <f t="shared" si="853"/>
        <v>141679.48807999998</v>
      </c>
      <c r="Q478" s="86">
        <f t="shared" si="853"/>
        <v>5738.4150200000004</v>
      </c>
      <c r="R478" s="86">
        <f t="shared" si="853"/>
        <v>0</v>
      </c>
      <c r="S478" s="86">
        <f t="shared" si="853"/>
        <v>42083.28</v>
      </c>
      <c r="T478" s="86">
        <f t="shared" si="853"/>
        <v>4155.6000000000004</v>
      </c>
      <c r="U478" s="86">
        <f t="shared" si="853"/>
        <v>1587.6</v>
      </c>
      <c r="V478" s="86">
        <f t="shared" si="853"/>
        <v>590997.14309999999</v>
      </c>
      <c r="W478" s="86">
        <f t="shared" si="853"/>
        <v>0</v>
      </c>
      <c r="X478" s="86">
        <f t="shared" si="853"/>
        <v>0</v>
      </c>
      <c r="Y478" s="314">
        <f t="shared" si="853"/>
        <v>590997.14309999999</v>
      </c>
    </row>
    <row r="479" spans="1:25" ht="12.75" customHeight="1" x14ac:dyDescent="0.2">
      <c r="A479" s="84"/>
      <c r="B479" s="85"/>
      <c r="C479" s="85">
        <f t="shared" si="854"/>
        <v>0</v>
      </c>
      <c r="D479" s="85"/>
      <c r="E479" s="85"/>
      <c r="F479" s="85"/>
      <c r="G479" s="85"/>
      <c r="H479" s="85"/>
      <c r="I479" s="85" t="s">
        <v>35</v>
      </c>
      <c r="J479" s="85"/>
      <c r="K479" s="85"/>
      <c r="L479" s="86">
        <f t="shared" si="855"/>
        <v>0</v>
      </c>
      <c r="M479" s="86">
        <f t="shared" si="853"/>
        <v>0</v>
      </c>
      <c r="N479" s="86">
        <f t="shared" si="853"/>
        <v>0</v>
      </c>
      <c r="O479" s="86">
        <f t="shared" si="853"/>
        <v>0</v>
      </c>
      <c r="P479" s="86">
        <f t="shared" si="853"/>
        <v>0</v>
      </c>
      <c r="Q479" s="86">
        <f t="shared" si="853"/>
        <v>0</v>
      </c>
      <c r="R479" s="86">
        <f t="shared" si="853"/>
        <v>0</v>
      </c>
      <c r="S479" s="86">
        <f t="shared" si="853"/>
        <v>0</v>
      </c>
      <c r="T479" s="86">
        <f t="shared" si="853"/>
        <v>0</v>
      </c>
      <c r="U479" s="86">
        <f t="shared" si="853"/>
        <v>0</v>
      </c>
      <c r="V479" s="86">
        <f t="shared" si="853"/>
        <v>0</v>
      </c>
      <c r="W479" s="86">
        <f t="shared" si="853"/>
        <v>0</v>
      </c>
      <c r="X479" s="86">
        <f t="shared" si="853"/>
        <v>0</v>
      </c>
      <c r="Y479" s="314">
        <f t="shared" si="853"/>
        <v>0</v>
      </c>
    </row>
    <row r="480" spans="1:25" ht="12.75" customHeight="1" x14ac:dyDescent="0.2">
      <c r="A480" s="84"/>
      <c r="B480" s="85"/>
      <c r="C480" s="85">
        <f t="shared" si="854"/>
        <v>30</v>
      </c>
      <c r="D480" s="85"/>
      <c r="E480" s="85"/>
      <c r="F480" s="85"/>
      <c r="G480" s="85"/>
      <c r="H480" s="85"/>
      <c r="I480" s="108" t="s">
        <v>39</v>
      </c>
      <c r="J480" s="85"/>
      <c r="K480" s="85"/>
      <c r="L480" s="86">
        <f t="shared" si="855"/>
        <v>61360</v>
      </c>
      <c r="M480" s="86">
        <f t="shared" si="855"/>
        <v>0</v>
      </c>
      <c r="N480" s="86">
        <f t="shared" si="855"/>
        <v>647899.19999999995</v>
      </c>
      <c r="O480" s="86">
        <f t="shared" si="855"/>
        <v>0</v>
      </c>
      <c r="P480" s="86">
        <f t="shared" si="855"/>
        <v>231947.91359999997</v>
      </c>
      <c r="Q480" s="86">
        <f t="shared" si="855"/>
        <v>9394.5384000000013</v>
      </c>
      <c r="R480" s="86">
        <f t="shared" si="855"/>
        <v>1094.8704</v>
      </c>
      <c r="S480" s="86">
        <f t="shared" si="855"/>
        <v>61404.480000000003</v>
      </c>
      <c r="T480" s="86">
        <f t="shared" si="855"/>
        <v>5133.6000000000004</v>
      </c>
      <c r="U480" s="86">
        <f t="shared" si="855"/>
        <v>1036.8</v>
      </c>
      <c r="V480" s="86">
        <f t="shared" si="855"/>
        <v>957911.40240000002</v>
      </c>
      <c r="W480" s="86">
        <f t="shared" si="855"/>
        <v>0</v>
      </c>
      <c r="X480" s="86">
        <f t="shared" si="855"/>
        <v>0</v>
      </c>
      <c r="Y480" s="314">
        <f t="shared" si="855"/>
        <v>957911.40240000002</v>
      </c>
    </row>
    <row r="481" spans="1:25" ht="12.75" customHeight="1" x14ac:dyDescent="0.2">
      <c r="A481" s="84"/>
      <c r="B481" s="85"/>
      <c r="C481" s="85">
        <f t="shared" si="854"/>
        <v>16</v>
      </c>
      <c r="D481" s="85"/>
      <c r="E481" s="85"/>
      <c r="F481" s="85"/>
      <c r="G481" s="85"/>
      <c r="H481" s="85"/>
      <c r="I481" s="108" t="s">
        <v>34</v>
      </c>
      <c r="J481" s="85"/>
      <c r="K481" s="85"/>
      <c r="L481" s="86">
        <f t="shared" ref="L481:Y481" si="856">SUMIFS(L$29:L$462,$I$29:$I$462,$I481,$H$29:$H$462,"1")</f>
        <v>33280</v>
      </c>
      <c r="M481" s="86">
        <f t="shared" si="856"/>
        <v>0</v>
      </c>
      <c r="N481" s="86">
        <f t="shared" si="856"/>
        <v>328116.8</v>
      </c>
      <c r="O481" s="86">
        <f t="shared" si="856"/>
        <v>0</v>
      </c>
      <c r="P481" s="86">
        <f t="shared" si="856"/>
        <v>117465.81439999999</v>
      </c>
      <c r="Q481" s="86">
        <f t="shared" si="856"/>
        <v>4757.6935999999987</v>
      </c>
      <c r="R481" s="86">
        <f t="shared" si="856"/>
        <v>0</v>
      </c>
      <c r="S481" s="86">
        <f t="shared" si="856"/>
        <v>42742.2</v>
      </c>
      <c r="T481" s="86">
        <f t="shared" si="856"/>
        <v>3762.72</v>
      </c>
      <c r="U481" s="86">
        <f t="shared" si="856"/>
        <v>894.24</v>
      </c>
      <c r="V481" s="86">
        <f t="shared" si="856"/>
        <v>497739.46799999994</v>
      </c>
      <c r="W481" s="86">
        <f t="shared" si="856"/>
        <v>0</v>
      </c>
      <c r="X481" s="86">
        <f t="shared" si="856"/>
        <v>0</v>
      </c>
      <c r="Y481" s="314">
        <f t="shared" si="856"/>
        <v>497739.46799999994</v>
      </c>
    </row>
    <row r="482" spans="1:25" ht="13.5" thickBot="1" x14ac:dyDescent="0.25">
      <c r="A482" s="29"/>
      <c r="B482" s="29"/>
      <c r="C482" s="29"/>
      <c r="D482" s="29"/>
      <c r="E482" s="29"/>
      <c r="F482" s="29"/>
      <c r="G482" s="29"/>
      <c r="H482" s="29"/>
      <c r="I482" s="37"/>
      <c r="J482" s="29"/>
      <c r="K482" s="29"/>
      <c r="L482" s="29"/>
      <c r="M482" s="29"/>
      <c r="N482" s="29"/>
      <c r="O482" s="29"/>
      <c r="P482" s="29"/>
      <c r="Q482" s="29"/>
      <c r="R482" s="29"/>
      <c r="S482" s="29"/>
      <c r="T482" s="29"/>
      <c r="U482" s="29"/>
      <c r="V482" s="29"/>
      <c r="W482" s="29"/>
      <c r="X482" s="29"/>
      <c r="Y482" s="29"/>
    </row>
    <row r="483" spans="1:25" ht="13.5" thickBot="1" x14ac:dyDescent="0.25">
      <c r="A483" s="230"/>
      <c r="B483" s="230"/>
      <c r="C483" s="230">
        <f t="shared" ref="C483" si="857">C463-SUM(C464:C481)</f>
        <v>7</v>
      </c>
      <c r="D483" s="230" t="s">
        <v>1084</v>
      </c>
      <c r="E483" s="230"/>
      <c r="F483" s="230"/>
      <c r="G483" s="230"/>
      <c r="H483" s="230"/>
      <c r="I483" s="230"/>
      <c r="J483" s="230"/>
      <c r="K483" s="230"/>
      <c r="L483" s="230">
        <f t="shared" ref="L483:Y483" si="858">L463-SUM(L464:L481)</f>
        <v>12480</v>
      </c>
      <c r="M483" s="230">
        <f t="shared" si="858"/>
        <v>0</v>
      </c>
      <c r="N483" s="230">
        <f t="shared" si="858"/>
        <v>1.0244548320770264E-8</v>
      </c>
      <c r="O483" s="230">
        <f t="shared" si="858"/>
        <v>0</v>
      </c>
      <c r="P483" s="230">
        <f t="shared" si="858"/>
        <v>0</v>
      </c>
      <c r="Q483" s="230">
        <f t="shared" si="858"/>
        <v>0</v>
      </c>
      <c r="R483" s="230">
        <f t="shared" si="858"/>
        <v>0</v>
      </c>
      <c r="S483" s="230">
        <f t="shared" si="858"/>
        <v>0</v>
      </c>
      <c r="T483" s="230">
        <f t="shared" si="858"/>
        <v>0</v>
      </c>
      <c r="U483" s="230">
        <f t="shared" si="858"/>
        <v>0</v>
      </c>
      <c r="V483" s="230">
        <f t="shared" si="858"/>
        <v>0</v>
      </c>
      <c r="W483" s="230">
        <f t="shared" si="858"/>
        <v>0</v>
      </c>
      <c r="X483" s="230">
        <f t="shared" si="858"/>
        <v>0</v>
      </c>
      <c r="Y483" s="230">
        <f t="shared" si="858"/>
        <v>0</v>
      </c>
    </row>
    <row r="485" spans="1:25" x14ac:dyDescent="0.2">
      <c r="A485" s="36" t="s">
        <v>376</v>
      </c>
      <c r="B485" s="36"/>
      <c r="E485" s="36"/>
    </row>
    <row r="486" spans="1:25" x14ac:dyDescent="0.2">
      <c r="C486" s="732" t="s">
        <v>1588</v>
      </c>
    </row>
    <row r="487" spans="1:25" x14ac:dyDescent="0.2">
      <c r="A487" s="1" t="s">
        <v>377</v>
      </c>
      <c r="B487" s="1"/>
      <c r="E487" s="1"/>
    </row>
    <row r="488" spans="1:25" x14ac:dyDescent="0.2">
      <c r="A488" s="1" t="s">
        <v>378</v>
      </c>
      <c r="B488" s="1"/>
      <c r="E488" s="1"/>
    </row>
    <row r="492" spans="1:25" x14ac:dyDescent="0.2">
      <c r="A492" s="36" t="s">
        <v>380</v>
      </c>
      <c r="D492" s="39" t="s">
        <v>381</v>
      </c>
      <c r="F492" s="39" t="s">
        <v>382</v>
      </c>
      <c r="K492" s="39"/>
      <c r="L492" s="39"/>
      <c r="M492" s="39"/>
      <c r="N492" s="39"/>
      <c r="O492" s="39"/>
      <c r="P492" s="39"/>
    </row>
    <row r="493" spans="1:25" x14ac:dyDescent="0.2">
      <c r="A493" s="1" t="s">
        <v>377</v>
      </c>
    </row>
    <row r="494" spans="1:25" x14ac:dyDescent="0.2">
      <c r="A494" s="1" t="s">
        <v>378</v>
      </c>
    </row>
    <row r="506" spans="1:25" x14ac:dyDescent="0.2">
      <c r="I506" s="1"/>
    </row>
    <row r="507" spans="1:25" x14ac:dyDescent="0.2">
      <c r="I507" s="1"/>
    </row>
    <row r="508" spans="1:25" x14ac:dyDescent="0.2">
      <c r="I508" s="34"/>
    </row>
    <row r="509" spans="1:25" x14ac:dyDescent="0.2">
      <c r="I509" s="16"/>
    </row>
    <row r="510" spans="1:25" x14ac:dyDescent="0.2">
      <c r="I510" s="16"/>
    </row>
    <row r="511" spans="1:25" x14ac:dyDescent="0.2">
      <c r="A511" s="84"/>
      <c r="B511" s="85"/>
      <c r="C511" s="442">
        <f>COUNTIFS($I$29:$I$462,$I511,$H$29:$H$462,"1")</f>
        <v>0</v>
      </c>
      <c r="D511" s="85"/>
      <c r="E511" s="85"/>
      <c r="F511" s="85"/>
      <c r="G511" s="85"/>
      <c r="H511" s="85"/>
      <c r="I511" s="108"/>
      <c r="J511" s="85" t="s">
        <v>62</v>
      </c>
      <c r="K511" s="86"/>
      <c r="L511" s="86">
        <f>SUMIFS(L$29:L$462,$J$29:$J$462,$J511,$H$29:$H$462,"1")</f>
        <v>6420</v>
      </c>
      <c r="M511" s="86">
        <f t="shared" ref="M511:Y526" si="859">SUMIFS(M$29:M$462,$J$29:$J$462,$J511,$H$29:$H$462,"1")</f>
        <v>0</v>
      </c>
      <c r="N511" s="86">
        <f t="shared" si="859"/>
        <v>289298.71999999997</v>
      </c>
      <c r="O511" s="86">
        <f t="shared" si="859"/>
        <v>0</v>
      </c>
      <c r="P511" s="86">
        <f t="shared" si="859"/>
        <v>100346.94176</v>
      </c>
      <c r="Q511" s="86">
        <f t="shared" si="859"/>
        <v>4194.8314399999999</v>
      </c>
      <c r="R511" s="86">
        <f t="shared" si="859"/>
        <v>558</v>
      </c>
      <c r="S511" s="86">
        <f t="shared" si="859"/>
        <v>6742.08</v>
      </c>
      <c r="T511" s="86">
        <f t="shared" si="859"/>
        <v>723.84</v>
      </c>
      <c r="U511" s="86">
        <f t="shared" si="859"/>
        <v>324</v>
      </c>
      <c r="V511" s="86">
        <f t="shared" si="859"/>
        <v>402188.41320000001</v>
      </c>
      <c r="W511" s="86">
        <f t="shared" si="859"/>
        <v>0</v>
      </c>
      <c r="X511" s="86">
        <f t="shared" si="859"/>
        <v>0</v>
      </c>
      <c r="Y511" s="314">
        <f t="shared" si="859"/>
        <v>402188.41320000001</v>
      </c>
    </row>
    <row r="512" spans="1:25" x14ac:dyDescent="0.2">
      <c r="A512" s="84"/>
      <c r="B512" s="85"/>
      <c r="C512" s="442">
        <f t="shared" ref="C512:C574" si="860">COUNTIFS($I$29:$I$462,$I512,$H$29:$H$462,"1")</f>
        <v>0</v>
      </c>
      <c r="D512" s="85"/>
      <c r="E512" s="85"/>
      <c r="F512" s="85"/>
      <c r="G512" s="85"/>
      <c r="H512" s="85"/>
      <c r="I512" s="108"/>
      <c r="J512" s="85" t="s">
        <v>118</v>
      </c>
      <c r="K512" s="86"/>
      <c r="L512" s="86">
        <f t="shared" ref="L512:Y527" si="861">SUMIFS(L$29:L$462,$J$29:$J$462,$J512,$H$29:$H$462,"1")</f>
        <v>4160</v>
      </c>
      <c r="M512" s="86">
        <f t="shared" si="859"/>
        <v>0</v>
      </c>
      <c r="N512" s="86">
        <f t="shared" si="859"/>
        <v>2804.0480000000002</v>
      </c>
      <c r="O512" s="86">
        <f t="shared" si="859"/>
        <v>0</v>
      </c>
      <c r="P512" s="86">
        <f t="shared" si="859"/>
        <v>1003.8491839999999</v>
      </c>
      <c r="Q512" s="86">
        <f t="shared" si="859"/>
        <v>40.658696000000006</v>
      </c>
      <c r="R512" s="86">
        <f t="shared" si="859"/>
        <v>0</v>
      </c>
      <c r="S512" s="86">
        <f t="shared" si="859"/>
        <v>0</v>
      </c>
      <c r="T512" s="86">
        <f t="shared" si="859"/>
        <v>0</v>
      </c>
      <c r="U512" s="86">
        <f t="shared" si="859"/>
        <v>0</v>
      </c>
      <c r="V512" s="86">
        <f t="shared" si="859"/>
        <v>3848.5558799999999</v>
      </c>
      <c r="W512" s="86">
        <f t="shared" si="859"/>
        <v>0</v>
      </c>
      <c r="X512" s="86">
        <f t="shared" si="859"/>
        <v>0</v>
      </c>
      <c r="Y512" s="314">
        <f t="shared" si="859"/>
        <v>3848.5558799999999</v>
      </c>
    </row>
    <row r="513" spans="1:25" x14ac:dyDescent="0.2">
      <c r="A513" s="84"/>
      <c r="B513" s="85"/>
      <c r="C513" s="442">
        <f t="shared" si="860"/>
        <v>0</v>
      </c>
      <c r="D513" s="85"/>
      <c r="E513" s="85"/>
      <c r="F513" s="85"/>
      <c r="G513" s="85"/>
      <c r="H513" s="85"/>
      <c r="I513" s="108"/>
      <c r="J513" s="85" t="s">
        <v>119</v>
      </c>
      <c r="K513" s="86"/>
      <c r="L513" s="86">
        <f t="shared" si="861"/>
        <v>4160</v>
      </c>
      <c r="M513" s="86">
        <f t="shared" si="859"/>
        <v>0</v>
      </c>
      <c r="N513" s="86">
        <f t="shared" si="859"/>
        <v>2054</v>
      </c>
      <c r="O513" s="86">
        <f t="shared" si="859"/>
        <v>0</v>
      </c>
      <c r="P513" s="86">
        <f t="shared" si="859"/>
        <v>735.33199999999999</v>
      </c>
      <c r="Q513" s="86">
        <f t="shared" si="859"/>
        <v>29.783000000000001</v>
      </c>
      <c r="R513" s="86">
        <f t="shared" si="859"/>
        <v>0</v>
      </c>
      <c r="S513" s="86">
        <f t="shared" si="859"/>
        <v>0</v>
      </c>
      <c r="T513" s="86">
        <f t="shared" si="859"/>
        <v>0</v>
      </c>
      <c r="U513" s="86">
        <f t="shared" si="859"/>
        <v>0</v>
      </c>
      <c r="V513" s="86">
        <f t="shared" si="859"/>
        <v>2819.1149999999998</v>
      </c>
      <c r="W513" s="86">
        <f t="shared" si="859"/>
        <v>0</v>
      </c>
      <c r="X513" s="86">
        <f t="shared" si="859"/>
        <v>0</v>
      </c>
      <c r="Y513" s="314">
        <f t="shared" si="859"/>
        <v>2819.1149999999998</v>
      </c>
    </row>
    <row r="514" spans="1:25" x14ac:dyDescent="0.2">
      <c r="A514" s="84"/>
      <c r="B514" s="85"/>
      <c r="C514" s="442">
        <f t="shared" si="860"/>
        <v>0</v>
      </c>
      <c r="D514" s="85"/>
      <c r="E514" s="85"/>
      <c r="F514" s="85"/>
      <c r="G514" s="85"/>
      <c r="H514" s="85"/>
      <c r="I514" s="108"/>
      <c r="J514" s="85" t="s">
        <v>142</v>
      </c>
      <c r="K514" s="86"/>
      <c r="L514" s="86">
        <f t="shared" si="861"/>
        <v>0</v>
      </c>
      <c r="M514" s="86">
        <f t="shared" si="859"/>
        <v>0</v>
      </c>
      <c r="N514" s="86">
        <f t="shared" si="859"/>
        <v>0</v>
      </c>
      <c r="O514" s="86">
        <f t="shared" si="859"/>
        <v>0</v>
      </c>
      <c r="P514" s="86">
        <f t="shared" si="859"/>
        <v>0</v>
      </c>
      <c r="Q514" s="86">
        <f t="shared" si="859"/>
        <v>0</v>
      </c>
      <c r="R514" s="86">
        <f t="shared" si="859"/>
        <v>0</v>
      </c>
      <c r="S514" s="86">
        <f t="shared" si="859"/>
        <v>0</v>
      </c>
      <c r="T514" s="86">
        <f t="shared" si="859"/>
        <v>0</v>
      </c>
      <c r="U514" s="86">
        <f t="shared" si="859"/>
        <v>0</v>
      </c>
      <c r="V514" s="86">
        <f t="shared" si="859"/>
        <v>0</v>
      </c>
      <c r="W514" s="86">
        <f t="shared" si="859"/>
        <v>0</v>
      </c>
      <c r="X514" s="86">
        <f t="shared" si="859"/>
        <v>0</v>
      </c>
      <c r="Y514" s="314">
        <f t="shared" si="859"/>
        <v>0</v>
      </c>
    </row>
    <row r="515" spans="1:25" x14ac:dyDescent="0.2">
      <c r="A515" s="84"/>
      <c r="B515" s="85"/>
      <c r="C515" s="442">
        <f t="shared" si="860"/>
        <v>0</v>
      </c>
      <c r="D515" s="85"/>
      <c r="E515" s="85"/>
      <c r="F515" s="85"/>
      <c r="G515" s="85"/>
      <c r="H515" s="85"/>
      <c r="I515" s="108"/>
      <c r="J515" s="85" t="s">
        <v>161</v>
      </c>
      <c r="K515" s="86"/>
      <c r="L515" s="86">
        <f t="shared" si="861"/>
        <v>16640</v>
      </c>
      <c r="M515" s="86">
        <f t="shared" si="859"/>
        <v>0</v>
      </c>
      <c r="N515" s="86">
        <f t="shared" si="859"/>
        <v>49606.521119999998</v>
      </c>
      <c r="O515" s="86">
        <f t="shared" si="859"/>
        <v>0</v>
      </c>
      <c r="P515" s="86">
        <f t="shared" si="859"/>
        <v>17759.134560959999</v>
      </c>
      <c r="Q515" s="86">
        <f t="shared" si="859"/>
        <v>719.29455624000002</v>
      </c>
      <c r="R515" s="86">
        <f t="shared" si="859"/>
        <v>0</v>
      </c>
      <c r="S515" s="86">
        <f t="shared" si="859"/>
        <v>17799.12</v>
      </c>
      <c r="T515" s="86">
        <f t="shared" si="859"/>
        <v>1061.52</v>
      </c>
      <c r="U515" s="86">
        <f t="shared" si="859"/>
        <v>648</v>
      </c>
      <c r="V515" s="86">
        <f t="shared" si="859"/>
        <v>87593.590237199984</v>
      </c>
      <c r="W515" s="86">
        <f t="shared" si="859"/>
        <v>0</v>
      </c>
      <c r="X515" s="86">
        <f t="shared" si="859"/>
        <v>0</v>
      </c>
      <c r="Y515" s="314">
        <f t="shared" si="859"/>
        <v>87593.590237199984</v>
      </c>
    </row>
    <row r="516" spans="1:25" x14ac:dyDescent="0.2">
      <c r="A516" s="84"/>
      <c r="B516" s="85"/>
      <c r="C516" s="442">
        <f t="shared" si="860"/>
        <v>0</v>
      </c>
      <c r="D516" s="85"/>
      <c r="E516" s="85"/>
      <c r="F516" s="85"/>
      <c r="G516" s="85"/>
      <c r="H516" s="85"/>
      <c r="I516" s="108"/>
      <c r="J516" s="85" t="s">
        <v>1136</v>
      </c>
      <c r="K516" s="86"/>
      <c r="L516" s="86">
        <f t="shared" si="861"/>
        <v>22880</v>
      </c>
      <c r="M516" s="86">
        <f t="shared" si="859"/>
        <v>0</v>
      </c>
      <c r="N516" s="86">
        <f t="shared" si="859"/>
        <v>71564.977119999996</v>
      </c>
      <c r="O516" s="86">
        <f t="shared" si="859"/>
        <v>0</v>
      </c>
      <c r="P516" s="86">
        <f t="shared" si="859"/>
        <v>25620.261808959993</v>
      </c>
      <c r="Q516" s="86">
        <f t="shared" si="859"/>
        <v>1037.6921682399998</v>
      </c>
      <c r="R516" s="86">
        <f t="shared" si="859"/>
        <v>0</v>
      </c>
      <c r="S516" s="86">
        <f t="shared" si="859"/>
        <v>0</v>
      </c>
      <c r="T516" s="86">
        <f t="shared" si="859"/>
        <v>0</v>
      </c>
      <c r="U516" s="86">
        <f t="shared" si="859"/>
        <v>0</v>
      </c>
      <c r="V516" s="86">
        <f t="shared" si="859"/>
        <v>98222.931097199995</v>
      </c>
      <c r="W516" s="86">
        <f t="shared" si="859"/>
        <v>0</v>
      </c>
      <c r="X516" s="86">
        <f t="shared" si="859"/>
        <v>0</v>
      </c>
      <c r="Y516" s="314">
        <f t="shared" si="859"/>
        <v>98222.931097199995</v>
      </c>
    </row>
    <row r="517" spans="1:25" s="432" customFormat="1" x14ac:dyDescent="0.2">
      <c r="A517" s="84"/>
      <c r="B517" s="85"/>
      <c r="C517" s="442">
        <f t="shared" si="860"/>
        <v>0</v>
      </c>
      <c r="D517" s="85"/>
      <c r="E517" s="85"/>
      <c r="F517" s="85"/>
      <c r="G517" s="85"/>
      <c r="H517" s="85"/>
      <c r="I517" s="108"/>
      <c r="J517" s="669" t="s">
        <v>1475</v>
      </c>
      <c r="K517" s="86"/>
      <c r="L517" s="86">
        <f t="shared" si="861"/>
        <v>2080</v>
      </c>
      <c r="M517" s="86">
        <f t="shared" si="859"/>
        <v>0</v>
      </c>
      <c r="N517" s="86">
        <f t="shared" si="859"/>
        <v>4825.5999999999995</v>
      </c>
      <c r="O517" s="86">
        <f t="shared" si="859"/>
        <v>0</v>
      </c>
      <c r="P517" s="86">
        <f t="shared" si="859"/>
        <v>1727.5647999999997</v>
      </c>
      <c r="Q517" s="86">
        <f t="shared" si="859"/>
        <v>69.971199999999996</v>
      </c>
      <c r="R517" s="86">
        <f t="shared" si="859"/>
        <v>0</v>
      </c>
      <c r="S517" s="86">
        <f t="shared" si="859"/>
        <v>0</v>
      </c>
      <c r="T517" s="86">
        <f t="shared" si="859"/>
        <v>0</v>
      </c>
      <c r="U517" s="86">
        <f t="shared" si="859"/>
        <v>0</v>
      </c>
      <c r="V517" s="86">
        <f t="shared" si="859"/>
        <v>6623.1359999999986</v>
      </c>
      <c r="W517" s="86">
        <f t="shared" si="859"/>
        <v>0</v>
      </c>
      <c r="X517" s="86">
        <f t="shared" si="859"/>
        <v>0</v>
      </c>
      <c r="Y517" s="314">
        <f t="shared" si="859"/>
        <v>6623.1359999999986</v>
      </c>
    </row>
    <row r="518" spans="1:25" x14ac:dyDescent="0.2">
      <c r="A518" s="84"/>
      <c r="B518" s="85"/>
      <c r="C518" s="442">
        <f t="shared" si="860"/>
        <v>0</v>
      </c>
      <c r="D518" s="85"/>
      <c r="E518" s="85"/>
      <c r="F518" s="85"/>
      <c r="G518" s="85"/>
      <c r="H518" s="85"/>
      <c r="I518" s="108"/>
      <c r="J518" s="85" t="s">
        <v>133</v>
      </c>
      <c r="K518" s="86"/>
      <c r="L518" s="86">
        <f t="shared" si="861"/>
        <v>24960</v>
      </c>
      <c r="M518" s="86">
        <f t="shared" si="859"/>
        <v>0</v>
      </c>
      <c r="N518" s="86">
        <f t="shared" si="859"/>
        <v>118465.47439999999</v>
      </c>
      <c r="O518" s="86">
        <f t="shared" si="859"/>
        <v>0</v>
      </c>
      <c r="P518" s="86">
        <f t="shared" si="859"/>
        <v>42410.639835199996</v>
      </c>
      <c r="Q518" s="86">
        <f t="shared" si="859"/>
        <v>1717.7493788000002</v>
      </c>
      <c r="R518" s="86">
        <f t="shared" si="859"/>
        <v>0</v>
      </c>
      <c r="S518" s="86">
        <f t="shared" si="859"/>
        <v>32850.28</v>
      </c>
      <c r="T518" s="86">
        <f t="shared" si="859"/>
        <v>1912.8</v>
      </c>
      <c r="U518" s="86">
        <f t="shared" si="859"/>
        <v>680.4</v>
      </c>
      <c r="V518" s="86">
        <f t="shared" si="859"/>
        <v>198037.34361400001</v>
      </c>
      <c r="W518" s="86">
        <f t="shared" si="859"/>
        <v>0</v>
      </c>
      <c r="X518" s="86">
        <f t="shared" si="859"/>
        <v>0</v>
      </c>
      <c r="Y518" s="314">
        <f t="shared" si="859"/>
        <v>198037.34361400001</v>
      </c>
    </row>
    <row r="519" spans="1:25" x14ac:dyDescent="0.2">
      <c r="A519" s="84"/>
      <c r="B519" s="85"/>
      <c r="C519" s="442">
        <f t="shared" si="860"/>
        <v>0</v>
      </c>
      <c r="D519" s="85"/>
      <c r="E519" s="85"/>
      <c r="F519" s="85"/>
      <c r="G519" s="85"/>
      <c r="H519" s="85"/>
      <c r="I519" s="108"/>
      <c r="J519" s="85" t="s">
        <v>136</v>
      </c>
      <c r="K519" s="86"/>
      <c r="L519" s="86">
        <f t="shared" si="861"/>
        <v>8320</v>
      </c>
      <c r="M519" s="86">
        <f t="shared" si="859"/>
        <v>0</v>
      </c>
      <c r="N519" s="86">
        <f t="shared" si="859"/>
        <v>20499.360959999998</v>
      </c>
      <c r="O519" s="86">
        <f t="shared" si="859"/>
        <v>0</v>
      </c>
      <c r="P519" s="86">
        <f t="shared" si="859"/>
        <v>7338.7712236800007</v>
      </c>
      <c r="Q519" s="86">
        <f t="shared" si="859"/>
        <v>297.24073392000003</v>
      </c>
      <c r="R519" s="86">
        <f t="shared" si="859"/>
        <v>0</v>
      </c>
      <c r="S519" s="86">
        <f t="shared" si="859"/>
        <v>6485.04</v>
      </c>
      <c r="T519" s="86">
        <f t="shared" si="859"/>
        <v>723.84</v>
      </c>
      <c r="U519" s="86">
        <f t="shared" si="859"/>
        <v>0</v>
      </c>
      <c r="V519" s="86">
        <f t="shared" si="859"/>
        <v>35344.252917599995</v>
      </c>
      <c r="W519" s="86">
        <f t="shared" si="859"/>
        <v>0</v>
      </c>
      <c r="X519" s="86">
        <f t="shared" si="859"/>
        <v>0</v>
      </c>
      <c r="Y519" s="314">
        <f t="shared" si="859"/>
        <v>35344.252917599995</v>
      </c>
    </row>
    <row r="520" spans="1:25" x14ac:dyDescent="0.2">
      <c r="A520" s="84"/>
      <c r="B520" s="85"/>
      <c r="C520" s="442">
        <f t="shared" si="860"/>
        <v>0</v>
      </c>
      <c r="D520" s="85"/>
      <c r="E520" s="85"/>
      <c r="F520" s="85"/>
      <c r="G520" s="85"/>
      <c r="H520" s="85"/>
      <c r="I520" s="108"/>
      <c r="J520" s="85" t="s">
        <v>134</v>
      </c>
      <c r="K520" s="86"/>
      <c r="L520" s="86">
        <f t="shared" si="861"/>
        <v>10400</v>
      </c>
      <c r="M520" s="86">
        <f t="shared" si="859"/>
        <v>0</v>
      </c>
      <c r="N520" s="86">
        <f t="shared" si="859"/>
        <v>36115.792959999999</v>
      </c>
      <c r="O520" s="86">
        <f t="shared" si="859"/>
        <v>0</v>
      </c>
      <c r="P520" s="86">
        <f t="shared" si="859"/>
        <v>12929.453879679999</v>
      </c>
      <c r="Q520" s="86">
        <f t="shared" si="859"/>
        <v>523.67899791999992</v>
      </c>
      <c r="R520" s="86">
        <f t="shared" si="859"/>
        <v>0</v>
      </c>
      <c r="S520" s="86">
        <f t="shared" si="859"/>
        <v>5657.04</v>
      </c>
      <c r="T520" s="86">
        <f t="shared" si="859"/>
        <v>774.24</v>
      </c>
      <c r="U520" s="86">
        <f t="shared" si="859"/>
        <v>0</v>
      </c>
      <c r="V520" s="86">
        <f t="shared" si="859"/>
        <v>56000.205837600006</v>
      </c>
      <c r="W520" s="86">
        <f t="shared" si="859"/>
        <v>0</v>
      </c>
      <c r="X520" s="86">
        <f t="shared" si="859"/>
        <v>0</v>
      </c>
      <c r="Y520" s="314">
        <f t="shared" si="859"/>
        <v>56000.205837600006</v>
      </c>
    </row>
    <row r="521" spans="1:25" x14ac:dyDescent="0.2">
      <c r="A521" s="84"/>
      <c r="B521" s="85"/>
      <c r="C521" s="442">
        <f t="shared" si="860"/>
        <v>0</v>
      </c>
      <c r="D521" s="85"/>
      <c r="E521" s="85"/>
      <c r="F521" s="85"/>
      <c r="G521" s="85"/>
      <c r="H521" s="85"/>
      <c r="I521" s="108"/>
      <c r="J521" s="85" t="s">
        <v>131</v>
      </c>
      <c r="K521" s="86"/>
      <c r="L521" s="86">
        <f t="shared" si="861"/>
        <v>10400</v>
      </c>
      <c r="M521" s="86">
        <f t="shared" si="859"/>
        <v>0</v>
      </c>
      <c r="N521" s="86">
        <f t="shared" si="859"/>
        <v>45019.520000000004</v>
      </c>
      <c r="O521" s="86">
        <f t="shared" si="859"/>
        <v>0</v>
      </c>
      <c r="P521" s="86">
        <f t="shared" si="859"/>
        <v>16116.988159999999</v>
      </c>
      <c r="Q521" s="86">
        <f t="shared" si="859"/>
        <v>652.78304000000003</v>
      </c>
      <c r="R521" s="86">
        <f t="shared" si="859"/>
        <v>0</v>
      </c>
      <c r="S521" s="86">
        <f t="shared" si="859"/>
        <v>5657.04</v>
      </c>
      <c r="T521" s="86">
        <f t="shared" si="859"/>
        <v>0</v>
      </c>
      <c r="U521" s="86">
        <f t="shared" si="859"/>
        <v>324</v>
      </c>
      <c r="V521" s="86">
        <f t="shared" si="859"/>
        <v>67770.331200000001</v>
      </c>
      <c r="W521" s="86">
        <f t="shared" si="859"/>
        <v>0</v>
      </c>
      <c r="X521" s="86">
        <f t="shared" si="859"/>
        <v>0</v>
      </c>
      <c r="Y521" s="314">
        <f t="shared" si="859"/>
        <v>67770.331200000001</v>
      </c>
    </row>
    <row r="522" spans="1:25" x14ac:dyDescent="0.2">
      <c r="A522" s="84"/>
      <c r="B522" s="85"/>
      <c r="C522" s="442">
        <f t="shared" si="860"/>
        <v>0</v>
      </c>
      <c r="D522" s="85"/>
      <c r="E522" s="85"/>
      <c r="F522" s="85"/>
      <c r="G522" s="85"/>
      <c r="H522" s="85"/>
      <c r="I522" s="108"/>
      <c r="J522" s="85" t="s">
        <v>137</v>
      </c>
      <c r="K522" s="86"/>
      <c r="L522" s="86">
        <f t="shared" si="861"/>
        <v>12480</v>
      </c>
      <c r="M522" s="86">
        <f t="shared" si="859"/>
        <v>0</v>
      </c>
      <c r="N522" s="86">
        <f t="shared" si="859"/>
        <v>29924.219519999999</v>
      </c>
      <c r="O522" s="86">
        <f t="shared" si="859"/>
        <v>0</v>
      </c>
      <c r="P522" s="86">
        <f t="shared" si="859"/>
        <v>10712.870588159998</v>
      </c>
      <c r="Q522" s="86">
        <f t="shared" si="859"/>
        <v>433.90118303999998</v>
      </c>
      <c r="R522" s="86">
        <f t="shared" si="859"/>
        <v>0</v>
      </c>
      <c r="S522" s="86">
        <f t="shared" si="859"/>
        <v>0</v>
      </c>
      <c r="T522" s="86">
        <f t="shared" si="859"/>
        <v>0</v>
      </c>
      <c r="U522" s="86">
        <f t="shared" si="859"/>
        <v>0</v>
      </c>
      <c r="V522" s="86">
        <f t="shared" si="859"/>
        <v>41070.9912912</v>
      </c>
      <c r="W522" s="86">
        <f t="shared" si="859"/>
        <v>0</v>
      </c>
      <c r="X522" s="86">
        <f t="shared" si="859"/>
        <v>0</v>
      </c>
      <c r="Y522" s="314">
        <f t="shared" si="859"/>
        <v>41070.9912912</v>
      </c>
    </row>
    <row r="523" spans="1:25" x14ac:dyDescent="0.2">
      <c r="A523" s="84"/>
      <c r="B523" s="85"/>
      <c r="C523" s="442">
        <f t="shared" si="860"/>
        <v>0</v>
      </c>
      <c r="D523" s="85"/>
      <c r="E523" s="85"/>
      <c r="F523" s="85"/>
      <c r="G523" s="85"/>
      <c r="H523" s="85"/>
      <c r="I523" s="108"/>
      <c r="J523" s="85" t="s">
        <v>132</v>
      </c>
      <c r="K523" s="86"/>
      <c r="L523" s="86">
        <f t="shared" si="861"/>
        <v>0</v>
      </c>
      <c r="M523" s="86">
        <f t="shared" si="859"/>
        <v>0</v>
      </c>
      <c r="N523" s="86">
        <f t="shared" si="859"/>
        <v>0</v>
      </c>
      <c r="O523" s="86">
        <f t="shared" si="859"/>
        <v>0</v>
      </c>
      <c r="P523" s="86">
        <f t="shared" si="859"/>
        <v>0</v>
      </c>
      <c r="Q523" s="86">
        <f t="shared" si="859"/>
        <v>0</v>
      </c>
      <c r="R523" s="86">
        <f t="shared" si="859"/>
        <v>0</v>
      </c>
      <c r="S523" s="86">
        <f t="shared" si="859"/>
        <v>0</v>
      </c>
      <c r="T523" s="86">
        <f t="shared" si="859"/>
        <v>0</v>
      </c>
      <c r="U523" s="86">
        <f t="shared" si="859"/>
        <v>0</v>
      </c>
      <c r="V523" s="86">
        <f t="shared" si="859"/>
        <v>0</v>
      </c>
      <c r="W523" s="86">
        <f t="shared" si="859"/>
        <v>0</v>
      </c>
      <c r="X523" s="86">
        <f t="shared" si="859"/>
        <v>0</v>
      </c>
      <c r="Y523" s="314">
        <f t="shared" si="859"/>
        <v>0</v>
      </c>
    </row>
    <row r="524" spans="1:25" x14ac:dyDescent="0.2">
      <c r="A524" s="84"/>
      <c r="B524" s="85"/>
      <c r="C524" s="442">
        <f t="shared" si="860"/>
        <v>0</v>
      </c>
      <c r="D524" s="85"/>
      <c r="E524" s="85"/>
      <c r="F524" s="85"/>
      <c r="G524" s="85"/>
      <c r="H524" s="85"/>
      <c r="I524" s="108"/>
      <c r="J524" s="85" t="s">
        <v>160</v>
      </c>
      <c r="K524" s="86"/>
      <c r="L524" s="86">
        <f t="shared" si="861"/>
        <v>8320</v>
      </c>
      <c r="M524" s="86">
        <f t="shared" si="859"/>
        <v>0</v>
      </c>
      <c r="N524" s="86">
        <f t="shared" si="859"/>
        <v>20534.175999999999</v>
      </c>
      <c r="O524" s="86">
        <f t="shared" si="859"/>
        <v>0</v>
      </c>
      <c r="P524" s="86">
        <f t="shared" si="859"/>
        <v>7351.2350079999997</v>
      </c>
      <c r="Q524" s="86">
        <f t="shared" si="859"/>
        <v>297.74555200000009</v>
      </c>
      <c r="R524" s="86">
        <f t="shared" si="859"/>
        <v>0</v>
      </c>
      <c r="S524" s="86">
        <f t="shared" si="859"/>
        <v>0</v>
      </c>
      <c r="T524" s="86">
        <f t="shared" si="859"/>
        <v>0</v>
      </c>
      <c r="U524" s="86">
        <f t="shared" si="859"/>
        <v>0</v>
      </c>
      <c r="V524" s="86">
        <f t="shared" si="859"/>
        <v>28183.156560000003</v>
      </c>
      <c r="W524" s="86">
        <f t="shared" si="859"/>
        <v>0</v>
      </c>
      <c r="X524" s="86">
        <f t="shared" si="859"/>
        <v>0</v>
      </c>
      <c r="Y524" s="314">
        <f t="shared" si="859"/>
        <v>28183.156560000003</v>
      </c>
    </row>
    <row r="525" spans="1:25" x14ac:dyDescent="0.2">
      <c r="A525" s="84"/>
      <c r="B525" s="85"/>
      <c r="C525" s="442">
        <f t="shared" si="860"/>
        <v>0</v>
      </c>
      <c r="D525" s="85"/>
      <c r="E525" s="85"/>
      <c r="F525" s="85"/>
      <c r="G525" s="85"/>
      <c r="H525" s="85"/>
      <c r="I525" s="108"/>
      <c r="J525" s="85" t="s">
        <v>135</v>
      </c>
      <c r="K525" s="86"/>
      <c r="L525" s="86">
        <f t="shared" si="861"/>
        <v>14560</v>
      </c>
      <c r="M525" s="86">
        <f t="shared" si="859"/>
        <v>0</v>
      </c>
      <c r="N525" s="86">
        <f t="shared" si="859"/>
        <v>32831.267039999999</v>
      </c>
      <c r="O525" s="86">
        <f t="shared" si="859"/>
        <v>0</v>
      </c>
      <c r="P525" s="86">
        <f t="shared" si="859"/>
        <v>11753.593600319999</v>
      </c>
      <c r="Q525" s="86">
        <f t="shared" si="859"/>
        <v>476.05337207999997</v>
      </c>
      <c r="R525" s="86">
        <f t="shared" si="859"/>
        <v>0</v>
      </c>
      <c r="S525" s="86">
        <f t="shared" si="859"/>
        <v>0</v>
      </c>
      <c r="T525" s="86">
        <f t="shared" si="859"/>
        <v>0</v>
      </c>
      <c r="U525" s="86">
        <f t="shared" si="859"/>
        <v>0</v>
      </c>
      <c r="V525" s="86">
        <f t="shared" si="859"/>
        <v>45060.914012399997</v>
      </c>
      <c r="W525" s="86">
        <f t="shared" si="859"/>
        <v>0</v>
      </c>
      <c r="X525" s="86">
        <f t="shared" si="859"/>
        <v>0</v>
      </c>
      <c r="Y525" s="314">
        <f t="shared" si="859"/>
        <v>45060.914012399997</v>
      </c>
    </row>
    <row r="526" spans="1:25" x14ac:dyDescent="0.2">
      <c r="A526" s="84"/>
      <c r="B526" s="85"/>
      <c r="C526" s="442">
        <f t="shared" si="860"/>
        <v>0</v>
      </c>
      <c r="D526" s="85"/>
      <c r="E526" s="85"/>
      <c r="F526" s="85"/>
      <c r="G526" s="85"/>
      <c r="H526" s="85"/>
      <c r="I526" s="108"/>
      <c r="J526" s="85" t="s">
        <v>114</v>
      </c>
      <c r="K526" s="86"/>
      <c r="L526" s="86">
        <f t="shared" si="861"/>
        <v>64480</v>
      </c>
      <c r="M526" s="86">
        <f t="shared" si="859"/>
        <v>0</v>
      </c>
      <c r="N526" s="86">
        <f t="shared" si="859"/>
        <v>595896.2172800001</v>
      </c>
      <c r="O526" s="86">
        <f t="shared" si="859"/>
        <v>0</v>
      </c>
      <c r="P526" s="86">
        <f t="shared" si="859"/>
        <v>213330.84578624004</v>
      </c>
      <c r="Q526" s="86">
        <f t="shared" si="859"/>
        <v>8640.4951505600002</v>
      </c>
      <c r="R526" s="86">
        <f t="shared" si="859"/>
        <v>0</v>
      </c>
      <c r="S526" s="86">
        <f t="shared" si="859"/>
        <v>43605.36</v>
      </c>
      <c r="T526" s="86">
        <f t="shared" si="859"/>
        <v>3735.6000000000004</v>
      </c>
      <c r="U526" s="86">
        <f t="shared" si="859"/>
        <v>712.8</v>
      </c>
      <c r="V526" s="86">
        <f t="shared" si="859"/>
        <v>865921.31821680011</v>
      </c>
      <c r="W526" s="86">
        <f t="shared" si="859"/>
        <v>0</v>
      </c>
      <c r="X526" s="86">
        <f t="shared" si="859"/>
        <v>0</v>
      </c>
      <c r="Y526" s="314">
        <f t="shared" si="859"/>
        <v>865921.31821680011</v>
      </c>
    </row>
    <row r="527" spans="1:25" x14ac:dyDescent="0.2">
      <c r="A527" s="84"/>
      <c r="B527" s="85"/>
      <c r="C527" s="442">
        <f t="shared" si="860"/>
        <v>0</v>
      </c>
      <c r="D527" s="85"/>
      <c r="E527" s="85"/>
      <c r="F527" s="85"/>
      <c r="G527" s="85"/>
      <c r="H527" s="85"/>
      <c r="I527" s="108"/>
      <c r="J527" s="85" t="s">
        <v>140</v>
      </c>
      <c r="K527" s="86"/>
      <c r="L527" s="86">
        <f t="shared" si="861"/>
        <v>12480</v>
      </c>
      <c r="M527" s="86">
        <f t="shared" si="861"/>
        <v>0</v>
      </c>
      <c r="N527" s="86">
        <f t="shared" si="861"/>
        <v>23007.712</v>
      </c>
      <c r="O527" s="86">
        <f t="shared" si="861"/>
        <v>0</v>
      </c>
      <c r="P527" s="86">
        <f t="shared" si="861"/>
        <v>8236.7608959999998</v>
      </c>
      <c r="Q527" s="86">
        <f t="shared" si="861"/>
        <v>333.61182400000007</v>
      </c>
      <c r="R527" s="86">
        <f t="shared" si="861"/>
        <v>0</v>
      </c>
      <c r="S527" s="86">
        <f t="shared" si="861"/>
        <v>6485.04</v>
      </c>
      <c r="T527" s="86">
        <f t="shared" si="861"/>
        <v>723.84</v>
      </c>
      <c r="U527" s="86">
        <f t="shared" si="861"/>
        <v>0</v>
      </c>
      <c r="V527" s="86">
        <f t="shared" si="861"/>
        <v>38786.964719999996</v>
      </c>
      <c r="W527" s="86">
        <f t="shared" si="861"/>
        <v>0</v>
      </c>
      <c r="X527" s="86">
        <f t="shared" si="861"/>
        <v>0</v>
      </c>
      <c r="Y527" s="314">
        <f t="shared" si="861"/>
        <v>38786.964719999996</v>
      </c>
    </row>
    <row r="528" spans="1:25" x14ac:dyDescent="0.2">
      <c r="A528" s="84"/>
      <c r="B528" s="85"/>
      <c r="C528" s="442">
        <f t="shared" si="860"/>
        <v>0</v>
      </c>
      <c r="D528" s="85"/>
      <c r="E528" s="85"/>
      <c r="F528" s="85"/>
      <c r="G528" s="85"/>
      <c r="H528" s="85"/>
      <c r="I528" s="108"/>
      <c r="J528" s="85" t="s">
        <v>166</v>
      </c>
      <c r="K528" s="86"/>
      <c r="L528" s="86">
        <f t="shared" ref="L528:Y543" si="862">SUMIFS(L$29:L$462,$J$29:$J$462,$J528,$H$29:$H$462,"1")</f>
        <v>0</v>
      </c>
      <c r="M528" s="86">
        <f t="shared" si="862"/>
        <v>0</v>
      </c>
      <c r="N528" s="86">
        <f t="shared" si="862"/>
        <v>0</v>
      </c>
      <c r="O528" s="86">
        <f t="shared" si="862"/>
        <v>0</v>
      </c>
      <c r="P528" s="86">
        <f t="shared" si="862"/>
        <v>0</v>
      </c>
      <c r="Q528" s="86">
        <f t="shared" si="862"/>
        <v>0</v>
      </c>
      <c r="R528" s="86">
        <f t="shared" si="862"/>
        <v>0</v>
      </c>
      <c r="S528" s="86">
        <f t="shared" si="862"/>
        <v>0</v>
      </c>
      <c r="T528" s="86">
        <f t="shared" si="862"/>
        <v>0</v>
      </c>
      <c r="U528" s="86">
        <f t="shared" si="862"/>
        <v>0</v>
      </c>
      <c r="V528" s="86">
        <f t="shared" si="862"/>
        <v>0</v>
      </c>
      <c r="W528" s="86">
        <f t="shared" si="862"/>
        <v>0</v>
      </c>
      <c r="X528" s="86">
        <f t="shared" si="862"/>
        <v>0</v>
      </c>
      <c r="Y528" s="314">
        <f t="shared" si="862"/>
        <v>0</v>
      </c>
    </row>
    <row r="529" spans="1:25" x14ac:dyDescent="0.2">
      <c r="A529" s="84"/>
      <c r="B529" s="85"/>
      <c r="C529" s="442">
        <f t="shared" si="860"/>
        <v>0</v>
      </c>
      <c r="D529" s="85"/>
      <c r="E529" s="85"/>
      <c r="F529" s="85"/>
      <c r="G529" s="85"/>
      <c r="H529" s="85"/>
      <c r="I529" s="108"/>
      <c r="J529" s="85" t="s">
        <v>63</v>
      </c>
      <c r="K529" s="86"/>
      <c r="L529" s="86">
        <f t="shared" si="862"/>
        <v>10400</v>
      </c>
      <c r="M529" s="86">
        <f t="shared" si="862"/>
        <v>0</v>
      </c>
      <c r="N529" s="86">
        <f t="shared" si="862"/>
        <v>19131.008000000002</v>
      </c>
      <c r="O529" s="86">
        <f t="shared" si="862"/>
        <v>0</v>
      </c>
      <c r="P529" s="86">
        <f t="shared" si="862"/>
        <v>6848.9008639999993</v>
      </c>
      <c r="Q529" s="86">
        <f t="shared" si="862"/>
        <v>277.39961600000004</v>
      </c>
      <c r="R529" s="86">
        <f t="shared" si="862"/>
        <v>0</v>
      </c>
      <c r="S529" s="86">
        <f t="shared" si="862"/>
        <v>0</v>
      </c>
      <c r="T529" s="86">
        <f t="shared" si="862"/>
        <v>0</v>
      </c>
      <c r="U529" s="86">
        <f t="shared" si="862"/>
        <v>0</v>
      </c>
      <c r="V529" s="86">
        <f t="shared" si="862"/>
        <v>26257.308480000003</v>
      </c>
      <c r="W529" s="86">
        <f t="shared" si="862"/>
        <v>0</v>
      </c>
      <c r="X529" s="86">
        <f t="shared" si="862"/>
        <v>0</v>
      </c>
      <c r="Y529" s="314">
        <f t="shared" si="862"/>
        <v>26257.308480000003</v>
      </c>
    </row>
    <row r="530" spans="1:25" x14ac:dyDescent="0.2">
      <c r="A530" s="84"/>
      <c r="B530" s="85"/>
      <c r="C530" s="442">
        <f t="shared" si="860"/>
        <v>0</v>
      </c>
      <c r="D530" s="85"/>
      <c r="E530" s="85"/>
      <c r="F530" s="85"/>
      <c r="G530" s="85"/>
      <c r="H530" s="85"/>
      <c r="I530" s="108"/>
      <c r="J530" s="85" t="s">
        <v>64</v>
      </c>
      <c r="K530" s="86"/>
      <c r="L530" s="86">
        <f t="shared" si="862"/>
        <v>10400</v>
      </c>
      <c r="M530" s="86">
        <f t="shared" si="862"/>
        <v>0</v>
      </c>
      <c r="N530" s="86">
        <f t="shared" si="862"/>
        <v>19131.008000000002</v>
      </c>
      <c r="O530" s="86">
        <f t="shared" si="862"/>
        <v>0</v>
      </c>
      <c r="P530" s="86">
        <f t="shared" si="862"/>
        <v>6848.9008639999993</v>
      </c>
      <c r="Q530" s="86">
        <f t="shared" si="862"/>
        <v>277.39961600000004</v>
      </c>
      <c r="R530" s="86">
        <f t="shared" si="862"/>
        <v>0</v>
      </c>
      <c r="S530" s="86">
        <f t="shared" si="862"/>
        <v>0</v>
      </c>
      <c r="T530" s="86">
        <f t="shared" si="862"/>
        <v>0</v>
      </c>
      <c r="U530" s="86">
        <f t="shared" si="862"/>
        <v>0</v>
      </c>
      <c r="V530" s="86">
        <f t="shared" si="862"/>
        <v>26257.308480000003</v>
      </c>
      <c r="W530" s="86">
        <f t="shared" si="862"/>
        <v>0</v>
      </c>
      <c r="X530" s="86">
        <f t="shared" si="862"/>
        <v>0</v>
      </c>
      <c r="Y530" s="314">
        <f t="shared" si="862"/>
        <v>26257.308480000003</v>
      </c>
    </row>
    <row r="531" spans="1:25" x14ac:dyDescent="0.2">
      <c r="A531" s="84"/>
      <c r="B531" s="85"/>
      <c r="C531" s="442">
        <f t="shared" si="860"/>
        <v>0</v>
      </c>
      <c r="D531" s="85"/>
      <c r="E531" s="85"/>
      <c r="F531" s="85"/>
      <c r="G531" s="85"/>
      <c r="H531" s="85"/>
      <c r="I531" s="108"/>
      <c r="J531" s="85" t="s">
        <v>796</v>
      </c>
      <c r="K531" s="86"/>
      <c r="L531" s="86">
        <f t="shared" si="862"/>
        <v>14560</v>
      </c>
      <c r="M531" s="86">
        <f t="shared" si="862"/>
        <v>0</v>
      </c>
      <c r="N531" s="86">
        <f t="shared" si="862"/>
        <v>66124.135999999999</v>
      </c>
      <c r="O531" s="86">
        <f t="shared" si="862"/>
        <v>0</v>
      </c>
      <c r="P531" s="86">
        <f t="shared" si="862"/>
        <v>23672.440687999999</v>
      </c>
      <c r="Q531" s="86">
        <f t="shared" si="862"/>
        <v>958.79997200000003</v>
      </c>
      <c r="R531" s="86">
        <f t="shared" si="862"/>
        <v>0</v>
      </c>
      <c r="S531" s="86">
        <f t="shared" si="862"/>
        <v>9895.68</v>
      </c>
      <c r="T531" s="86">
        <f t="shared" si="862"/>
        <v>480</v>
      </c>
      <c r="U531" s="86">
        <f t="shared" si="862"/>
        <v>246.24</v>
      </c>
      <c r="V531" s="86">
        <f t="shared" si="862"/>
        <v>101377.29665999999</v>
      </c>
      <c r="W531" s="86">
        <f t="shared" si="862"/>
        <v>0</v>
      </c>
      <c r="X531" s="86">
        <f t="shared" si="862"/>
        <v>0</v>
      </c>
      <c r="Y531" s="314">
        <f t="shared" si="862"/>
        <v>101377.29665999999</v>
      </c>
    </row>
    <row r="532" spans="1:25" x14ac:dyDescent="0.2">
      <c r="A532" s="84"/>
      <c r="B532" s="85"/>
      <c r="C532" s="442">
        <f t="shared" si="860"/>
        <v>0</v>
      </c>
      <c r="D532" s="85"/>
      <c r="E532" s="85"/>
      <c r="F532" s="85"/>
      <c r="G532" s="85"/>
      <c r="H532" s="85"/>
      <c r="I532" s="108"/>
      <c r="J532" s="85" t="s">
        <v>145</v>
      </c>
      <c r="K532" s="86"/>
      <c r="L532" s="86">
        <f t="shared" si="862"/>
        <v>6240</v>
      </c>
      <c r="M532" s="86">
        <f t="shared" si="862"/>
        <v>0</v>
      </c>
      <c r="N532" s="86">
        <f t="shared" si="862"/>
        <v>22745.099520000003</v>
      </c>
      <c r="O532" s="86">
        <f t="shared" si="862"/>
        <v>0</v>
      </c>
      <c r="P532" s="86">
        <f t="shared" si="862"/>
        <v>8142.7456281600007</v>
      </c>
      <c r="Q532" s="86">
        <f t="shared" si="862"/>
        <v>329.80394304000004</v>
      </c>
      <c r="R532" s="86">
        <f t="shared" si="862"/>
        <v>0</v>
      </c>
      <c r="S532" s="86">
        <f t="shared" si="862"/>
        <v>5657.04</v>
      </c>
      <c r="T532" s="86">
        <f t="shared" si="862"/>
        <v>254.4</v>
      </c>
      <c r="U532" s="86">
        <f t="shared" si="862"/>
        <v>32.4</v>
      </c>
      <c r="V532" s="86">
        <f t="shared" si="862"/>
        <v>37161.489091200005</v>
      </c>
      <c r="W532" s="86">
        <f t="shared" si="862"/>
        <v>0</v>
      </c>
      <c r="X532" s="86">
        <f t="shared" si="862"/>
        <v>0</v>
      </c>
      <c r="Y532" s="314">
        <f t="shared" si="862"/>
        <v>37161.489091200005</v>
      </c>
    </row>
    <row r="533" spans="1:25" x14ac:dyDescent="0.2">
      <c r="A533" s="84"/>
      <c r="B533" s="85"/>
      <c r="C533" s="442">
        <f t="shared" si="860"/>
        <v>0</v>
      </c>
      <c r="D533" s="85"/>
      <c r="E533" s="85"/>
      <c r="F533" s="85"/>
      <c r="G533" s="85"/>
      <c r="H533" s="85"/>
      <c r="I533" s="108"/>
      <c r="J533" s="85" t="s">
        <v>159</v>
      </c>
      <c r="K533" s="86"/>
      <c r="L533" s="86">
        <f t="shared" si="862"/>
        <v>18720</v>
      </c>
      <c r="M533" s="86">
        <f t="shared" si="862"/>
        <v>0</v>
      </c>
      <c r="N533" s="86">
        <f t="shared" si="862"/>
        <v>65572.692639999994</v>
      </c>
      <c r="O533" s="86">
        <f t="shared" si="862"/>
        <v>0</v>
      </c>
      <c r="P533" s="86">
        <f t="shared" si="862"/>
        <v>23475.023965119995</v>
      </c>
      <c r="Q533" s="86">
        <f t="shared" si="862"/>
        <v>950.80404327999997</v>
      </c>
      <c r="R533" s="86">
        <f t="shared" si="862"/>
        <v>0</v>
      </c>
      <c r="S533" s="86">
        <f t="shared" si="862"/>
        <v>0</v>
      </c>
      <c r="T533" s="86">
        <f t="shared" si="862"/>
        <v>0</v>
      </c>
      <c r="U533" s="86">
        <f t="shared" si="862"/>
        <v>0</v>
      </c>
      <c r="V533" s="86">
        <f t="shared" si="862"/>
        <v>89998.520648399994</v>
      </c>
      <c r="W533" s="86">
        <f t="shared" si="862"/>
        <v>0</v>
      </c>
      <c r="X533" s="86">
        <f t="shared" si="862"/>
        <v>0</v>
      </c>
      <c r="Y533" s="314">
        <f t="shared" si="862"/>
        <v>89998.520648399994</v>
      </c>
    </row>
    <row r="534" spans="1:25" x14ac:dyDescent="0.2">
      <c r="A534" s="84"/>
      <c r="B534" s="85"/>
      <c r="C534" s="442">
        <f t="shared" si="860"/>
        <v>0</v>
      </c>
      <c r="D534" s="85"/>
      <c r="E534" s="85"/>
      <c r="F534" s="85"/>
      <c r="G534" s="85"/>
      <c r="H534" s="85"/>
      <c r="I534" s="108"/>
      <c r="J534" s="85" t="s">
        <v>147</v>
      </c>
      <c r="K534" s="86"/>
      <c r="L534" s="86">
        <f t="shared" si="862"/>
        <v>4160</v>
      </c>
      <c r="M534" s="86">
        <f t="shared" si="862"/>
        <v>0</v>
      </c>
      <c r="N534" s="86">
        <f t="shared" si="862"/>
        <v>12761.09952</v>
      </c>
      <c r="O534" s="86">
        <f t="shared" si="862"/>
        <v>0</v>
      </c>
      <c r="P534" s="86">
        <f t="shared" si="862"/>
        <v>4568.4736281599999</v>
      </c>
      <c r="Q534" s="86">
        <f t="shared" si="862"/>
        <v>185.03594304000003</v>
      </c>
      <c r="R534" s="86">
        <f t="shared" si="862"/>
        <v>0</v>
      </c>
      <c r="S534" s="86">
        <f t="shared" si="862"/>
        <v>0</v>
      </c>
      <c r="T534" s="86">
        <f t="shared" si="862"/>
        <v>0</v>
      </c>
      <c r="U534" s="86">
        <f t="shared" si="862"/>
        <v>0</v>
      </c>
      <c r="V534" s="86">
        <f t="shared" si="862"/>
        <v>17514.6090912</v>
      </c>
      <c r="W534" s="86">
        <f t="shared" si="862"/>
        <v>0</v>
      </c>
      <c r="X534" s="86">
        <f t="shared" si="862"/>
        <v>0</v>
      </c>
      <c r="Y534" s="314">
        <f t="shared" si="862"/>
        <v>17514.6090912</v>
      </c>
    </row>
    <row r="535" spans="1:25" x14ac:dyDescent="0.2">
      <c r="A535" s="84"/>
      <c r="B535" s="85"/>
      <c r="C535" s="442">
        <f t="shared" si="860"/>
        <v>0</v>
      </c>
      <c r="D535" s="85"/>
      <c r="E535" s="85"/>
      <c r="F535" s="85"/>
      <c r="G535" s="85"/>
      <c r="H535" s="85"/>
      <c r="I535" s="108"/>
      <c r="J535" s="85" t="s">
        <v>150</v>
      </c>
      <c r="K535" s="86"/>
      <c r="L535" s="86">
        <f t="shared" si="862"/>
        <v>6240</v>
      </c>
      <c r="M535" s="86">
        <f t="shared" si="862"/>
        <v>0</v>
      </c>
      <c r="N535" s="86">
        <f t="shared" si="862"/>
        <v>23245.248000000003</v>
      </c>
      <c r="O535" s="86">
        <f t="shared" si="862"/>
        <v>0</v>
      </c>
      <c r="P535" s="86">
        <f t="shared" si="862"/>
        <v>8321.7987840000005</v>
      </c>
      <c r="Q535" s="86">
        <f t="shared" si="862"/>
        <v>337.05609600000003</v>
      </c>
      <c r="R535" s="86">
        <f t="shared" si="862"/>
        <v>0</v>
      </c>
      <c r="S535" s="86">
        <f t="shared" si="862"/>
        <v>4714.2</v>
      </c>
      <c r="T535" s="86">
        <f t="shared" si="862"/>
        <v>254.4</v>
      </c>
      <c r="U535" s="86">
        <f t="shared" si="862"/>
        <v>324</v>
      </c>
      <c r="V535" s="86">
        <f t="shared" si="862"/>
        <v>37196.702879999997</v>
      </c>
      <c r="W535" s="86">
        <f t="shared" si="862"/>
        <v>0</v>
      </c>
      <c r="X535" s="86">
        <f t="shared" si="862"/>
        <v>0</v>
      </c>
      <c r="Y535" s="314">
        <f t="shared" si="862"/>
        <v>37196.702879999997</v>
      </c>
    </row>
    <row r="536" spans="1:25" x14ac:dyDescent="0.2">
      <c r="A536" s="84"/>
      <c r="B536" s="85"/>
      <c r="C536" s="442">
        <f t="shared" si="860"/>
        <v>0</v>
      </c>
      <c r="D536" s="85"/>
      <c r="E536" s="85"/>
      <c r="F536" s="85"/>
      <c r="G536" s="85"/>
      <c r="H536" s="85"/>
      <c r="I536" s="108"/>
      <c r="J536" s="85" t="s">
        <v>151</v>
      </c>
      <c r="K536" s="86"/>
      <c r="L536" s="86">
        <f t="shared" si="862"/>
        <v>6240</v>
      </c>
      <c r="M536" s="86">
        <f t="shared" si="862"/>
        <v>0</v>
      </c>
      <c r="N536" s="86">
        <f t="shared" si="862"/>
        <v>9964.7724799999978</v>
      </c>
      <c r="O536" s="86">
        <f t="shared" si="862"/>
        <v>0</v>
      </c>
      <c r="P536" s="86">
        <f t="shared" si="862"/>
        <v>3567.3885478399998</v>
      </c>
      <c r="Q536" s="86">
        <f t="shared" si="862"/>
        <v>144.48920096000001</v>
      </c>
      <c r="R536" s="86">
        <f t="shared" si="862"/>
        <v>0</v>
      </c>
      <c r="S536" s="86">
        <f t="shared" si="862"/>
        <v>0</v>
      </c>
      <c r="T536" s="86">
        <f t="shared" si="862"/>
        <v>0</v>
      </c>
      <c r="U536" s="86">
        <f t="shared" si="862"/>
        <v>0</v>
      </c>
      <c r="V536" s="86">
        <f t="shared" si="862"/>
        <v>13676.650228799999</v>
      </c>
      <c r="W536" s="86">
        <f t="shared" si="862"/>
        <v>0</v>
      </c>
      <c r="X536" s="86">
        <f t="shared" si="862"/>
        <v>0</v>
      </c>
      <c r="Y536" s="314">
        <f t="shared" si="862"/>
        <v>13676.650228799999</v>
      </c>
    </row>
    <row r="537" spans="1:25" x14ac:dyDescent="0.2">
      <c r="A537" s="84"/>
      <c r="B537" s="85"/>
      <c r="C537" s="442">
        <f t="shared" si="860"/>
        <v>0</v>
      </c>
      <c r="D537" s="85"/>
      <c r="E537" s="85"/>
      <c r="F537" s="85"/>
      <c r="G537" s="85"/>
      <c r="H537" s="85"/>
      <c r="I537" s="108"/>
      <c r="J537" s="85" t="s">
        <v>154</v>
      </c>
      <c r="K537" s="86"/>
      <c r="L537" s="86">
        <f t="shared" si="862"/>
        <v>6240</v>
      </c>
      <c r="M537" s="86">
        <f t="shared" si="862"/>
        <v>0</v>
      </c>
      <c r="N537" s="86">
        <f t="shared" si="862"/>
        <v>10125.739519999999</v>
      </c>
      <c r="O537" s="86">
        <f t="shared" si="862"/>
        <v>0</v>
      </c>
      <c r="P537" s="86">
        <f t="shared" si="862"/>
        <v>3625.0147481599997</v>
      </c>
      <c r="Q537" s="86">
        <f t="shared" si="862"/>
        <v>146.82322304000002</v>
      </c>
      <c r="R537" s="86">
        <f t="shared" si="862"/>
        <v>0</v>
      </c>
      <c r="S537" s="86">
        <f t="shared" si="862"/>
        <v>0</v>
      </c>
      <c r="T537" s="86">
        <f t="shared" si="862"/>
        <v>0</v>
      </c>
      <c r="U537" s="86">
        <f t="shared" si="862"/>
        <v>0</v>
      </c>
      <c r="V537" s="86">
        <f t="shared" si="862"/>
        <v>13897.577491200002</v>
      </c>
      <c r="W537" s="86">
        <f t="shared" si="862"/>
        <v>0</v>
      </c>
      <c r="X537" s="86">
        <f t="shared" si="862"/>
        <v>0</v>
      </c>
      <c r="Y537" s="314">
        <f t="shared" si="862"/>
        <v>13897.577491200002</v>
      </c>
    </row>
    <row r="538" spans="1:25" x14ac:dyDescent="0.2">
      <c r="A538" s="84"/>
      <c r="B538" s="85"/>
      <c r="C538" s="442">
        <f t="shared" si="860"/>
        <v>0</v>
      </c>
      <c r="D538" s="85"/>
      <c r="E538" s="85"/>
      <c r="F538" s="85"/>
      <c r="G538" s="85"/>
      <c r="H538" s="85"/>
      <c r="I538" s="108"/>
      <c r="J538" s="85" t="s">
        <v>149</v>
      </c>
      <c r="K538" s="86"/>
      <c r="L538" s="86">
        <f t="shared" si="862"/>
        <v>6240</v>
      </c>
      <c r="M538" s="86">
        <f t="shared" si="862"/>
        <v>0</v>
      </c>
      <c r="N538" s="86">
        <f t="shared" si="862"/>
        <v>16763.160960000001</v>
      </c>
      <c r="O538" s="86">
        <f t="shared" si="862"/>
        <v>0</v>
      </c>
      <c r="P538" s="86">
        <f t="shared" si="862"/>
        <v>6001.2116236799993</v>
      </c>
      <c r="Q538" s="86">
        <f t="shared" si="862"/>
        <v>243.06583392000002</v>
      </c>
      <c r="R538" s="86">
        <f t="shared" si="862"/>
        <v>0</v>
      </c>
      <c r="S538" s="86">
        <f t="shared" si="862"/>
        <v>0</v>
      </c>
      <c r="T538" s="86">
        <f t="shared" si="862"/>
        <v>0</v>
      </c>
      <c r="U538" s="86">
        <f t="shared" si="862"/>
        <v>0</v>
      </c>
      <c r="V538" s="86">
        <f t="shared" si="862"/>
        <v>23007.438417599999</v>
      </c>
      <c r="W538" s="86">
        <f t="shared" si="862"/>
        <v>0</v>
      </c>
      <c r="X538" s="86">
        <f t="shared" si="862"/>
        <v>0</v>
      </c>
      <c r="Y538" s="314">
        <f t="shared" si="862"/>
        <v>23007.438417599999</v>
      </c>
    </row>
    <row r="539" spans="1:25" x14ac:dyDescent="0.2">
      <c r="A539" s="84"/>
      <c r="B539" s="85"/>
      <c r="C539" s="442">
        <f t="shared" si="860"/>
        <v>0</v>
      </c>
      <c r="D539" s="85"/>
      <c r="E539" s="85"/>
      <c r="F539" s="85"/>
      <c r="G539" s="85"/>
      <c r="H539" s="85"/>
      <c r="I539" s="108"/>
      <c r="J539" s="85" t="s">
        <v>152</v>
      </c>
      <c r="K539" s="86"/>
      <c r="L539" s="86">
        <f t="shared" si="862"/>
        <v>6240</v>
      </c>
      <c r="M539" s="86">
        <f t="shared" si="862"/>
        <v>0</v>
      </c>
      <c r="N539" s="86">
        <f t="shared" si="862"/>
        <v>8799.9475199999997</v>
      </c>
      <c r="O539" s="86">
        <f t="shared" si="862"/>
        <v>0</v>
      </c>
      <c r="P539" s="86">
        <f t="shared" si="862"/>
        <v>3150.3812121599999</v>
      </c>
      <c r="Q539" s="86">
        <f t="shared" si="862"/>
        <v>127.59923904</v>
      </c>
      <c r="R539" s="86">
        <f t="shared" si="862"/>
        <v>0</v>
      </c>
      <c r="S539" s="86">
        <f t="shared" si="862"/>
        <v>0</v>
      </c>
      <c r="T539" s="86">
        <f t="shared" si="862"/>
        <v>0</v>
      </c>
      <c r="U539" s="86">
        <f t="shared" si="862"/>
        <v>0</v>
      </c>
      <c r="V539" s="86">
        <f t="shared" si="862"/>
        <v>12077.927971200001</v>
      </c>
      <c r="W539" s="86">
        <f t="shared" si="862"/>
        <v>0</v>
      </c>
      <c r="X539" s="86">
        <f t="shared" si="862"/>
        <v>0</v>
      </c>
      <c r="Y539" s="314">
        <f t="shared" si="862"/>
        <v>12077.927971200001</v>
      </c>
    </row>
    <row r="540" spans="1:25" x14ac:dyDescent="0.2">
      <c r="A540" s="84"/>
      <c r="B540" s="85"/>
      <c r="C540" s="442">
        <f t="shared" si="860"/>
        <v>0</v>
      </c>
      <c r="D540" s="85"/>
      <c r="E540" s="85"/>
      <c r="F540" s="85"/>
      <c r="G540" s="85"/>
      <c r="H540" s="85"/>
      <c r="I540" s="108"/>
      <c r="J540" s="85" t="s">
        <v>167</v>
      </c>
      <c r="K540" s="86"/>
      <c r="L540" s="86">
        <f t="shared" si="862"/>
        <v>12480</v>
      </c>
      <c r="M540" s="86">
        <f t="shared" si="862"/>
        <v>0</v>
      </c>
      <c r="N540" s="86">
        <f t="shared" si="862"/>
        <v>46218.744000000006</v>
      </c>
      <c r="O540" s="86">
        <f t="shared" si="862"/>
        <v>0</v>
      </c>
      <c r="P540" s="86">
        <f t="shared" si="862"/>
        <v>16546.310352</v>
      </c>
      <c r="Q540" s="86">
        <f t="shared" si="862"/>
        <v>670.17178800000011</v>
      </c>
      <c r="R540" s="86">
        <f t="shared" si="862"/>
        <v>0</v>
      </c>
      <c r="S540" s="86">
        <f t="shared" si="862"/>
        <v>22475.280000000002</v>
      </c>
      <c r="T540" s="86">
        <f t="shared" si="862"/>
        <v>2254.08</v>
      </c>
      <c r="U540" s="86">
        <f t="shared" si="862"/>
        <v>324</v>
      </c>
      <c r="V540" s="86">
        <f t="shared" si="862"/>
        <v>88488.586139999999</v>
      </c>
      <c r="W540" s="86">
        <f t="shared" si="862"/>
        <v>0</v>
      </c>
      <c r="X540" s="86">
        <f t="shared" si="862"/>
        <v>0</v>
      </c>
      <c r="Y540" s="314">
        <f t="shared" si="862"/>
        <v>88488.586139999999</v>
      </c>
    </row>
    <row r="541" spans="1:25" x14ac:dyDescent="0.2">
      <c r="A541" s="84"/>
      <c r="B541" s="85"/>
      <c r="C541" s="442">
        <f t="shared" si="860"/>
        <v>0</v>
      </c>
      <c r="D541" s="85"/>
      <c r="E541" s="85"/>
      <c r="F541" s="85"/>
      <c r="G541" s="85"/>
      <c r="H541" s="85"/>
      <c r="I541" s="108"/>
      <c r="J541" s="85" t="s">
        <v>130</v>
      </c>
      <c r="K541" s="86"/>
      <c r="L541" s="86">
        <f t="shared" si="862"/>
        <v>6240</v>
      </c>
      <c r="M541" s="86">
        <f t="shared" si="862"/>
        <v>0</v>
      </c>
      <c r="N541" s="86">
        <f t="shared" si="862"/>
        <v>32418.047999999995</v>
      </c>
      <c r="O541" s="86">
        <f t="shared" si="862"/>
        <v>0</v>
      </c>
      <c r="P541" s="86">
        <f t="shared" si="862"/>
        <v>11605.661183999997</v>
      </c>
      <c r="Q541" s="86">
        <f t="shared" si="862"/>
        <v>470.06169599999998</v>
      </c>
      <c r="R541" s="86">
        <f t="shared" si="862"/>
        <v>0</v>
      </c>
      <c r="S541" s="86">
        <f t="shared" si="862"/>
        <v>0</v>
      </c>
      <c r="T541" s="86">
        <f t="shared" si="862"/>
        <v>0</v>
      </c>
      <c r="U541" s="86">
        <f t="shared" si="862"/>
        <v>0</v>
      </c>
      <c r="V541" s="86">
        <f t="shared" si="862"/>
        <v>44493.770879999996</v>
      </c>
      <c r="W541" s="86">
        <f t="shared" si="862"/>
        <v>0</v>
      </c>
      <c r="X541" s="86">
        <f t="shared" si="862"/>
        <v>0</v>
      </c>
      <c r="Y541" s="314">
        <f t="shared" si="862"/>
        <v>44493.770879999996</v>
      </c>
    </row>
    <row r="542" spans="1:25" x14ac:dyDescent="0.2">
      <c r="A542" s="84"/>
      <c r="B542" s="85"/>
      <c r="C542" s="442">
        <f t="shared" si="860"/>
        <v>0</v>
      </c>
      <c r="D542" s="85"/>
      <c r="E542" s="85"/>
      <c r="F542" s="85"/>
      <c r="G542" s="85"/>
      <c r="H542" s="85"/>
      <c r="I542" s="108"/>
      <c r="J542" s="85" t="s">
        <v>157</v>
      </c>
      <c r="K542" s="86"/>
      <c r="L542" s="86">
        <f t="shared" si="862"/>
        <v>2080</v>
      </c>
      <c r="M542" s="86">
        <f t="shared" si="862"/>
        <v>0</v>
      </c>
      <c r="N542" s="86">
        <f t="shared" si="862"/>
        <v>2496.0000000000005</v>
      </c>
      <c r="O542" s="86">
        <f t="shared" si="862"/>
        <v>0</v>
      </c>
      <c r="P542" s="86">
        <f t="shared" si="862"/>
        <v>893.5680000000001</v>
      </c>
      <c r="Q542" s="86">
        <f t="shared" si="862"/>
        <v>36.192000000000007</v>
      </c>
      <c r="R542" s="86">
        <f t="shared" si="862"/>
        <v>0</v>
      </c>
      <c r="S542" s="86">
        <f t="shared" si="862"/>
        <v>0</v>
      </c>
      <c r="T542" s="86">
        <f t="shared" si="862"/>
        <v>0</v>
      </c>
      <c r="U542" s="86">
        <f t="shared" si="862"/>
        <v>0</v>
      </c>
      <c r="V542" s="86">
        <f t="shared" si="862"/>
        <v>3425.7600000000007</v>
      </c>
      <c r="W542" s="86">
        <f t="shared" si="862"/>
        <v>0</v>
      </c>
      <c r="X542" s="86">
        <f t="shared" si="862"/>
        <v>0</v>
      </c>
      <c r="Y542" s="314">
        <f t="shared" si="862"/>
        <v>3425.7600000000007</v>
      </c>
    </row>
    <row r="543" spans="1:25" x14ac:dyDescent="0.2">
      <c r="A543" s="84"/>
      <c r="B543" s="85"/>
      <c r="C543" s="442">
        <f t="shared" si="860"/>
        <v>0</v>
      </c>
      <c r="D543" s="85"/>
      <c r="E543" s="85"/>
      <c r="F543" s="85"/>
      <c r="G543" s="85"/>
      <c r="H543" s="85"/>
      <c r="I543" s="108"/>
      <c r="J543" s="85" t="s">
        <v>158</v>
      </c>
      <c r="K543" s="86"/>
      <c r="L543" s="86">
        <f t="shared" si="862"/>
        <v>2080</v>
      </c>
      <c r="M543" s="86">
        <f t="shared" si="862"/>
        <v>0</v>
      </c>
      <c r="N543" s="86">
        <f t="shared" si="862"/>
        <v>2496.0000000000005</v>
      </c>
      <c r="O543" s="86">
        <f t="shared" si="862"/>
        <v>0</v>
      </c>
      <c r="P543" s="86">
        <f t="shared" si="862"/>
        <v>893.5680000000001</v>
      </c>
      <c r="Q543" s="86">
        <f t="shared" si="862"/>
        <v>36.192000000000007</v>
      </c>
      <c r="R543" s="86">
        <f t="shared" si="862"/>
        <v>0</v>
      </c>
      <c r="S543" s="86">
        <f t="shared" si="862"/>
        <v>0</v>
      </c>
      <c r="T543" s="86">
        <f t="shared" si="862"/>
        <v>0</v>
      </c>
      <c r="U543" s="86">
        <f t="shared" si="862"/>
        <v>0</v>
      </c>
      <c r="V543" s="86">
        <f t="shared" si="862"/>
        <v>3425.7600000000007</v>
      </c>
      <c r="W543" s="86">
        <f t="shared" si="862"/>
        <v>0</v>
      </c>
      <c r="X543" s="86">
        <f t="shared" si="862"/>
        <v>0</v>
      </c>
      <c r="Y543" s="314">
        <f t="shared" si="862"/>
        <v>3425.7600000000007</v>
      </c>
    </row>
    <row r="544" spans="1:25" x14ac:dyDescent="0.2">
      <c r="A544" s="84"/>
      <c r="B544" s="85"/>
      <c r="C544" s="442">
        <f t="shared" si="860"/>
        <v>0</v>
      </c>
      <c r="D544" s="85"/>
      <c r="E544" s="85"/>
      <c r="F544" s="85"/>
      <c r="G544" s="85"/>
      <c r="H544" s="85"/>
      <c r="I544" s="108"/>
      <c r="J544" s="85" t="s">
        <v>162</v>
      </c>
      <c r="K544" s="86"/>
      <c r="L544" s="86">
        <f t="shared" ref="L544:Y559" si="863">SUMIFS(L$29:L$462,$J$29:$J$462,$J544,$H$29:$H$462,"1")</f>
        <v>18720</v>
      </c>
      <c r="M544" s="86">
        <f t="shared" si="863"/>
        <v>0</v>
      </c>
      <c r="N544" s="86">
        <f t="shared" si="863"/>
        <v>36342.242559999999</v>
      </c>
      <c r="O544" s="86">
        <f t="shared" si="863"/>
        <v>0</v>
      </c>
      <c r="P544" s="86">
        <f t="shared" si="863"/>
        <v>13010.52283648</v>
      </c>
      <c r="Q544" s="86">
        <f t="shared" si="863"/>
        <v>526.96251712000003</v>
      </c>
      <c r="R544" s="86">
        <f t="shared" si="863"/>
        <v>0</v>
      </c>
      <c r="S544" s="86">
        <f t="shared" si="863"/>
        <v>0</v>
      </c>
      <c r="T544" s="86">
        <f t="shared" si="863"/>
        <v>0</v>
      </c>
      <c r="U544" s="86">
        <f t="shared" si="863"/>
        <v>0</v>
      </c>
      <c r="V544" s="86">
        <f t="shared" si="863"/>
        <v>49879.727913599992</v>
      </c>
      <c r="W544" s="86">
        <f t="shared" si="863"/>
        <v>0</v>
      </c>
      <c r="X544" s="86">
        <f t="shared" si="863"/>
        <v>0</v>
      </c>
      <c r="Y544" s="314">
        <f t="shared" si="863"/>
        <v>49879.727913599992</v>
      </c>
    </row>
    <row r="545" spans="1:25" x14ac:dyDescent="0.2">
      <c r="A545" s="84"/>
      <c r="B545" s="85"/>
      <c r="C545" s="442">
        <f t="shared" si="860"/>
        <v>0</v>
      </c>
      <c r="D545" s="85"/>
      <c r="E545" s="85"/>
      <c r="F545" s="85"/>
      <c r="G545" s="85"/>
      <c r="H545" s="85"/>
      <c r="I545" s="108"/>
      <c r="J545" s="85" t="s">
        <v>124</v>
      </c>
      <c r="K545" s="86"/>
      <c r="L545" s="86">
        <f t="shared" si="863"/>
        <v>27040</v>
      </c>
      <c r="M545" s="86">
        <f t="shared" si="863"/>
        <v>0</v>
      </c>
      <c r="N545" s="86">
        <f t="shared" si="863"/>
        <v>170766.41712</v>
      </c>
      <c r="O545" s="86">
        <f t="shared" si="863"/>
        <v>0</v>
      </c>
      <c r="P545" s="86">
        <f t="shared" si="863"/>
        <v>61134.377328959985</v>
      </c>
      <c r="Q545" s="86">
        <f t="shared" si="863"/>
        <v>2476.1130482399999</v>
      </c>
      <c r="R545" s="86">
        <f t="shared" si="863"/>
        <v>0</v>
      </c>
      <c r="S545" s="86">
        <f t="shared" si="863"/>
        <v>26323.440000000002</v>
      </c>
      <c r="T545" s="86">
        <f t="shared" si="863"/>
        <v>1028.6400000000001</v>
      </c>
      <c r="U545" s="86">
        <f t="shared" si="863"/>
        <v>648</v>
      </c>
      <c r="V545" s="86">
        <f t="shared" si="863"/>
        <v>262376.98749719997</v>
      </c>
      <c r="W545" s="86">
        <f t="shared" si="863"/>
        <v>0</v>
      </c>
      <c r="X545" s="86">
        <f t="shared" si="863"/>
        <v>0</v>
      </c>
      <c r="Y545" s="314">
        <f t="shared" si="863"/>
        <v>262376.98749719997</v>
      </c>
    </row>
    <row r="546" spans="1:25" x14ac:dyDescent="0.2">
      <c r="A546" s="84"/>
      <c r="B546" s="85"/>
      <c r="C546" s="442">
        <f t="shared" si="860"/>
        <v>0</v>
      </c>
      <c r="D546" s="85"/>
      <c r="E546" s="85"/>
      <c r="F546" s="85"/>
      <c r="G546" s="85"/>
      <c r="H546" s="85"/>
      <c r="I546" s="108"/>
      <c r="J546" s="85" t="s">
        <v>125</v>
      </c>
      <c r="K546" s="86"/>
      <c r="L546" s="86">
        <f t="shared" si="863"/>
        <v>14560</v>
      </c>
      <c r="M546" s="86">
        <f t="shared" si="863"/>
        <v>0</v>
      </c>
      <c r="N546" s="86">
        <f t="shared" si="863"/>
        <v>77148.135999999999</v>
      </c>
      <c r="O546" s="86">
        <f t="shared" si="863"/>
        <v>0</v>
      </c>
      <c r="P546" s="86">
        <f t="shared" si="863"/>
        <v>27619.032687999999</v>
      </c>
      <c r="Q546" s="86">
        <f t="shared" si="863"/>
        <v>1118.6479720000002</v>
      </c>
      <c r="R546" s="86">
        <f t="shared" si="863"/>
        <v>0</v>
      </c>
      <c r="S546" s="86">
        <f t="shared" si="863"/>
        <v>2909.08</v>
      </c>
      <c r="T546" s="86">
        <f t="shared" si="863"/>
        <v>0</v>
      </c>
      <c r="U546" s="86">
        <f t="shared" si="863"/>
        <v>324</v>
      </c>
      <c r="V546" s="86">
        <f t="shared" si="863"/>
        <v>109118.89666000001</v>
      </c>
      <c r="W546" s="86">
        <f t="shared" si="863"/>
        <v>0</v>
      </c>
      <c r="X546" s="86">
        <f t="shared" si="863"/>
        <v>0</v>
      </c>
      <c r="Y546" s="314">
        <f t="shared" si="863"/>
        <v>109118.89666000001</v>
      </c>
    </row>
    <row r="547" spans="1:25" x14ac:dyDescent="0.2">
      <c r="A547" s="84"/>
      <c r="B547" s="85"/>
      <c r="C547" s="442">
        <f t="shared" si="860"/>
        <v>0</v>
      </c>
      <c r="D547" s="85"/>
      <c r="E547" s="85"/>
      <c r="F547" s="85"/>
      <c r="G547" s="85"/>
      <c r="H547" s="85"/>
      <c r="I547" s="108"/>
      <c r="J547" s="85" t="s">
        <v>156</v>
      </c>
      <c r="K547" s="86"/>
      <c r="L547" s="86">
        <f t="shared" si="863"/>
        <v>2080</v>
      </c>
      <c r="M547" s="86">
        <f t="shared" si="863"/>
        <v>0</v>
      </c>
      <c r="N547" s="86">
        <f t="shared" si="863"/>
        <v>1350.0240000000001</v>
      </c>
      <c r="O547" s="86">
        <f t="shared" si="863"/>
        <v>0</v>
      </c>
      <c r="P547" s="86">
        <f t="shared" si="863"/>
        <v>483.30859200000003</v>
      </c>
      <c r="Q547" s="86">
        <f t="shared" si="863"/>
        <v>19.575348000000002</v>
      </c>
      <c r="R547" s="86">
        <f t="shared" si="863"/>
        <v>0</v>
      </c>
      <c r="S547" s="86">
        <f t="shared" si="863"/>
        <v>0</v>
      </c>
      <c r="T547" s="86">
        <f t="shared" si="863"/>
        <v>0</v>
      </c>
      <c r="U547" s="86">
        <f t="shared" si="863"/>
        <v>0</v>
      </c>
      <c r="V547" s="86">
        <f t="shared" si="863"/>
        <v>1852.9079400000003</v>
      </c>
      <c r="W547" s="86">
        <f t="shared" si="863"/>
        <v>0</v>
      </c>
      <c r="X547" s="86">
        <f t="shared" si="863"/>
        <v>0</v>
      </c>
      <c r="Y547" s="314">
        <f t="shared" si="863"/>
        <v>1852.9079400000003</v>
      </c>
    </row>
    <row r="548" spans="1:25" x14ac:dyDescent="0.2">
      <c r="A548" s="84"/>
      <c r="B548" s="85"/>
      <c r="C548" s="442">
        <f t="shared" si="860"/>
        <v>0</v>
      </c>
      <c r="D548" s="85"/>
      <c r="E548" s="85"/>
      <c r="F548" s="85"/>
      <c r="G548" s="85"/>
      <c r="H548" s="85"/>
      <c r="I548" s="108"/>
      <c r="J548" s="85" t="s">
        <v>144</v>
      </c>
      <c r="K548" s="86"/>
      <c r="L548" s="86">
        <f t="shared" si="863"/>
        <v>14560</v>
      </c>
      <c r="M548" s="86">
        <f t="shared" si="863"/>
        <v>0</v>
      </c>
      <c r="N548" s="86">
        <f t="shared" si="863"/>
        <v>56319.681599999996</v>
      </c>
      <c r="O548" s="86">
        <f t="shared" si="863"/>
        <v>0</v>
      </c>
      <c r="P548" s="86">
        <f t="shared" si="863"/>
        <v>20162.446012799999</v>
      </c>
      <c r="Q548" s="86">
        <f t="shared" si="863"/>
        <v>816.63538320000009</v>
      </c>
      <c r="R548" s="86">
        <f t="shared" si="863"/>
        <v>0</v>
      </c>
      <c r="S548" s="86">
        <f t="shared" si="863"/>
        <v>0</v>
      </c>
      <c r="T548" s="86">
        <f t="shared" si="863"/>
        <v>0</v>
      </c>
      <c r="U548" s="86">
        <f t="shared" si="863"/>
        <v>0</v>
      </c>
      <c r="V548" s="86">
        <f t="shared" si="863"/>
        <v>77298.762996000005</v>
      </c>
      <c r="W548" s="86">
        <f t="shared" si="863"/>
        <v>0</v>
      </c>
      <c r="X548" s="86">
        <f t="shared" si="863"/>
        <v>0</v>
      </c>
      <c r="Y548" s="314">
        <f t="shared" si="863"/>
        <v>77298.762996000005</v>
      </c>
    </row>
    <row r="549" spans="1:25" x14ac:dyDescent="0.2">
      <c r="A549" s="84"/>
      <c r="B549" s="85"/>
      <c r="C549" s="442">
        <f t="shared" si="860"/>
        <v>0</v>
      </c>
      <c r="D549" s="85"/>
      <c r="E549" s="85"/>
      <c r="F549" s="85"/>
      <c r="G549" s="85"/>
      <c r="H549" s="85"/>
      <c r="I549" s="108"/>
      <c r="J549" s="85" t="s">
        <v>155</v>
      </c>
      <c r="K549" s="86"/>
      <c r="L549" s="86">
        <f t="shared" si="863"/>
        <v>2080</v>
      </c>
      <c r="M549" s="86">
        <f t="shared" si="863"/>
        <v>0</v>
      </c>
      <c r="N549" s="86">
        <f t="shared" si="863"/>
        <v>5508.3454400000001</v>
      </c>
      <c r="O549" s="86">
        <f t="shared" si="863"/>
        <v>0</v>
      </c>
      <c r="P549" s="86">
        <f t="shared" si="863"/>
        <v>1971.9876675199998</v>
      </c>
      <c r="Q549" s="86">
        <f t="shared" si="863"/>
        <v>79.871008880000005</v>
      </c>
      <c r="R549" s="86">
        <f t="shared" si="863"/>
        <v>0</v>
      </c>
      <c r="S549" s="86">
        <f t="shared" si="863"/>
        <v>5657.04</v>
      </c>
      <c r="T549" s="86">
        <f t="shared" si="863"/>
        <v>558</v>
      </c>
      <c r="U549" s="86">
        <f t="shared" si="863"/>
        <v>0</v>
      </c>
      <c r="V549" s="86">
        <f t="shared" si="863"/>
        <v>13775.244116400001</v>
      </c>
      <c r="W549" s="86">
        <f t="shared" si="863"/>
        <v>0</v>
      </c>
      <c r="X549" s="86">
        <f t="shared" si="863"/>
        <v>0</v>
      </c>
      <c r="Y549" s="314">
        <f t="shared" si="863"/>
        <v>13775.244116400001</v>
      </c>
    </row>
    <row r="550" spans="1:25" x14ac:dyDescent="0.2">
      <c r="A550" s="84"/>
      <c r="B550" s="85"/>
      <c r="C550" s="442">
        <f t="shared" si="860"/>
        <v>0</v>
      </c>
      <c r="D550" s="85"/>
      <c r="E550" s="85"/>
      <c r="F550" s="85"/>
      <c r="G550" s="85"/>
      <c r="H550" s="85"/>
      <c r="I550" s="108"/>
      <c r="J550" s="85" t="s">
        <v>1477</v>
      </c>
      <c r="K550" s="86"/>
      <c r="L550" s="86">
        <f t="shared" si="863"/>
        <v>22880</v>
      </c>
      <c r="M550" s="86">
        <f t="shared" si="863"/>
        <v>0</v>
      </c>
      <c r="N550" s="86">
        <f t="shared" si="863"/>
        <v>44341.046880000002</v>
      </c>
      <c r="O550" s="86">
        <f t="shared" si="863"/>
        <v>0</v>
      </c>
      <c r="P550" s="86">
        <f t="shared" si="863"/>
        <v>15874.09478304</v>
      </c>
      <c r="Q550" s="86">
        <f t="shared" si="863"/>
        <v>642.94517976000009</v>
      </c>
      <c r="R550" s="86">
        <f t="shared" si="863"/>
        <v>0</v>
      </c>
      <c r="S550" s="86">
        <f t="shared" si="863"/>
        <v>0</v>
      </c>
      <c r="T550" s="86">
        <f t="shared" si="863"/>
        <v>0</v>
      </c>
      <c r="U550" s="86">
        <f t="shared" si="863"/>
        <v>0</v>
      </c>
      <c r="V550" s="86">
        <f t="shared" si="863"/>
        <v>60858.086842799996</v>
      </c>
      <c r="W550" s="86">
        <f t="shared" si="863"/>
        <v>0</v>
      </c>
      <c r="X550" s="86">
        <f t="shared" si="863"/>
        <v>0</v>
      </c>
      <c r="Y550" s="314">
        <f t="shared" si="863"/>
        <v>60858.086842799996</v>
      </c>
    </row>
    <row r="551" spans="1:25" x14ac:dyDescent="0.2">
      <c r="A551" s="84"/>
      <c r="B551" s="85"/>
      <c r="C551" s="442">
        <f t="shared" si="860"/>
        <v>0</v>
      </c>
      <c r="D551" s="85"/>
      <c r="E551" s="85"/>
      <c r="F551" s="85"/>
      <c r="G551" s="85"/>
      <c r="H551" s="85"/>
      <c r="I551" s="108"/>
      <c r="J551" s="85" t="s">
        <v>1478</v>
      </c>
      <c r="K551" s="86"/>
      <c r="L551" s="86">
        <f t="shared" si="863"/>
        <v>8320</v>
      </c>
      <c r="M551" s="86">
        <f t="shared" si="863"/>
        <v>0</v>
      </c>
      <c r="N551" s="86">
        <f t="shared" si="863"/>
        <v>44929.664000000004</v>
      </c>
      <c r="O551" s="86">
        <f t="shared" si="863"/>
        <v>0</v>
      </c>
      <c r="P551" s="86">
        <f t="shared" si="863"/>
        <v>16084.819712</v>
      </c>
      <c r="Q551" s="86">
        <f t="shared" si="863"/>
        <v>651.48012800000004</v>
      </c>
      <c r="R551" s="86">
        <f t="shared" si="863"/>
        <v>0</v>
      </c>
      <c r="S551" s="86">
        <f t="shared" si="863"/>
        <v>0</v>
      </c>
      <c r="T551" s="86">
        <f t="shared" si="863"/>
        <v>0</v>
      </c>
      <c r="U551" s="86">
        <f t="shared" si="863"/>
        <v>0</v>
      </c>
      <c r="V551" s="86">
        <f t="shared" si="863"/>
        <v>61665.963839999997</v>
      </c>
      <c r="W551" s="86">
        <f t="shared" si="863"/>
        <v>0</v>
      </c>
      <c r="X551" s="86">
        <f t="shared" si="863"/>
        <v>0</v>
      </c>
      <c r="Y551" s="314">
        <f t="shared" si="863"/>
        <v>61665.963839999997</v>
      </c>
    </row>
    <row r="552" spans="1:25" x14ac:dyDescent="0.2">
      <c r="A552" s="84"/>
      <c r="B552" s="85"/>
      <c r="C552" s="442">
        <f t="shared" si="860"/>
        <v>0</v>
      </c>
      <c r="D552" s="85"/>
      <c r="E552" s="85"/>
      <c r="F552" s="85"/>
      <c r="G552" s="85"/>
      <c r="H552" s="85"/>
      <c r="I552" s="108"/>
      <c r="J552" s="85" t="s">
        <v>115</v>
      </c>
      <c r="K552" s="86"/>
      <c r="L552" s="86">
        <f t="shared" si="863"/>
        <v>6240</v>
      </c>
      <c r="M552" s="86">
        <f t="shared" si="863"/>
        <v>0</v>
      </c>
      <c r="N552" s="86">
        <f t="shared" si="863"/>
        <v>6683.4560000000001</v>
      </c>
      <c r="O552" s="86">
        <f t="shared" si="863"/>
        <v>0</v>
      </c>
      <c r="P552" s="86">
        <f t="shared" si="863"/>
        <v>2392.677248</v>
      </c>
      <c r="Q552" s="86">
        <f t="shared" si="863"/>
        <v>96.910112000000012</v>
      </c>
      <c r="R552" s="86">
        <f t="shared" si="863"/>
        <v>0</v>
      </c>
      <c r="S552" s="86">
        <f t="shared" si="863"/>
        <v>5657.04</v>
      </c>
      <c r="T552" s="86">
        <f t="shared" si="863"/>
        <v>723.84</v>
      </c>
      <c r="U552" s="86">
        <f t="shared" si="863"/>
        <v>324</v>
      </c>
      <c r="V552" s="86">
        <f t="shared" si="863"/>
        <v>15877.923360000001</v>
      </c>
      <c r="W552" s="86">
        <f t="shared" si="863"/>
        <v>0</v>
      </c>
      <c r="X552" s="86">
        <f t="shared" si="863"/>
        <v>0</v>
      </c>
      <c r="Y552" s="314">
        <f t="shared" si="863"/>
        <v>15877.923360000001</v>
      </c>
    </row>
    <row r="553" spans="1:25" x14ac:dyDescent="0.2">
      <c r="A553" s="84"/>
      <c r="B553" s="85"/>
      <c r="C553" s="442">
        <f t="shared" si="860"/>
        <v>0</v>
      </c>
      <c r="D553" s="85"/>
      <c r="E553" s="85"/>
      <c r="F553" s="85"/>
      <c r="G553" s="85"/>
      <c r="H553" s="85"/>
      <c r="I553" s="108"/>
      <c r="J553" s="85" t="s">
        <v>65</v>
      </c>
      <c r="K553" s="86"/>
      <c r="L553" s="86">
        <f t="shared" si="863"/>
        <v>6240</v>
      </c>
      <c r="M553" s="86">
        <f t="shared" si="863"/>
        <v>0</v>
      </c>
      <c r="N553" s="86">
        <f t="shared" si="863"/>
        <v>12176.424000000001</v>
      </c>
      <c r="O553" s="86">
        <f t="shared" si="863"/>
        <v>0</v>
      </c>
      <c r="P553" s="86">
        <f t="shared" si="863"/>
        <v>4359.1597920000004</v>
      </c>
      <c r="Q553" s="86">
        <f t="shared" si="863"/>
        <v>176.55814800000002</v>
      </c>
      <c r="R553" s="86">
        <f t="shared" si="863"/>
        <v>0</v>
      </c>
      <c r="S553" s="86">
        <f t="shared" si="863"/>
        <v>0</v>
      </c>
      <c r="T553" s="86">
        <f t="shared" si="863"/>
        <v>0</v>
      </c>
      <c r="U553" s="86">
        <f t="shared" si="863"/>
        <v>0</v>
      </c>
      <c r="V553" s="86">
        <f t="shared" si="863"/>
        <v>16712.141940000001</v>
      </c>
      <c r="W553" s="86">
        <f t="shared" si="863"/>
        <v>0</v>
      </c>
      <c r="X553" s="86">
        <f t="shared" si="863"/>
        <v>0</v>
      </c>
      <c r="Y553" s="314">
        <f t="shared" si="863"/>
        <v>16712.141940000001</v>
      </c>
    </row>
    <row r="554" spans="1:25" s="432" customFormat="1" x14ac:dyDescent="0.2">
      <c r="A554" s="84"/>
      <c r="B554" s="85"/>
      <c r="C554" s="442">
        <f t="shared" si="860"/>
        <v>0</v>
      </c>
      <c r="D554" s="85"/>
      <c r="E554" s="85"/>
      <c r="F554" s="85"/>
      <c r="G554" s="85"/>
      <c r="H554" s="85"/>
      <c r="I554" s="108"/>
      <c r="J554" s="669" t="s">
        <v>1445</v>
      </c>
      <c r="K554" s="86"/>
      <c r="L554" s="86">
        <f t="shared" si="863"/>
        <v>0</v>
      </c>
      <c r="M554" s="86">
        <f t="shared" si="863"/>
        <v>0</v>
      </c>
      <c r="N554" s="86">
        <f t="shared" si="863"/>
        <v>0</v>
      </c>
      <c r="O554" s="86">
        <f t="shared" si="863"/>
        <v>0</v>
      </c>
      <c r="P554" s="86">
        <f t="shared" si="863"/>
        <v>0</v>
      </c>
      <c r="Q554" s="86">
        <f t="shared" si="863"/>
        <v>0</v>
      </c>
      <c r="R554" s="86">
        <f t="shared" si="863"/>
        <v>0</v>
      </c>
      <c r="S554" s="86">
        <f t="shared" si="863"/>
        <v>0</v>
      </c>
      <c r="T554" s="86">
        <f t="shared" si="863"/>
        <v>0</v>
      </c>
      <c r="U554" s="86">
        <f t="shared" si="863"/>
        <v>0</v>
      </c>
      <c r="V554" s="86">
        <f t="shared" si="863"/>
        <v>0</v>
      </c>
      <c r="W554" s="86">
        <f t="shared" si="863"/>
        <v>0</v>
      </c>
      <c r="X554" s="86">
        <f t="shared" si="863"/>
        <v>0</v>
      </c>
      <c r="Y554" s="314">
        <f t="shared" si="863"/>
        <v>0</v>
      </c>
    </row>
    <row r="555" spans="1:25" x14ac:dyDescent="0.2">
      <c r="A555" s="84"/>
      <c r="B555" s="85"/>
      <c r="C555" s="442">
        <f t="shared" si="860"/>
        <v>0</v>
      </c>
      <c r="D555" s="85"/>
      <c r="E555" s="85"/>
      <c r="F555" s="85"/>
      <c r="G555" s="85"/>
      <c r="H555" s="85"/>
      <c r="I555" s="108"/>
      <c r="J555" s="85" t="s">
        <v>116</v>
      </c>
      <c r="K555" s="86"/>
      <c r="L555" s="86">
        <f t="shared" si="863"/>
        <v>33280</v>
      </c>
      <c r="M555" s="86">
        <f t="shared" si="863"/>
        <v>0</v>
      </c>
      <c r="N555" s="86">
        <f t="shared" si="863"/>
        <v>317199.09519999998</v>
      </c>
      <c r="O555" s="86">
        <f t="shared" si="863"/>
        <v>0</v>
      </c>
      <c r="P555" s="86">
        <f t="shared" si="863"/>
        <v>113557.27608160001</v>
      </c>
      <c r="Q555" s="86">
        <f t="shared" si="863"/>
        <v>4599.3868804000012</v>
      </c>
      <c r="R555" s="86">
        <f t="shared" si="863"/>
        <v>0</v>
      </c>
      <c r="S555" s="86">
        <f t="shared" si="863"/>
        <v>25112.16</v>
      </c>
      <c r="T555" s="86">
        <f t="shared" si="863"/>
        <v>1024.56</v>
      </c>
      <c r="U555" s="86">
        <f t="shared" si="863"/>
        <v>648</v>
      </c>
      <c r="V555" s="86">
        <f t="shared" si="863"/>
        <v>462140.47816200007</v>
      </c>
      <c r="W555" s="86">
        <f t="shared" si="863"/>
        <v>0</v>
      </c>
      <c r="X555" s="86">
        <f t="shared" si="863"/>
        <v>0</v>
      </c>
      <c r="Y555" s="314">
        <f t="shared" si="863"/>
        <v>462140.47816200007</v>
      </c>
    </row>
    <row r="556" spans="1:25" x14ac:dyDescent="0.2">
      <c r="A556" s="84"/>
      <c r="B556" s="85"/>
      <c r="C556" s="442">
        <f t="shared" si="860"/>
        <v>0</v>
      </c>
      <c r="D556" s="85"/>
      <c r="E556" s="85"/>
      <c r="F556" s="85"/>
      <c r="G556" s="85"/>
      <c r="H556" s="85"/>
      <c r="I556" s="108"/>
      <c r="J556" s="85" t="s">
        <v>117</v>
      </c>
      <c r="K556" s="86"/>
      <c r="L556" s="86">
        <f t="shared" si="863"/>
        <v>49920</v>
      </c>
      <c r="M556" s="86">
        <f t="shared" si="863"/>
        <v>0</v>
      </c>
      <c r="N556" s="86">
        <f t="shared" si="863"/>
        <v>525364.01424000005</v>
      </c>
      <c r="O556" s="86">
        <f t="shared" si="863"/>
        <v>0</v>
      </c>
      <c r="P556" s="86">
        <f t="shared" si="863"/>
        <v>188080.31709791999</v>
      </c>
      <c r="Q556" s="86">
        <f t="shared" si="863"/>
        <v>7617.7782064800003</v>
      </c>
      <c r="R556" s="86">
        <f t="shared" si="863"/>
        <v>0</v>
      </c>
      <c r="S556" s="86">
        <f t="shared" si="863"/>
        <v>5657.04</v>
      </c>
      <c r="T556" s="86">
        <f t="shared" si="863"/>
        <v>309.83999999999997</v>
      </c>
      <c r="U556" s="86">
        <f t="shared" si="863"/>
        <v>0</v>
      </c>
      <c r="V556" s="86">
        <f t="shared" si="863"/>
        <v>727028.9895443999</v>
      </c>
      <c r="W556" s="86">
        <f t="shared" si="863"/>
        <v>0</v>
      </c>
      <c r="X556" s="86">
        <f t="shared" si="863"/>
        <v>0</v>
      </c>
      <c r="Y556" s="314">
        <f t="shared" si="863"/>
        <v>727028.9895443999</v>
      </c>
    </row>
    <row r="557" spans="1:25" x14ac:dyDescent="0.2">
      <c r="A557" s="84"/>
      <c r="B557" s="85"/>
      <c r="C557" s="442">
        <f t="shared" si="860"/>
        <v>0</v>
      </c>
      <c r="D557" s="85"/>
      <c r="E557" s="85"/>
      <c r="F557" s="85"/>
      <c r="G557" s="85"/>
      <c r="H557" s="85"/>
      <c r="I557" s="108"/>
      <c r="J557" s="85" t="s">
        <v>120</v>
      </c>
      <c r="K557" s="86"/>
      <c r="L557" s="86">
        <f t="shared" si="863"/>
        <v>4160</v>
      </c>
      <c r="M557" s="86">
        <f t="shared" si="863"/>
        <v>0</v>
      </c>
      <c r="N557" s="86">
        <f t="shared" si="863"/>
        <v>2622.4639999999999</v>
      </c>
      <c r="O557" s="86">
        <f t="shared" si="863"/>
        <v>0</v>
      </c>
      <c r="P557" s="86">
        <f t="shared" si="863"/>
        <v>938.84211200000004</v>
      </c>
      <c r="Q557" s="86">
        <f t="shared" si="863"/>
        <v>38.025728000000001</v>
      </c>
      <c r="R557" s="86">
        <f t="shared" si="863"/>
        <v>0</v>
      </c>
      <c r="S557" s="86">
        <f t="shared" si="863"/>
        <v>0</v>
      </c>
      <c r="T557" s="86">
        <f t="shared" si="863"/>
        <v>0</v>
      </c>
      <c r="U557" s="86">
        <f t="shared" si="863"/>
        <v>0</v>
      </c>
      <c r="V557" s="86">
        <f t="shared" si="863"/>
        <v>3599.3318399999998</v>
      </c>
      <c r="W557" s="86">
        <f t="shared" si="863"/>
        <v>0</v>
      </c>
      <c r="X557" s="86">
        <f t="shared" si="863"/>
        <v>0</v>
      </c>
      <c r="Y557" s="314">
        <f t="shared" si="863"/>
        <v>3599.3318399999998</v>
      </c>
    </row>
    <row r="558" spans="1:25" x14ac:dyDescent="0.2">
      <c r="A558" s="84"/>
      <c r="B558" s="85"/>
      <c r="C558" s="442">
        <f t="shared" si="860"/>
        <v>0</v>
      </c>
      <c r="D558" s="85"/>
      <c r="E558" s="85"/>
      <c r="F558" s="85"/>
      <c r="G558" s="85"/>
      <c r="H558" s="85"/>
      <c r="I558" s="108"/>
      <c r="J558" s="85" t="s">
        <v>148</v>
      </c>
      <c r="K558" s="86"/>
      <c r="L558" s="86">
        <f t="shared" si="863"/>
        <v>8320</v>
      </c>
      <c r="M558" s="86">
        <f t="shared" si="863"/>
        <v>0</v>
      </c>
      <c r="N558" s="86">
        <f t="shared" si="863"/>
        <v>9065.8880000000008</v>
      </c>
      <c r="O558" s="86">
        <f t="shared" si="863"/>
        <v>0</v>
      </c>
      <c r="P558" s="86">
        <f t="shared" si="863"/>
        <v>3245.587904</v>
      </c>
      <c r="Q558" s="86">
        <f t="shared" si="863"/>
        <v>131.45537600000003</v>
      </c>
      <c r="R558" s="86">
        <f t="shared" si="863"/>
        <v>0</v>
      </c>
      <c r="S558" s="86">
        <f t="shared" si="863"/>
        <v>0</v>
      </c>
      <c r="T558" s="86">
        <f t="shared" si="863"/>
        <v>0</v>
      </c>
      <c r="U558" s="86">
        <f t="shared" si="863"/>
        <v>0</v>
      </c>
      <c r="V558" s="86">
        <f t="shared" si="863"/>
        <v>12442.931280000001</v>
      </c>
      <c r="W558" s="86">
        <f t="shared" si="863"/>
        <v>0</v>
      </c>
      <c r="X558" s="86">
        <f t="shared" si="863"/>
        <v>0</v>
      </c>
      <c r="Y558" s="314">
        <f t="shared" si="863"/>
        <v>12442.931280000001</v>
      </c>
    </row>
    <row r="559" spans="1:25" x14ac:dyDescent="0.2">
      <c r="A559" s="84"/>
      <c r="B559" s="85"/>
      <c r="C559" s="442">
        <f t="shared" si="860"/>
        <v>0</v>
      </c>
      <c r="D559" s="85"/>
      <c r="E559" s="85"/>
      <c r="F559" s="85"/>
      <c r="G559" s="85"/>
      <c r="H559" s="85"/>
      <c r="I559" s="108"/>
      <c r="J559" s="85" t="s">
        <v>121</v>
      </c>
      <c r="K559" s="86"/>
      <c r="L559" s="86">
        <f t="shared" si="863"/>
        <v>24960</v>
      </c>
      <c r="M559" s="86">
        <f t="shared" si="863"/>
        <v>0</v>
      </c>
      <c r="N559" s="86">
        <f t="shared" si="863"/>
        <v>288693.18399999995</v>
      </c>
      <c r="O559" s="86">
        <f t="shared" si="863"/>
        <v>0</v>
      </c>
      <c r="P559" s="86">
        <f t="shared" si="863"/>
        <v>103352.15987199997</v>
      </c>
      <c r="Q559" s="86">
        <f t="shared" si="863"/>
        <v>4186.051168</v>
      </c>
      <c r="R559" s="86">
        <f t="shared" si="863"/>
        <v>0</v>
      </c>
      <c r="S559" s="86">
        <f t="shared" si="863"/>
        <v>17799.12</v>
      </c>
      <c r="T559" s="86">
        <f t="shared" si="863"/>
        <v>2381.52</v>
      </c>
      <c r="U559" s="86">
        <f t="shared" si="863"/>
        <v>324</v>
      </c>
      <c r="V559" s="86">
        <f t="shared" si="863"/>
        <v>416736.03503999999</v>
      </c>
      <c r="W559" s="86">
        <f t="shared" si="863"/>
        <v>0</v>
      </c>
      <c r="X559" s="86">
        <f t="shared" si="863"/>
        <v>0</v>
      </c>
      <c r="Y559" s="314">
        <f t="shared" si="863"/>
        <v>416736.03503999999</v>
      </c>
    </row>
    <row r="560" spans="1:25" x14ac:dyDescent="0.2">
      <c r="A560" s="84"/>
      <c r="B560" s="85"/>
      <c r="C560" s="442">
        <f t="shared" si="860"/>
        <v>0</v>
      </c>
      <c r="D560" s="85"/>
      <c r="E560" s="85"/>
      <c r="F560" s="85"/>
      <c r="G560" s="85"/>
      <c r="H560" s="85"/>
      <c r="I560" s="108"/>
      <c r="J560" s="85" t="s">
        <v>122</v>
      </c>
      <c r="K560" s="86"/>
      <c r="L560" s="86">
        <f t="shared" ref="L560:Y574" si="864">SUMIFS(L$29:L$462,$J$29:$J$462,$J560,$H$29:$H$462,"1")</f>
        <v>0</v>
      </c>
      <c r="M560" s="86">
        <f t="shared" si="864"/>
        <v>0</v>
      </c>
      <c r="N560" s="86">
        <f t="shared" si="864"/>
        <v>0</v>
      </c>
      <c r="O560" s="86">
        <f t="shared" si="864"/>
        <v>0</v>
      </c>
      <c r="P560" s="86">
        <f t="shared" si="864"/>
        <v>0</v>
      </c>
      <c r="Q560" s="86">
        <f t="shared" si="864"/>
        <v>0</v>
      </c>
      <c r="R560" s="86">
        <f t="shared" si="864"/>
        <v>0</v>
      </c>
      <c r="S560" s="86">
        <f t="shared" si="864"/>
        <v>0</v>
      </c>
      <c r="T560" s="86">
        <f t="shared" si="864"/>
        <v>0</v>
      </c>
      <c r="U560" s="86">
        <f t="shared" si="864"/>
        <v>0</v>
      </c>
      <c r="V560" s="86">
        <f t="shared" si="864"/>
        <v>0</v>
      </c>
      <c r="W560" s="86">
        <f t="shared" si="864"/>
        <v>0</v>
      </c>
      <c r="X560" s="86">
        <f t="shared" si="864"/>
        <v>0</v>
      </c>
      <c r="Y560" s="314">
        <f t="shared" si="864"/>
        <v>0</v>
      </c>
    </row>
    <row r="561" spans="1:25" s="432" customFormat="1" x14ac:dyDescent="0.2">
      <c r="A561" s="84"/>
      <c r="B561" s="85"/>
      <c r="C561" s="442">
        <f t="shared" si="860"/>
        <v>0</v>
      </c>
      <c r="D561" s="85"/>
      <c r="E561" s="85"/>
      <c r="F561" s="85"/>
      <c r="G561" s="85"/>
      <c r="H561" s="85"/>
      <c r="I561" s="108"/>
      <c r="J561" s="669" t="s">
        <v>1459</v>
      </c>
      <c r="K561" s="86"/>
      <c r="L561" s="86">
        <f t="shared" si="864"/>
        <v>4160</v>
      </c>
      <c r="M561" s="86">
        <f t="shared" si="864"/>
        <v>0</v>
      </c>
      <c r="N561" s="86">
        <f t="shared" si="864"/>
        <v>28116.815999999999</v>
      </c>
      <c r="O561" s="86">
        <f t="shared" si="864"/>
        <v>0</v>
      </c>
      <c r="P561" s="86">
        <f t="shared" si="864"/>
        <v>10065.820127999999</v>
      </c>
      <c r="Q561" s="86">
        <f t="shared" si="864"/>
        <v>407.69383200000004</v>
      </c>
      <c r="R561" s="86">
        <f t="shared" si="864"/>
        <v>0</v>
      </c>
      <c r="S561" s="86">
        <f t="shared" si="864"/>
        <v>0</v>
      </c>
      <c r="T561" s="86">
        <f t="shared" si="864"/>
        <v>0</v>
      </c>
      <c r="U561" s="86">
        <f t="shared" si="864"/>
        <v>0</v>
      </c>
      <c r="V561" s="86">
        <f t="shared" si="864"/>
        <v>38590.329959999995</v>
      </c>
      <c r="W561" s="86">
        <f t="shared" si="864"/>
        <v>0</v>
      </c>
      <c r="X561" s="86">
        <f t="shared" si="864"/>
        <v>0</v>
      </c>
      <c r="Y561" s="314">
        <f t="shared" si="864"/>
        <v>38590.329959999995</v>
      </c>
    </row>
    <row r="562" spans="1:25" x14ac:dyDescent="0.2">
      <c r="A562" s="84"/>
      <c r="B562" s="85"/>
      <c r="C562" s="442">
        <f t="shared" si="860"/>
        <v>0</v>
      </c>
      <c r="D562" s="85"/>
      <c r="E562" s="85"/>
      <c r="F562" s="85"/>
      <c r="G562" s="85"/>
      <c r="H562" s="85"/>
      <c r="I562" s="108"/>
      <c r="J562" s="85" t="s">
        <v>163</v>
      </c>
      <c r="K562" s="86"/>
      <c r="L562" s="86">
        <f t="shared" si="864"/>
        <v>2080</v>
      </c>
      <c r="M562" s="86">
        <f t="shared" si="864"/>
        <v>0</v>
      </c>
      <c r="N562" s="86">
        <f t="shared" si="864"/>
        <v>2817.6595200000002</v>
      </c>
      <c r="O562" s="86">
        <f t="shared" si="864"/>
        <v>0</v>
      </c>
      <c r="P562" s="86">
        <f t="shared" si="864"/>
        <v>1008.7221081600001</v>
      </c>
      <c r="Q562" s="86">
        <f t="shared" si="864"/>
        <v>40.856063040000002</v>
      </c>
      <c r="R562" s="86">
        <f t="shared" si="864"/>
        <v>0</v>
      </c>
      <c r="S562" s="86">
        <f t="shared" si="864"/>
        <v>0</v>
      </c>
      <c r="T562" s="86">
        <f t="shared" si="864"/>
        <v>0</v>
      </c>
      <c r="U562" s="86">
        <f t="shared" si="864"/>
        <v>0</v>
      </c>
      <c r="V562" s="86">
        <f t="shared" si="864"/>
        <v>3867.2376912000004</v>
      </c>
      <c r="W562" s="86">
        <f t="shared" si="864"/>
        <v>0</v>
      </c>
      <c r="X562" s="86">
        <f t="shared" si="864"/>
        <v>0</v>
      </c>
      <c r="Y562" s="314">
        <f t="shared" si="864"/>
        <v>3867.2376912000004</v>
      </c>
    </row>
    <row r="563" spans="1:25" x14ac:dyDescent="0.2">
      <c r="A563" s="84"/>
      <c r="B563" s="85"/>
      <c r="C563" s="442">
        <f t="shared" si="860"/>
        <v>0</v>
      </c>
      <c r="D563" s="85"/>
      <c r="E563" s="85"/>
      <c r="F563" s="85"/>
      <c r="G563" s="85"/>
      <c r="H563" s="85"/>
      <c r="I563" s="108"/>
      <c r="J563" s="85" t="s">
        <v>123</v>
      </c>
      <c r="K563" s="86"/>
      <c r="L563" s="86">
        <f t="shared" si="864"/>
        <v>4160</v>
      </c>
      <c r="M563" s="86">
        <f t="shared" si="864"/>
        <v>0</v>
      </c>
      <c r="N563" s="86">
        <f t="shared" si="864"/>
        <v>3382.2880000000005</v>
      </c>
      <c r="O563" s="86">
        <f t="shared" si="864"/>
        <v>0</v>
      </c>
      <c r="P563" s="86">
        <f t="shared" si="864"/>
        <v>1210.8591040000001</v>
      </c>
      <c r="Q563" s="86">
        <f t="shared" si="864"/>
        <v>49.043176000000003</v>
      </c>
      <c r="R563" s="86">
        <f t="shared" si="864"/>
        <v>0</v>
      </c>
      <c r="S563" s="86">
        <f t="shared" si="864"/>
        <v>0</v>
      </c>
      <c r="T563" s="86">
        <f t="shared" si="864"/>
        <v>0</v>
      </c>
      <c r="U563" s="86">
        <f t="shared" si="864"/>
        <v>0</v>
      </c>
      <c r="V563" s="86">
        <f t="shared" si="864"/>
        <v>4642.1902800000007</v>
      </c>
      <c r="W563" s="86">
        <f t="shared" si="864"/>
        <v>0</v>
      </c>
      <c r="X563" s="86">
        <f t="shared" si="864"/>
        <v>0</v>
      </c>
      <c r="Y563" s="314">
        <f t="shared" si="864"/>
        <v>4642.1902800000007</v>
      </c>
    </row>
    <row r="564" spans="1:25" x14ac:dyDescent="0.2">
      <c r="A564" s="84"/>
      <c r="B564" s="85"/>
      <c r="C564" s="442">
        <f t="shared" si="860"/>
        <v>0</v>
      </c>
      <c r="D564" s="85"/>
      <c r="E564" s="85"/>
      <c r="F564" s="85"/>
      <c r="G564" s="85"/>
      <c r="H564" s="85"/>
      <c r="I564" s="108"/>
      <c r="J564" s="85" t="s">
        <v>153</v>
      </c>
      <c r="K564" s="86"/>
      <c r="L564" s="86">
        <f t="shared" si="864"/>
        <v>2080</v>
      </c>
      <c r="M564" s="86">
        <f t="shared" si="864"/>
        <v>0</v>
      </c>
      <c r="N564" s="86">
        <f t="shared" si="864"/>
        <v>1350.0240000000001</v>
      </c>
      <c r="O564" s="86">
        <f t="shared" si="864"/>
        <v>0</v>
      </c>
      <c r="P564" s="86">
        <f t="shared" si="864"/>
        <v>483.30859200000003</v>
      </c>
      <c r="Q564" s="86">
        <f t="shared" si="864"/>
        <v>19.575348000000002</v>
      </c>
      <c r="R564" s="86">
        <f t="shared" si="864"/>
        <v>0</v>
      </c>
      <c r="S564" s="86">
        <f t="shared" si="864"/>
        <v>0</v>
      </c>
      <c r="T564" s="86">
        <f t="shared" si="864"/>
        <v>0</v>
      </c>
      <c r="U564" s="86">
        <f t="shared" si="864"/>
        <v>0</v>
      </c>
      <c r="V564" s="86">
        <f t="shared" si="864"/>
        <v>1852.9079400000003</v>
      </c>
      <c r="W564" s="86">
        <f t="shared" si="864"/>
        <v>0</v>
      </c>
      <c r="X564" s="86">
        <f t="shared" si="864"/>
        <v>0</v>
      </c>
      <c r="Y564" s="314">
        <f t="shared" si="864"/>
        <v>1852.9079400000003</v>
      </c>
    </row>
    <row r="565" spans="1:25" x14ac:dyDescent="0.2">
      <c r="A565" s="84"/>
      <c r="B565" s="85"/>
      <c r="C565" s="442">
        <f t="shared" si="860"/>
        <v>0</v>
      </c>
      <c r="D565" s="85"/>
      <c r="E565" s="85"/>
      <c r="F565" s="85"/>
      <c r="G565" s="85"/>
      <c r="H565" s="85"/>
      <c r="I565" s="108"/>
      <c r="J565" s="85" t="s">
        <v>127</v>
      </c>
      <c r="K565" s="86"/>
      <c r="L565" s="86">
        <f t="shared" si="864"/>
        <v>29120</v>
      </c>
      <c r="M565" s="86">
        <f t="shared" si="864"/>
        <v>0</v>
      </c>
      <c r="N565" s="86">
        <f t="shared" si="864"/>
        <v>430137.96799999999</v>
      </c>
      <c r="O565" s="86">
        <f t="shared" si="864"/>
        <v>0</v>
      </c>
      <c r="P565" s="86">
        <f t="shared" si="864"/>
        <v>153989.39254399997</v>
      </c>
      <c r="Q565" s="86">
        <f t="shared" si="864"/>
        <v>6237.0005360000005</v>
      </c>
      <c r="R565" s="86">
        <f t="shared" si="864"/>
        <v>0</v>
      </c>
      <c r="S565" s="86">
        <f t="shared" si="864"/>
        <v>58073.520000000004</v>
      </c>
      <c r="T565" s="86">
        <f t="shared" si="864"/>
        <v>5520.0000000000009</v>
      </c>
      <c r="U565" s="86">
        <f t="shared" si="864"/>
        <v>2235.6</v>
      </c>
      <c r="V565" s="86">
        <f t="shared" si="864"/>
        <v>656193.48107999994</v>
      </c>
      <c r="W565" s="86">
        <f t="shared" si="864"/>
        <v>0</v>
      </c>
      <c r="X565" s="86">
        <f t="shared" si="864"/>
        <v>0</v>
      </c>
      <c r="Y565" s="314">
        <f t="shared" si="864"/>
        <v>656193.48107999994</v>
      </c>
    </row>
    <row r="566" spans="1:25" x14ac:dyDescent="0.2">
      <c r="A566" s="84"/>
      <c r="B566" s="85"/>
      <c r="C566" s="442">
        <f t="shared" si="860"/>
        <v>0</v>
      </c>
      <c r="D566" s="85"/>
      <c r="E566" s="85"/>
      <c r="F566" s="85"/>
      <c r="G566" s="85"/>
      <c r="H566" s="85"/>
      <c r="I566" s="108"/>
      <c r="J566" s="85" t="s">
        <v>141</v>
      </c>
      <c r="K566" s="86"/>
      <c r="L566" s="86">
        <f t="shared" si="864"/>
        <v>0</v>
      </c>
      <c r="M566" s="86">
        <f t="shared" si="864"/>
        <v>0</v>
      </c>
      <c r="N566" s="86">
        <f t="shared" si="864"/>
        <v>0</v>
      </c>
      <c r="O566" s="86">
        <f t="shared" si="864"/>
        <v>0</v>
      </c>
      <c r="P566" s="86">
        <f t="shared" si="864"/>
        <v>0</v>
      </c>
      <c r="Q566" s="86">
        <f t="shared" si="864"/>
        <v>0</v>
      </c>
      <c r="R566" s="86">
        <f t="shared" si="864"/>
        <v>0</v>
      </c>
      <c r="S566" s="86">
        <f t="shared" si="864"/>
        <v>0</v>
      </c>
      <c r="T566" s="86">
        <f t="shared" si="864"/>
        <v>0</v>
      </c>
      <c r="U566" s="86">
        <f t="shared" si="864"/>
        <v>0</v>
      </c>
      <c r="V566" s="86">
        <f t="shared" si="864"/>
        <v>0</v>
      </c>
      <c r="W566" s="86">
        <f t="shared" si="864"/>
        <v>0</v>
      </c>
      <c r="X566" s="86">
        <f t="shared" si="864"/>
        <v>0</v>
      </c>
      <c r="Y566" s="314">
        <f t="shared" si="864"/>
        <v>0</v>
      </c>
    </row>
    <row r="567" spans="1:25" x14ac:dyDescent="0.2">
      <c r="A567" s="84"/>
      <c r="B567" s="85"/>
      <c r="C567" s="442">
        <f t="shared" si="860"/>
        <v>0</v>
      </c>
      <c r="D567" s="85"/>
      <c r="E567" s="85"/>
      <c r="F567" s="85"/>
      <c r="G567" s="85"/>
      <c r="H567" s="85"/>
      <c r="I567" s="108"/>
      <c r="J567" s="85" t="s">
        <v>66</v>
      </c>
      <c r="K567" s="86"/>
      <c r="L567" s="86">
        <f t="shared" si="864"/>
        <v>0</v>
      </c>
      <c r="M567" s="86">
        <f t="shared" si="864"/>
        <v>0</v>
      </c>
      <c r="N567" s="86">
        <f t="shared" si="864"/>
        <v>0</v>
      </c>
      <c r="O567" s="86">
        <f t="shared" si="864"/>
        <v>0</v>
      </c>
      <c r="P567" s="86">
        <f t="shared" si="864"/>
        <v>0</v>
      </c>
      <c r="Q567" s="86">
        <f t="shared" si="864"/>
        <v>0</v>
      </c>
      <c r="R567" s="86">
        <f t="shared" si="864"/>
        <v>0</v>
      </c>
      <c r="S567" s="86">
        <f t="shared" si="864"/>
        <v>0</v>
      </c>
      <c r="T567" s="86">
        <f t="shared" si="864"/>
        <v>0</v>
      </c>
      <c r="U567" s="86">
        <f t="shared" si="864"/>
        <v>0</v>
      </c>
      <c r="V567" s="86">
        <f t="shared" si="864"/>
        <v>0</v>
      </c>
      <c r="W567" s="86">
        <f t="shared" si="864"/>
        <v>0</v>
      </c>
      <c r="X567" s="86">
        <f t="shared" si="864"/>
        <v>0</v>
      </c>
      <c r="Y567" s="314">
        <f t="shared" si="864"/>
        <v>0</v>
      </c>
    </row>
    <row r="568" spans="1:25" x14ac:dyDescent="0.2">
      <c r="A568" s="84"/>
      <c r="B568" s="85"/>
      <c r="C568" s="442">
        <f t="shared" si="860"/>
        <v>0</v>
      </c>
      <c r="D568" s="85"/>
      <c r="E568" s="85"/>
      <c r="F568" s="85"/>
      <c r="G568" s="85"/>
      <c r="H568" s="85"/>
      <c r="I568" s="85"/>
      <c r="J568" s="85" t="s">
        <v>128</v>
      </c>
      <c r="K568" s="86"/>
      <c r="L568" s="86">
        <f t="shared" si="864"/>
        <v>41600</v>
      </c>
      <c r="M568" s="86">
        <f t="shared" si="864"/>
        <v>0</v>
      </c>
      <c r="N568" s="86">
        <f t="shared" si="864"/>
        <v>540659.55631999997</v>
      </c>
      <c r="O568" s="86">
        <f t="shared" si="864"/>
        <v>0</v>
      </c>
      <c r="P568" s="86">
        <f t="shared" si="864"/>
        <v>193556.12116256001</v>
      </c>
      <c r="Q568" s="86">
        <f t="shared" si="864"/>
        <v>7839.5635666399994</v>
      </c>
      <c r="R568" s="86">
        <f t="shared" si="864"/>
        <v>0</v>
      </c>
      <c r="S568" s="86">
        <f t="shared" si="864"/>
        <v>47733.4</v>
      </c>
      <c r="T568" s="86">
        <f t="shared" si="864"/>
        <v>5154.7199999999993</v>
      </c>
      <c r="U568" s="86">
        <f t="shared" si="864"/>
        <v>1956.96</v>
      </c>
      <c r="V568" s="86">
        <f t="shared" si="864"/>
        <v>796900.32104920002</v>
      </c>
      <c r="W568" s="86">
        <f t="shared" si="864"/>
        <v>0</v>
      </c>
      <c r="X568" s="86">
        <f t="shared" si="864"/>
        <v>0</v>
      </c>
      <c r="Y568" s="314">
        <f t="shared" si="864"/>
        <v>796900.32104920002</v>
      </c>
    </row>
    <row r="569" spans="1:25" x14ac:dyDescent="0.2">
      <c r="A569" s="84"/>
      <c r="B569" s="85"/>
      <c r="C569" s="442">
        <f t="shared" si="860"/>
        <v>0</v>
      </c>
      <c r="D569" s="85"/>
      <c r="E569" s="85"/>
      <c r="F569" s="85"/>
      <c r="G569" s="85"/>
      <c r="H569" s="85"/>
      <c r="I569" s="85"/>
      <c r="J569" s="85" t="s">
        <v>126</v>
      </c>
      <c r="K569" s="86"/>
      <c r="L569" s="86">
        <f t="shared" si="864"/>
        <v>10400</v>
      </c>
      <c r="M569" s="86">
        <f t="shared" si="864"/>
        <v>0</v>
      </c>
      <c r="N569" s="86">
        <f t="shared" si="864"/>
        <v>23910.432000000001</v>
      </c>
      <c r="O569" s="86">
        <f t="shared" si="864"/>
        <v>0</v>
      </c>
      <c r="P569" s="86">
        <f t="shared" si="864"/>
        <v>8559.9346560000013</v>
      </c>
      <c r="Q569" s="86">
        <f t="shared" si="864"/>
        <v>346.70126400000004</v>
      </c>
      <c r="R569" s="86">
        <f t="shared" si="864"/>
        <v>0</v>
      </c>
      <c r="S569" s="86">
        <f t="shared" si="864"/>
        <v>0</v>
      </c>
      <c r="T569" s="86">
        <f t="shared" si="864"/>
        <v>0</v>
      </c>
      <c r="U569" s="86">
        <f t="shared" si="864"/>
        <v>0</v>
      </c>
      <c r="V569" s="86">
        <f t="shared" si="864"/>
        <v>32817.067920000001</v>
      </c>
      <c r="W569" s="86">
        <f t="shared" si="864"/>
        <v>0</v>
      </c>
      <c r="X569" s="86">
        <f t="shared" si="864"/>
        <v>0</v>
      </c>
      <c r="Y569" s="314">
        <f t="shared" si="864"/>
        <v>32817.067920000001</v>
      </c>
    </row>
    <row r="570" spans="1:25" x14ac:dyDescent="0.2">
      <c r="A570" s="84"/>
      <c r="B570" s="85"/>
      <c r="C570" s="442">
        <f t="shared" si="860"/>
        <v>0</v>
      </c>
      <c r="D570" s="85"/>
      <c r="E570" s="85"/>
      <c r="F570" s="85"/>
      <c r="G570" s="85"/>
      <c r="H570" s="85"/>
      <c r="I570" s="85"/>
      <c r="J570" s="85" t="s">
        <v>129</v>
      </c>
      <c r="K570" s="86"/>
      <c r="L570" s="86">
        <f t="shared" si="864"/>
        <v>18720</v>
      </c>
      <c r="M570" s="86">
        <f t="shared" si="864"/>
        <v>0</v>
      </c>
      <c r="N570" s="86">
        <f t="shared" si="864"/>
        <v>86835.378240000005</v>
      </c>
      <c r="O570" s="86">
        <f t="shared" si="864"/>
        <v>0</v>
      </c>
      <c r="P570" s="86">
        <f t="shared" si="864"/>
        <v>31087.065409919996</v>
      </c>
      <c r="Q570" s="86">
        <f t="shared" si="864"/>
        <v>1259.11298448</v>
      </c>
      <c r="R570" s="86">
        <f t="shared" si="864"/>
        <v>0</v>
      </c>
      <c r="S570" s="86">
        <f t="shared" si="864"/>
        <v>0</v>
      </c>
      <c r="T570" s="86">
        <f t="shared" si="864"/>
        <v>0</v>
      </c>
      <c r="U570" s="86">
        <f t="shared" si="864"/>
        <v>0</v>
      </c>
      <c r="V570" s="86">
        <f t="shared" si="864"/>
        <v>119181.5566344</v>
      </c>
      <c r="W570" s="86">
        <f t="shared" si="864"/>
        <v>0</v>
      </c>
      <c r="X570" s="86">
        <f t="shared" si="864"/>
        <v>0</v>
      </c>
      <c r="Y570" s="314">
        <f t="shared" si="864"/>
        <v>119181.5566344</v>
      </c>
    </row>
    <row r="571" spans="1:25" x14ac:dyDescent="0.2">
      <c r="A571" s="84"/>
      <c r="B571" s="85"/>
      <c r="C571" s="442">
        <f t="shared" si="860"/>
        <v>0</v>
      </c>
      <c r="D571" s="85"/>
      <c r="E571" s="85"/>
      <c r="F571" s="85"/>
      <c r="G571" s="85"/>
      <c r="H571" s="85"/>
      <c r="I571" s="85"/>
      <c r="J571" s="85" t="s">
        <v>692</v>
      </c>
      <c r="K571" s="86"/>
      <c r="L571" s="86">
        <f t="shared" si="864"/>
        <v>128180</v>
      </c>
      <c r="M571" s="86">
        <f t="shared" si="864"/>
        <v>0</v>
      </c>
      <c r="N571" s="86">
        <f t="shared" si="864"/>
        <v>2360900.3025599997</v>
      </c>
      <c r="O571" s="86">
        <f t="shared" si="864"/>
        <v>0</v>
      </c>
      <c r="P571" s="86">
        <f t="shared" si="864"/>
        <v>840377.0411164799</v>
      </c>
      <c r="Q571" s="86">
        <f t="shared" si="864"/>
        <v>33268.235987120002</v>
      </c>
      <c r="R571" s="86">
        <f t="shared" si="864"/>
        <v>2958.9872000000005</v>
      </c>
      <c r="S571" s="86">
        <f t="shared" si="864"/>
        <v>366428.63999999978</v>
      </c>
      <c r="T571" s="86">
        <f t="shared" si="864"/>
        <v>18386.400000000001</v>
      </c>
      <c r="U571" s="86">
        <f t="shared" si="864"/>
        <v>10674</v>
      </c>
      <c r="V571" s="86">
        <f t="shared" si="864"/>
        <v>3632993.6068635993</v>
      </c>
      <c r="W571" s="86">
        <f t="shared" si="864"/>
        <v>0</v>
      </c>
      <c r="X571" s="86">
        <f t="shared" si="864"/>
        <v>0</v>
      </c>
      <c r="Y571" s="314">
        <f t="shared" si="864"/>
        <v>3632993.6068635993</v>
      </c>
    </row>
    <row r="572" spans="1:25" x14ac:dyDescent="0.2">
      <c r="A572" s="84"/>
      <c r="B572" s="85"/>
      <c r="C572" s="442">
        <f t="shared" si="860"/>
        <v>0</v>
      </c>
      <c r="D572" s="85"/>
      <c r="E572" s="85"/>
      <c r="F572" s="85"/>
      <c r="G572" s="85"/>
      <c r="H572" s="85"/>
      <c r="I572" s="85"/>
      <c r="J572" s="85" t="s">
        <v>472</v>
      </c>
      <c r="K572" s="86"/>
      <c r="L572" s="86">
        <f t="shared" si="864"/>
        <v>4160</v>
      </c>
      <c r="M572" s="86">
        <f t="shared" si="864"/>
        <v>0</v>
      </c>
      <c r="N572" s="86">
        <f t="shared" si="864"/>
        <v>1994.7200000000003</v>
      </c>
      <c r="O572" s="86">
        <f t="shared" si="864"/>
        <v>0</v>
      </c>
      <c r="P572" s="86">
        <f t="shared" si="864"/>
        <v>714.10976000000005</v>
      </c>
      <c r="Q572" s="86">
        <f t="shared" si="864"/>
        <v>28.923440000000003</v>
      </c>
      <c r="R572" s="86">
        <f t="shared" si="864"/>
        <v>0</v>
      </c>
      <c r="S572" s="86">
        <f t="shared" si="864"/>
        <v>0</v>
      </c>
      <c r="T572" s="86">
        <f t="shared" si="864"/>
        <v>0</v>
      </c>
      <c r="U572" s="86">
        <f t="shared" si="864"/>
        <v>0</v>
      </c>
      <c r="V572" s="86">
        <f t="shared" si="864"/>
        <v>2737.7532000000001</v>
      </c>
      <c r="W572" s="86">
        <f t="shared" si="864"/>
        <v>0</v>
      </c>
      <c r="X572" s="86">
        <f t="shared" si="864"/>
        <v>0</v>
      </c>
      <c r="Y572" s="314">
        <f t="shared" si="864"/>
        <v>2737.7532000000001</v>
      </c>
    </row>
    <row r="573" spans="1:25" x14ac:dyDescent="0.2">
      <c r="A573" s="84"/>
      <c r="B573" s="85"/>
      <c r="C573" s="442">
        <f t="shared" si="860"/>
        <v>0</v>
      </c>
      <c r="D573" s="85"/>
      <c r="E573" s="85"/>
      <c r="F573" s="85"/>
      <c r="G573" s="85"/>
      <c r="H573" s="85"/>
      <c r="I573" s="85"/>
      <c r="J573" s="85" t="s">
        <v>143</v>
      </c>
      <c r="K573" s="86"/>
      <c r="L573" s="86">
        <f t="shared" si="864"/>
        <v>29120</v>
      </c>
      <c r="M573" s="86">
        <f t="shared" si="864"/>
        <v>0</v>
      </c>
      <c r="N573" s="86">
        <f t="shared" si="864"/>
        <v>199693.04575999998</v>
      </c>
      <c r="O573" s="86">
        <f t="shared" si="864"/>
        <v>0</v>
      </c>
      <c r="P573" s="86">
        <f t="shared" si="864"/>
        <v>71490.110382079991</v>
      </c>
      <c r="Q573" s="86">
        <f t="shared" si="864"/>
        <v>2895.5491635199996</v>
      </c>
      <c r="R573" s="86">
        <f t="shared" si="864"/>
        <v>0</v>
      </c>
      <c r="S573" s="86">
        <f t="shared" si="864"/>
        <v>18627.12</v>
      </c>
      <c r="T573" s="86">
        <f t="shared" si="864"/>
        <v>1084.08</v>
      </c>
      <c r="U573" s="86">
        <f t="shared" si="864"/>
        <v>972</v>
      </c>
      <c r="V573" s="86">
        <f t="shared" si="864"/>
        <v>294761.90530559997</v>
      </c>
      <c r="W573" s="86">
        <f t="shared" si="864"/>
        <v>0</v>
      </c>
      <c r="X573" s="86">
        <f t="shared" si="864"/>
        <v>0</v>
      </c>
      <c r="Y573" s="314">
        <f t="shared" si="864"/>
        <v>294761.90530559997</v>
      </c>
    </row>
    <row r="574" spans="1:25" x14ac:dyDescent="0.2">
      <c r="A574" s="84"/>
      <c r="B574" s="85"/>
      <c r="C574" s="442">
        <f t="shared" si="860"/>
        <v>0</v>
      </c>
      <c r="D574" s="85"/>
      <c r="E574" s="85"/>
      <c r="F574" s="85"/>
      <c r="G574" s="85"/>
      <c r="H574" s="85"/>
      <c r="I574" s="108"/>
      <c r="J574" s="85" t="s">
        <v>146</v>
      </c>
      <c r="K574" s="86"/>
      <c r="L574" s="86">
        <f t="shared" si="864"/>
        <v>0</v>
      </c>
      <c r="M574" s="86">
        <f t="shared" si="864"/>
        <v>0</v>
      </c>
      <c r="N574" s="86">
        <f t="shared" si="864"/>
        <v>0</v>
      </c>
      <c r="O574" s="86">
        <f t="shared" si="864"/>
        <v>0</v>
      </c>
      <c r="P574" s="86">
        <f t="shared" si="864"/>
        <v>0</v>
      </c>
      <c r="Q574" s="86">
        <f t="shared" si="864"/>
        <v>0</v>
      </c>
      <c r="R574" s="86">
        <f t="shared" si="864"/>
        <v>0</v>
      </c>
      <c r="S574" s="86">
        <f t="shared" si="864"/>
        <v>0</v>
      </c>
      <c r="T574" s="86">
        <f t="shared" si="864"/>
        <v>0</v>
      </c>
      <c r="U574" s="86">
        <f t="shared" si="864"/>
        <v>0</v>
      </c>
      <c r="V574" s="86">
        <f t="shared" si="864"/>
        <v>0</v>
      </c>
      <c r="W574" s="86">
        <f t="shared" si="864"/>
        <v>0</v>
      </c>
      <c r="X574" s="86">
        <f t="shared" si="864"/>
        <v>0</v>
      </c>
      <c r="Y574" s="314">
        <f t="shared" si="864"/>
        <v>0</v>
      </c>
    </row>
    <row r="575" spans="1:25" ht="13.5" thickBot="1" x14ac:dyDescent="0.25"/>
    <row r="576" spans="1:25" ht="13.5" thickBot="1" x14ac:dyDescent="0.25">
      <c r="A576" s="230"/>
      <c r="B576" s="230"/>
      <c r="C576" s="230">
        <f>C483-SUM(C511:C574)</f>
        <v>7</v>
      </c>
      <c r="D576" s="230" t="s">
        <v>1084</v>
      </c>
      <c r="E576" s="230"/>
      <c r="F576" s="230"/>
      <c r="G576" s="230"/>
      <c r="H576" s="230"/>
      <c r="I576" s="230"/>
      <c r="J576" s="230"/>
      <c r="K576" s="230"/>
      <c r="L576" s="230">
        <f t="shared" ref="L576:Y576" si="865">L463-SUM(L511:L574)</f>
        <v>12480</v>
      </c>
      <c r="M576" s="230">
        <f t="shared" si="865"/>
        <v>0</v>
      </c>
      <c r="N576" s="230">
        <f t="shared" si="865"/>
        <v>1.1175870895385742E-8</v>
      </c>
      <c r="O576" s="230">
        <f t="shared" si="865"/>
        <v>0</v>
      </c>
      <c r="P576" s="230">
        <f t="shared" si="865"/>
        <v>0</v>
      </c>
      <c r="Q576" s="230">
        <f t="shared" si="865"/>
        <v>0</v>
      </c>
      <c r="R576" s="230">
        <f t="shared" si="865"/>
        <v>0</v>
      </c>
      <c r="S576" s="230">
        <f t="shared" si="865"/>
        <v>0</v>
      </c>
      <c r="T576" s="230">
        <f t="shared" si="865"/>
        <v>0</v>
      </c>
      <c r="U576" s="230">
        <f t="shared" si="865"/>
        <v>0</v>
      </c>
      <c r="V576" s="230">
        <f t="shared" si="865"/>
        <v>0</v>
      </c>
      <c r="W576" s="230">
        <f t="shared" si="865"/>
        <v>0</v>
      </c>
      <c r="X576" s="230">
        <f t="shared" si="865"/>
        <v>0</v>
      </c>
      <c r="Y576" s="230">
        <f t="shared" si="865"/>
        <v>0</v>
      </c>
    </row>
  </sheetData>
  <autoFilter ref="A28:Y481"/>
  <sortState ref="A29:Y159">
    <sortCondition ref="C29:C159"/>
    <sortCondition ref="E29:E159"/>
  </sortState>
  <dataValidations count="9">
    <dataValidation type="list" allowBlank="1" showInputMessage="1" showErrorMessage="1" promptTitle="Type of Appointment" prompt="Choose the type of appointment from the list." sqref="G29:G462">
      <formula1>EEStatus</formula1>
    </dataValidation>
    <dataValidation type="list" allowBlank="1" showInputMessage="1" showErrorMessage="1" errorTitle="Error" error="You much choose from the list." promptTitle="Level of Funding" prompt="Choose the Level of Funding._x000a_0=Not Funded_x000a_1=Funded" sqref="H29:H462">
      <formula1>Funded</formula1>
    </dataValidation>
    <dataValidation type="list" allowBlank="1" showInputMessage="1" showErrorMessage="1" errorTitle="Error" error="You must choose from the list." promptTitle="Budget Unit" prompt="Choose the appropriate budget unit for each employee.  Each employee should ONLY have 1 budget unit. Env Review has been combined with Compliance, Facilities/Fleet is combined with Operations Admin, Homeowner Repair is combined with Disaster Housing." sqref="I29:I462">
      <formula1>Budgets</formula1>
    </dataValidation>
    <dataValidation type="list" allowBlank="1" showInputMessage="1" showErrorMessage="1" promptTitle="Funding Source" prompt="Choose the appropriate funding sources for the employee.  A single employee may have multiple funding sources." sqref="J29:J462">
      <formula1>Funding</formula1>
    </dataValidation>
    <dataValidation type="list" allowBlank="1" showInputMessage="1" showErrorMessage="1" errorTitle="Error" error="You must choose from the list." promptTitle="Classification" prompt="Choose the appropriate classification from the list." sqref="F29:F462">
      <formula1>Classification</formula1>
    </dataValidation>
    <dataValidation type="decimal" allowBlank="1" showInputMessage="1" showErrorMessage="1" errorTitle="Error" error="Enter the per diem rate for commissioners or the hourly rate for regular employees." promptTitle="Hourly Rate of Pay" prompt="Enter the Hourly Rate of Pay." sqref="K29:K462">
      <formula1>0</formula1>
      <formula2>125</formula2>
    </dataValidation>
    <dataValidation type="decimal" errorStyle="warning" allowBlank="1" showInputMessage="1" showErrorMessage="1" errorTitle="Warning" error="Only CASH overtime, which must be approved by the Appointing Authority, can make this estimate more than 2,080 hrs/year" promptTitle="No. of Hours Worked" prompt="Estimate the number of hours worked.  Most full time employees work 2,080/year (40 hrs/week x 2 weeks/pay period x 26 pay periods/year)" sqref="L29:L462">
      <formula1>0</formula1>
      <formula2>2080</formula2>
    </dataValidation>
    <dataValidation type="decimal" errorStyle="warning" allowBlank="1" showInputMessage="1" showErrorMessage="1" errorTitle="Warning" error="Only CASH overtime hours, which must be approved by the Appointing Authority, should be entered." promptTitle="No. of Hours Worked" prompt="Estimate the number of CASH overtime hours worked.  Most overtime worked by full time employees is paid in K-time hours ONLY.  CASH overtime must be approved by the Appointing Authority to be paid." sqref="M29:M462">
      <formula1>0</formula1>
      <formula2>1040</formula2>
    </dataValidation>
    <dataValidation type="list" allowBlank="1" showInputMessage="1" showErrorMessage="1" errorTitle="Error" error="You must choose from the list." promptTitle="Employee Name" prompt="Choose all current employees from the list and/or choose VACANT if you're requesting to fill a new position or one that is currently VACANT." sqref="C29:C462">
      <formula1>Employees</formula1>
    </dataValidation>
  </dataValidations>
  <printOptions horizontalCentered="1"/>
  <pageMargins left="0.45" right="0.45" top="0.5" bottom="0.5" header="0.3" footer="0.3"/>
  <pageSetup scale="75" orientation="landscape"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485"/>
  <sheetViews>
    <sheetView zoomScale="75" zoomScaleNormal="75" workbookViewId="0">
      <pane xSplit="4" ySplit="27" topLeftCell="E40" activePane="bottomRight" state="frozen"/>
      <selection activeCell="F24" sqref="F24"/>
      <selection pane="topRight" activeCell="F24" sqref="F24"/>
      <selection pane="bottomLeft" activeCell="F24" sqref="F24"/>
      <selection pane="bottomRight" activeCell="K9" sqref="K9"/>
    </sheetView>
  </sheetViews>
  <sheetFormatPr defaultRowHeight="15" x14ac:dyDescent="0.25"/>
  <cols>
    <col min="1" max="1" width="14.140625" style="4" hidden="1" customWidth="1"/>
    <col min="2" max="3" width="17.140625" style="3" customWidth="1"/>
    <col min="4" max="4" width="28.140625" style="4" customWidth="1"/>
    <col min="5" max="5" width="35.7109375" style="4" customWidth="1"/>
    <col min="6" max="6" width="25.140625" style="4" customWidth="1"/>
    <col min="7" max="7" width="13.28515625" style="4" hidden="1" customWidth="1"/>
    <col min="8" max="8" width="13.5703125" style="4" hidden="1" customWidth="1"/>
    <col min="9" max="9" width="14" style="4" hidden="1" customWidth="1"/>
    <col min="10" max="10" width="16.42578125" style="4" customWidth="1"/>
    <col min="11" max="11" width="15.42578125" style="4" customWidth="1"/>
    <col min="12" max="12" width="14.140625" style="4" hidden="1" customWidth="1"/>
    <col min="13" max="13" width="16.7109375" style="4" hidden="1" customWidth="1"/>
    <col min="14" max="15" width="16.7109375" style="4" customWidth="1"/>
    <col min="16" max="16" width="19.28515625" style="4" customWidth="1"/>
    <col min="17" max="20" width="9.140625" style="4" customWidth="1"/>
    <col min="21" max="16384" width="9.140625" style="4"/>
  </cols>
  <sheetData>
    <row r="1" spans="1:17" ht="19.5" thickBot="1" x14ac:dyDescent="0.35">
      <c r="B1" s="27" t="s">
        <v>522</v>
      </c>
      <c r="D1" s="3"/>
      <c r="E1" s="3"/>
      <c r="F1" s="776" t="s">
        <v>1579</v>
      </c>
      <c r="G1" s="777"/>
      <c r="H1" s="777"/>
      <c r="I1" s="777"/>
      <c r="J1" s="777"/>
      <c r="K1" s="778"/>
      <c r="L1" s="776" t="s">
        <v>1580</v>
      </c>
      <c r="M1" s="777"/>
      <c r="N1" s="777"/>
      <c r="O1" s="777"/>
      <c r="P1" s="778"/>
    </row>
    <row r="2" spans="1:17" ht="45" thickBot="1" x14ac:dyDescent="0.35">
      <c r="B2" s="27"/>
      <c r="D2" s="3"/>
      <c r="E2" s="3"/>
      <c r="F2" s="712" t="s">
        <v>1577</v>
      </c>
      <c r="G2" s="707"/>
      <c r="H2" s="708"/>
      <c r="I2" s="708"/>
      <c r="J2" s="709" t="s">
        <v>1575</v>
      </c>
      <c r="K2" s="711" t="s">
        <v>1576</v>
      </c>
      <c r="L2" s="708"/>
      <c r="M2" s="708"/>
      <c r="N2" s="713" t="s">
        <v>1578</v>
      </c>
      <c r="O2" s="710" t="s">
        <v>1575</v>
      </c>
      <c r="P2" s="711" t="s">
        <v>1576</v>
      </c>
    </row>
    <row r="3" spans="1:17" customFormat="1" ht="18.75" x14ac:dyDescent="0.3">
      <c r="A3" s="4"/>
      <c r="B3" s="96" t="s">
        <v>515</v>
      </c>
      <c r="C3" s="87"/>
      <c r="D3" s="88"/>
      <c r="E3" s="238">
        <f>E4+E11+E14+E15+E16+E19+E22+E23+E24+E25</f>
        <v>315244.5</v>
      </c>
      <c r="F3" s="714">
        <f>F4+F11+F14+F15+F16+F19+F22+F23+F24+F25</f>
        <v>160469</v>
      </c>
      <c r="G3" s="715"/>
      <c r="H3" s="715"/>
      <c r="I3" s="715"/>
      <c r="J3" s="716">
        <f t="shared" ref="J3:O3" si="0">J4+J11+J14+J15+J16+J19+J22+J23+J24+J25</f>
        <v>96374</v>
      </c>
      <c r="K3" s="717">
        <f t="shared" si="0"/>
        <v>64095</v>
      </c>
      <c r="L3" s="715"/>
      <c r="M3" s="715"/>
      <c r="N3" s="718">
        <f>N4+N11+N14+N15+N16+N19+N22+N23+N24+N25</f>
        <v>154775.5</v>
      </c>
      <c r="O3" s="715">
        <f t="shared" si="0"/>
        <v>7255</v>
      </c>
      <c r="P3" s="717">
        <f>P4+P11+P14+P15+P16+P19+P22+P23+P24+P25</f>
        <v>147520.5</v>
      </c>
      <c r="Q3" s="726">
        <f>E3-P280</f>
        <v>0</v>
      </c>
    </row>
    <row r="4" spans="1:17" customFormat="1" ht="15" customHeight="1" x14ac:dyDescent="0.3">
      <c r="A4" s="4"/>
      <c r="B4" s="648" t="s">
        <v>511</v>
      </c>
      <c r="C4" s="649"/>
      <c r="D4" s="29"/>
      <c r="E4" s="215">
        <f>SUM(E5:E10)</f>
        <v>54780</v>
      </c>
      <c r="F4" s="714">
        <f>SUM(F5:F10)</f>
        <v>45310</v>
      </c>
      <c r="G4" s="660"/>
      <c r="H4" s="660"/>
      <c r="I4" s="660"/>
      <c r="J4" s="719">
        <f t="shared" ref="J4:O4" si="1">SUM(J5:J10)</f>
        <v>0</v>
      </c>
      <c r="K4" s="720">
        <f t="shared" si="1"/>
        <v>45310</v>
      </c>
      <c r="L4" s="660"/>
      <c r="M4" s="660"/>
      <c r="N4" s="718">
        <f>SUM(N5:N10)</f>
        <v>9470</v>
      </c>
      <c r="O4" s="660">
        <f t="shared" si="1"/>
        <v>0</v>
      </c>
      <c r="P4" s="720">
        <f>SUM(P5:P10)</f>
        <v>9470</v>
      </c>
    </row>
    <row r="5" spans="1:17" customFormat="1" ht="15" customHeight="1" x14ac:dyDescent="0.3">
      <c r="A5" s="4"/>
      <c r="B5" s="648"/>
      <c r="C5" s="649" t="s">
        <v>513</v>
      </c>
      <c r="D5" s="29"/>
      <c r="E5" s="660">
        <f>F5+N5</f>
        <v>13900</v>
      </c>
      <c r="F5" s="714">
        <f>SUM(J5:K5)</f>
        <v>6430</v>
      </c>
      <c r="G5" s="660"/>
      <c r="H5" s="660"/>
      <c r="I5" s="660"/>
      <c r="J5" s="719">
        <f>P281</f>
        <v>0</v>
      </c>
      <c r="K5" s="752">
        <f>P299+P317</f>
        <v>6430</v>
      </c>
      <c r="L5" s="660"/>
      <c r="M5" s="660"/>
      <c r="N5" s="718">
        <f>SUM(O5:P5)</f>
        <v>7470</v>
      </c>
      <c r="O5" s="660">
        <f>P335</f>
        <v>0</v>
      </c>
      <c r="P5" s="752">
        <f>P353+P371</f>
        <v>7470</v>
      </c>
    </row>
    <row r="6" spans="1:17" customFormat="1" ht="15" customHeight="1" x14ac:dyDescent="0.3">
      <c r="A6" s="4"/>
      <c r="B6" s="648"/>
      <c r="C6" s="649" t="s">
        <v>32</v>
      </c>
      <c r="D6" s="29"/>
      <c r="E6" s="660">
        <f t="shared" ref="E6:E25" si="2">F6+N6</f>
        <v>4880</v>
      </c>
      <c r="F6" s="714">
        <f t="shared" ref="F6:F9" si="3">SUM(J6:K6)</f>
        <v>2880</v>
      </c>
      <c r="G6" s="660"/>
      <c r="H6" s="660"/>
      <c r="I6" s="660"/>
      <c r="J6" s="719">
        <f>P283</f>
        <v>0</v>
      </c>
      <c r="K6" s="752">
        <f>P301+P319</f>
        <v>2880</v>
      </c>
      <c r="L6" s="660"/>
      <c r="M6" s="660"/>
      <c r="N6" s="718">
        <f t="shared" ref="N6:N25" si="4">SUM(O6:P6)</f>
        <v>2000</v>
      </c>
      <c r="O6" s="660">
        <f>P337</f>
        <v>0</v>
      </c>
      <c r="P6" s="752">
        <f>P355+P373</f>
        <v>2000</v>
      </c>
    </row>
    <row r="7" spans="1:17" customFormat="1" ht="15" customHeight="1" x14ac:dyDescent="0.3">
      <c r="A7" s="4"/>
      <c r="B7" s="648"/>
      <c r="C7" s="649" t="s">
        <v>536</v>
      </c>
      <c r="D7" s="29"/>
      <c r="E7" s="660">
        <f t="shared" si="2"/>
        <v>1000</v>
      </c>
      <c r="F7" s="714">
        <f t="shared" si="3"/>
        <v>1000</v>
      </c>
      <c r="G7" s="660"/>
      <c r="H7" s="660"/>
      <c r="I7" s="660"/>
      <c r="J7" s="719">
        <f>P289</f>
        <v>0</v>
      </c>
      <c r="K7" s="752">
        <f>P307+P325</f>
        <v>1000</v>
      </c>
      <c r="L7" s="660"/>
      <c r="M7" s="660"/>
      <c r="N7" s="718">
        <f t="shared" si="4"/>
        <v>0</v>
      </c>
      <c r="O7" s="660">
        <f>P343</f>
        <v>0</v>
      </c>
      <c r="P7" s="720">
        <f>P361+P379</f>
        <v>0</v>
      </c>
    </row>
    <row r="8" spans="1:17" customFormat="1" ht="15" customHeight="1" x14ac:dyDescent="0.3">
      <c r="A8" s="4"/>
      <c r="B8" s="648"/>
      <c r="C8" s="649" t="s">
        <v>36</v>
      </c>
      <c r="D8" s="29"/>
      <c r="E8" s="660">
        <f t="shared" si="2"/>
        <v>30000</v>
      </c>
      <c r="F8" s="714">
        <f t="shared" si="3"/>
        <v>30000</v>
      </c>
      <c r="G8" s="660"/>
      <c r="H8" s="660"/>
      <c r="I8" s="660"/>
      <c r="J8" s="719">
        <f>P290</f>
        <v>0</v>
      </c>
      <c r="K8" s="752">
        <f>P308+P326</f>
        <v>30000</v>
      </c>
      <c r="L8" s="660"/>
      <c r="M8" s="660"/>
      <c r="N8" s="718">
        <f t="shared" si="4"/>
        <v>0</v>
      </c>
      <c r="O8" s="660">
        <f>P344</f>
        <v>0</v>
      </c>
      <c r="P8" s="720">
        <f>P362+P380</f>
        <v>0</v>
      </c>
    </row>
    <row r="9" spans="1:17" customFormat="1" ht="15" customHeight="1" x14ac:dyDescent="0.3">
      <c r="A9" s="4"/>
      <c r="B9" s="648"/>
      <c r="C9" s="649" t="s">
        <v>683</v>
      </c>
      <c r="D9" s="29"/>
      <c r="E9" s="660">
        <f t="shared" si="2"/>
        <v>5000</v>
      </c>
      <c r="F9" s="714">
        <f t="shared" si="3"/>
        <v>5000</v>
      </c>
      <c r="G9" s="660"/>
      <c r="H9" s="660"/>
      <c r="I9" s="660"/>
      <c r="J9" s="719">
        <f>P294</f>
        <v>0</v>
      </c>
      <c r="K9" s="720">
        <f>P312+P330</f>
        <v>5000</v>
      </c>
      <c r="L9" s="660"/>
      <c r="M9" s="660"/>
      <c r="N9" s="718">
        <f t="shared" si="4"/>
        <v>0</v>
      </c>
      <c r="O9" s="660">
        <f>P348</f>
        <v>0</v>
      </c>
      <c r="P9" s="720">
        <f>P366+P384</f>
        <v>0</v>
      </c>
    </row>
    <row r="10" spans="1:17" customFormat="1" ht="15" customHeight="1" x14ac:dyDescent="0.3">
      <c r="A10" s="4"/>
      <c r="B10" s="648"/>
      <c r="C10" s="649" t="s">
        <v>35</v>
      </c>
      <c r="D10" s="29"/>
      <c r="E10" s="660">
        <f t="shared" si="2"/>
        <v>0</v>
      </c>
      <c r="F10" s="714">
        <f>SUM(J10:K10)</f>
        <v>0</v>
      </c>
      <c r="G10" s="660"/>
      <c r="H10" s="660"/>
      <c r="I10" s="660"/>
      <c r="J10" s="719">
        <f>P296</f>
        <v>0</v>
      </c>
      <c r="K10" s="720">
        <f>P314+P332</f>
        <v>0</v>
      </c>
      <c r="L10" s="660"/>
      <c r="M10" s="660"/>
      <c r="N10" s="718">
        <f t="shared" si="4"/>
        <v>0</v>
      </c>
      <c r="O10" s="660">
        <f>P350</f>
        <v>0</v>
      </c>
      <c r="P10" s="720">
        <f>P368+P386</f>
        <v>0</v>
      </c>
    </row>
    <row r="11" spans="1:17" customFormat="1" ht="15" customHeight="1" x14ac:dyDescent="0.3">
      <c r="A11" s="4"/>
      <c r="B11" s="648" t="s">
        <v>514</v>
      </c>
      <c r="C11" s="649"/>
      <c r="D11" s="29"/>
      <c r="E11" s="215">
        <f>SUM(E12:E13)</f>
        <v>48985</v>
      </c>
      <c r="F11" s="714">
        <f>SUM(F12:F13)</f>
        <v>38435</v>
      </c>
      <c r="G11" s="660"/>
      <c r="H11" s="660"/>
      <c r="I11" s="660"/>
      <c r="J11" s="719">
        <f>SUM(J12:J13)</f>
        <v>35150</v>
      </c>
      <c r="K11" s="720">
        <f t="shared" ref="K11:O11" si="5">SUM(K12:K13)</f>
        <v>3285</v>
      </c>
      <c r="L11" s="660"/>
      <c r="M11" s="660"/>
      <c r="N11" s="718">
        <f>SUM(N12:N13)</f>
        <v>10550</v>
      </c>
      <c r="O11" s="660">
        <f t="shared" si="5"/>
        <v>0</v>
      </c>
      <c r="P11" s="720">
        <f>SUM(P12:P13)</f>
        <v>10550</v>
      </c>
    </row>
    <row r="12" spans="1:17" customFormat="1" ht="15" customHeight="1" x14ac:dyDescent="0.3">
      <c r="A12" s="4"/>
      <c r="B12" s="648"/>
      <c r="C12" s="649" t="s">
        <v>682</v>
      </c>
      <c r="D12" s="29"/>
      <c r="E12" s="660">
        <f t="shared" si="2"/>
        <v>43565</v>
      </c>
      <c r="F12" s="714">
        <f t="shared" ref="F12:F15" si="6">SUM(J12:K12)</f>
        <v>38135</v>
      </c>
      <c r="G12" s="660"/>
      <c r="H12" s="660"/>
      <c r="I12" s="660"/>
      <c r="J12" s="719">
        <f>P284</f>
        <v>35150</v>
      </c>
      <c r="K12" s="720">
        <f>P302+P320</f>
        <v>2985</v>
      </c>
      <c r="L12" s="660"/>
      <c r="M12" s="660"/>
      <c r="N12" s="718">
        <f t="shared" si="4"/>
        <v>5430</v>
      </c>
      <c r="O12" s="660">
        <f>P338</f>
        <v>0</v>
      </c>
      <c r="P12" s="720">
        <f>P356+P374</f>
        <v>5430</v>
      </c>
    </row>
    <row r="13" spans="1:17" customFormat="1" ht="15" customHeight="1" x14ac:dyDescent="0.3">
      <c r="A13" s="4"/>
      <c r="B13" s="648"/>
      <c r="C13" s="649" t="s">
        <v>41</v>
      </c>
      <c r="D13" s="29"/>
      <c r="E13" s="660">
        <f t="shared" si="2"/>
        <v>5420</v>
      </c>
      <c r="F13" s="714">
        <f t="shared" si="6"/>
        <v>300</v>
      </c>
      <c r="G13" s="660"/>
      <c r="H13" s="660"/>
      <c r="I13" s="660"/>
      <c r="J13" s="719">
        <f>P285</f>
        <v>0</v>
      </c>
      <c r="K13" s="720">
        <f>P303+P321</f>
        <v>300</v>
      </c>
      <c r="L13" s="660"/>
      <c r="M13" s="660"/>
      <c r="N13" s="718">
        <f t="shared" si="4"/>
        <v>5120</v>
      </c>
      <c r="O13" s="660">
        <f>P339</f>
        <v>0</v>
      </c>
      <c r="P13" s="720">
        <f>P357+P375</f>
        <v>5120</v>
      </c>
    </row>
    <row r="14" spans="1:17" customFormat="1" ht="15" customHeight="1" x14ac:dyDescent="0.3">
      <c r="A14" s="4"/>
      <c r="B14" s="648" t="s">
        <v>775</v>
      </c>
      <c r="C14" s="649"/>
      <c r="D14" s="29"/>
      <c r="E14" s="215">
        <f t="shared" si="2"/>
        <v>8000</v>
      </c>
      <c r="F14" s="714">
        <f t="shared" si="6"/>
        <v>5000</v>
      </c>
      <c r="G14" s="660"/>
      <c r="H14" s="660"/>
      <c r="I14" s="660"/>
      <c r="J14" s="719">
        <f>P286</f>
        <v>2000</v>
      </c>
      <c r="K14" s="720">
        <f>P304+P322</f>
        <v>3000</v>
      </c>
      <c r="L14" s="660"/>
      <c r="M14" s="660"/>
      <c r="N14" s="718">
        <f t="shared" si="4"/>
        <v>3000</v>
      </c>
      <c r="O14" s="660">
        <f>P340</f>
        <v>0</v>
      </c>
      <c r="P14" s="720">
        <f>P358+P376</f>
        <v>3000</v>
      </c>
    </row>
    <row r="15" spans="1:17" customFormat="1" ht="15" customHeight="1" x14ac:dyDescent="0.3">
      <c r="A15" s="4"/>
      <c r="B15" s="648" t="s">
        <v>660</v>
      </c>
      <c r="C15" s="649"/>
      <c r="D15" s="29"/>
      <c r="E15" s="215">
        <f t="shared" si="2"/>
        <v>26820</v>
      </c>
      <c r="F15" s="714">
        <f t="shared" si="6"/>
        <v>11980</v>
      </c>
      <c r="G15" s="660"/>
      <c r="H15" s="660"/>
      <c r="I15" s="660"/>
      <c r="J15" s="719">
        <f>P287</f>
        <v>11980</v>
      </c>
      <c r="K15" s="720">
        <f>P305+P323</f>
        <v>0</v>
      </c>
      <c r="L15" s="660"/>
      <c r="M15" s="660"/>
      <c r="N15" s="718">
        <f t="shared" si="4"/>
        <v>14840</v>
      </c>
      <c r="O15" s="660">
        <f>P341</f>
        <v>0</v>
      </c>
      <c r="P15" s="720">
        <f>P359+P377</f>
        <v>14840</v>
      </c>
    </row>
    <row r="16" spans="1:17" customFormat="1" ht="15" customHeight="1" x14ac:dyDescent="0.3">
      <c r="A16" s="4"/>
      <c r="B16" s="648" t="s">
        <v>518</v>
      </c>
      <c r="C16" s="649"/>
      <c r="D16" s="29"/>
      <c r="E16" s="215">
        <f>SUM(E17:E18)</f>
        <v>108934.5</v>
      </c>
      <c r="F16" s="714">
        <f>SUM(F17:F18)</f>
        <v>30744</v>
      </c>
      <c r="G16" s="660"/>
      <c r="H16" s="660"/>
      <c r="I16" s="660"/>
      <c r="J16" s="719">
        <f>SUM(J17:J18)</f>
        <v>19744</v>
      </c>
      <c r="K16" s="720">
        <f t="shared" ref="K16:O16" si="7">SUM(K17:K18)</f>
        <v>11000</v>
      </c>
      <c r="L16" s="660"/>
      <c r="M16" s="660"/>
      <c r="N16" s="718">
        <f>SUM(N17:N18)</f>
        <v>78190.5</v>
      </c>
      <c r="O16" s="660">
        <f t="shared" si="7"/>
        <v>7255</v>
      </c>
      <c r="P16" s="720">
        <f>SUM(P17:P18)</f>
        <v>70935.5</v>
      </c>
    </row>
    <row r="17" spans="1:16" customFormat="1" ht="15" customHeight="1" x14ac:dyDescent="0.3">
      <c r="A17" s="4"/>
      <c r="B17" s="648"/>
      <c r="C17" s="649" t="s">
        <v>512</v>
      </c>
      <c r="D17" s="29"/>
      <c r="E17" s="660">
        <f t="shared" si="2"/>
        <v>70365</v>
      </c>
      <c r="F17" s="714">
        <f t="shared" ref="F17:F18" si="8">SUM(J17:K17)</f>
        <v>23744</v>
      </c>
      <c r="G17" s="660"/>
      <c r="H17" s="660"/>
      <c r="I17" s="660"/>
      <c r="J17" s="719">
        <f>P282</f>
        <v>18744</v>
      </c>
      <c r="K17" s="720">
        <f>P300+P318</f>
        <v>5000</v>
      </c>
      <c r="L17" s="660"/>
      <c r="M17" s="660"/>
      <c r="N17" s="718">
        <f t="shared" si="4"/>
        <v>46621</v>
      </c>
      <c r="O17" s="660">
        <f>P336</f>
        <v>0</v>
      </c>
      <c r="P17" s="720">
        <f>P354+P372</f>
        <v>46621</v>
      </c>
    </row>
    <row r="18" spans="1:16" customFormat="1" ht="15" customHeight="1" x14ac:dyDescent="0.3">
      <c r="A18" s="4"/>
      <c r="B18" s="648"/>
      <c r="C18" s="649" t="s">
        <v>29</v>
      </c>
      <c r="D18" s="29"/>
      <c r="E18" s="660">
        <f t="shared" si="2"/>
        <v>38569.5</v>
      </c>
      <c r="F18" s="714">
        <f t="shared" si="8"/>
        <v>7000</v>
      </c>
      <c r="G18" s="660"/>
      <c r="H18" s="660"/>
      <c r="I18" s="660"/>
      <c r="J18" s="719">
        <f>P288</f>
        <v>1000</v>
      </c>
      <c r="K18" s="720">
        <f>P306+P324</f>
        <v>6000</v>
      </c>
      <c r="L18" s="660"/>
      <c r="M18" s="660"/>
      <c r="N18" s="718">
        <f t="shared" si="4"/>
        <v>31569.5</v>
      </c>
      <c r="O18" s="660">
        <f>P342</f>
        <v>7255</v>
      </c>
      <c r="P18" s="720">
        <f>P360+P378</f>
        <v>24314.5</v>
      </c>
    </row>
    <row r="19" spans="1:16" customFormat="1" ht="15" customHeight="1" x14ac:dyDescent="0.3">
      <c r="A19" s="4"/>
      <c r="B19" s="648" t="s">
        <v>519</v>
      </c>
      <c r="C19" s="649"/>
      <c r="D19" s="29"/>
      <c r="E19" s="215">
        <f>SUM(E20:E21)</f>
        <v>11000</v>
      </c>
      <c r="F19" s="714">
        <f>SUM(F20:F21)</f>
        <v>5000</v>
      </c>
      <c r="G19" s="660"/>
      <c r="H19" s="660"/>
      <c r="I19" s="660"/>
      <c r="J19" s="719">
        <f>SUM(J20:J21)</f>
        <v>5000</v>
      </c>
      <c r="K19" s="720">
        <f t="shared" ref="K19:O19" si="9">SUM(K20:K21)</f>
        <v>0</v>
      </c>
      <c r="L19" s="660"/>
      <c r="M19" s="660"/>
      <c r="N19" s="718">
        <f>SUM(N20:N21)</f>
        <v>6000</v>
      </c>
      <c r="O19" s="660">
        <f t="shared" si="9"/>
        <v>0</v>
      </c>
      <c r="P19" s="720">
        <f>SUM(P20:P21)</f>
        <v>6000</v>
      </c>
    </row>
    <row r="20" spans="1:16" customFormat="1" ht="15" customHeight="1" x14ac:dyDescent="0.3">
      <c r="A20" s="4"/>
      <c r="B20" s="648"/>
      <c r="C20" s="649" t="s">
        <v>526</v>
      </c>
      <c r="D20" s="29"/>
      <c r="E20" s="660">
        <f t="shared" si="2"/>
        <v>5550</v>
      </c>
      <c r="F20" s="714">
        <f t="shared" ref="F20:F25" si="10">SUM(J20:K20)</f>
        <v>0</v>
      </c>
      <c r="G20" s="660"/>
      <c r="H20" s="660"/>
      <c r="I20" s="660"/>
      <c r="J20" s="719">
        <f>P297</f>
        <v>0</v>
      </c>
      <c r="K20" s="720">
        <f>P315+P333</f>
        <v>0</v>
      </c>
      <c r="L20" s="660"/>
      <c r="M20" s="660"/>
      <c r="N20" s="718">
        <f t="shared" si="4"/>
        <v>5550</v>
      </c>
      <c r="O20" s="660">
        <f>P351</f>
        <v>0</v>
      </c>
      <c r="P20" s="720">
        <f>P369+P387</f>
        <v>5550</v>
      </c>
    </row>
    <row r="21" spans="1:16" customFormat="1" ht="15" customHeight="1" x14ac:dyDescent="0.3">
      <c r="A21" s="4"/>
      <c r="B21" s="648"/>
      <c r="C21" s="649" t="s">
        <v>525</v>
      </c>
      <c r="D21" s="29"/>
      <c r="E21" s="660">
        <f t="shared" si="2"/>
        <v>5450</v>
      </c>
      <c r="F21" s="714">
        <f t="shared" si="10"/>
        <v>5000</v>
      </c>
      <c r="G21" s="660"/>
      <c r="H21" s="660"/>
      <c r="I21" s="660"/>
      <c r="J21" s="719">
        <f>P298</f>
        <v>5000</v>
      </c>
      <c r="K21" s="720">
        <f>P316+P334</f>
        <v>0</v>
      </c>
      <c r="L21" s="660"/>
      <c r="M21" s="660"/>
      <c r="N21" s="718">
        <f t="shared" si="4"/>
        <v>450</v>
      </c>
      <c r="O21" s="660">
        <f>P352</f>
        <v>0</v>
      </c>
      <c r="P21" s="720">
        <f>P370+P388</f>
        <v>450</v>
      </c>
    </row>
    <row r="22" spans="1:16" customFormat="1" ht="15" customHeight="1" x14ac:dyDescent="0.3">
      <c r="A22" s="4"/>
      <c r="B22" s="648" t="s">
        <v>31</v>
      </c>
      <c r="C22" s="649"/>
      <c r="D22" s="29"/>
      <c r="E22" s="215">
        <f t="shared" si="2"/>
        <v>1500</v>
      </c>
      <c r="F22" s="714">
        <f t="shared" si="10"/>
        <v>1500</v>
      </c>
      <c r="G22" s="660"/>
      <c r="H22" s="660"/>
      <c r="I22" s="660"/>
      <c r="J22" s="719">
        <f>P291</f>
        <v>0</v>
      </c>
      <c r="K22" s="720">
        <f>P309+P327</f>
        <v>1500</v>
      </c>
      <c r="L22" s="660"/>
      <c r="M22" s="660"/>
      <c r="N22" s="718">
        <f t="shared" si="4"/>
        <v>0</v>
      </c>
      <c r="O22" s="660">
        <f>P345</f>
        <v>0</v>
      </c>
      <c r="P22" s="720">
        <f>P363+P381</f>
        <v>0</v>
      </c>
    </row>
    <row r="23" spans="1:16" customFormat="1" ht="15" customHeight="1" x14ac:dyDescent="0.3">
      <c r="A23" s="4"/>
      <c r="B23" s="648" t="s">
        <v>516</v>
      </c>
      <c r="C23" s="649"/>
      <c r="D23" s="29"/>
      <c r="E23" s="215">
        <f t="shared" si="2"/>
        <v>11400</v>
      </c>
      <c r="F23" s="714">
        <f t="shared" si="10"/>
        <v>0</v>
      </c>
      <c r="G23" s="660"/>
      <c r="H23" s="660"/>
      <c r="I23" s="660"/>
      <c r="J23" s="719">
        <f>P292</f>
        <v>0</v>
      </c>
      <c r="K23" s="720">
        <f>P310+P328</f>
        <v>0</v>
      </c>
      <c r="L23" s="660"/>
      <c r="M23" s="660"/>
      <c r="N23" s="718">
        <f t="shared" si="4"/>
        <v>11400</v>
      </c>
      <c r="O23" s="660">
        <f>P346</f>
        <v>0</v>
      </c>
      <c r="P23" s="720">
        <f>P364+P382</f>
        <v>11400</v>
      </c>
    </row>
    <row r="24" spans="1:16" customFormat="1" ht="15" customHeight="1" x14ac:dyDescent="0.3">
      <c r="A24" s="4"/>
      <c r="B24" s="648" t="s">
        <v>517</v>
      </c>
      <c r="C24" s="649"/>
      <c r="D24" s="29"/>
      <c r="E24" s="215">
        <f t="shared" si="2"/>
        <v>30425</v>
      </c>
      <c r="F24" s="714">
        <f t="shared" si="10"/>
        <v>12500</v>
      </c>
      <c r="G24" s="660"/>
      <c r="H24" s="660"/>
      <c r="I24" s="660"/>
      <c r="J24" s="719">
        <f>P293</f>
        <v>12500</v>
      </c>
      <c r="K24" s="720">
        <f>P311+P329</f>
        <v>0</v>
      </c>
      <c r="L24" s="660"/>
      <c r="M24" s="660"/>
      <c r="N24" s="718">
        <f t="shared" si="4"/>
        <v>17925</v>
      </c>
      <c r="O24" s="660">
        <f>P347</f>
        <v>0</v>
      </c>
      <c r="P24" s="720">
        <f>P365+P383</f>
        <v>17925</v>
      </c>
    </row>
    <row r="25" spans="1:16" customFormat="1" ht="15" customHeight="1" thickBot="1" x14ac:dyDescent="0.35">
      <c r="A25" s="4"/>
      <c r="B25" s="650" t="s">
        <v>759</v>
      </c>
      <c r="C25" s="651"/>
      <c r="D25" s="94"/>
      <c r="E25" s="216">
        <f t="shared" si="2"/>
        <v>13400</v>
      </c>
      <c r="F25" s="721">
        <f t="shared" si="10"/>
        <v>10000</v>
      </c>
      <c r="G25" s="722"/>
      <c r="H25" s="722"/>
      <c r="I25" s="722"/>
      <c r="J25" s="723">
        <f>P295</f>
        <v>10000</v>
      </c>
      <c r="K25" s="724">
        <f>P313+P331</f>
        <v>0</v>
      </c>
      <c r="L25" s="722"/>
      <c r="M25" s="722"/>
      <c r="N25" s="725">
        <f t="shared" si="4"/>
        <v>3400</v>
      </c>
      <c r="O25" s="722">
        <f>P349</f>
        <v>0</v>
      </c>
      <c r="P25" s="724">
        <f>P367+P385</f>
        <v>3400</v>
      </c>
    </row>
    <row r="26" spans="1:16" ht="19.5" thickBot="1" x14ac:dyDescent="0.35">
      <c r="A26" s="27"/>
      <c r="D26" s="3"/>
      <c r="E26" s="661"/>
      <c r="F26" s="661"/>
      <c r="G26" s="3"/>
      <c r="H26" s="3"/>
      <c r="I26" s="3"/>
      <c r="J26" s="3">
        <v>6210</v>
      </c>
      <c r="K26" s="3">
        <v>6212</v>
      </c>
      <c r="L26" s="3"/>
      <c r="M26" s="3"/>
      <c r="N26" s="3"/>
      <c r="O26" s="3">
        <v>6220</v>
      </c>
      <c r="P26" s="661">
        <v>6222</v>
      </c>
    </row>
    <row r="27" spans="1:16" ht="30.75" thickTop="1" x14ac:dyDescent="0.25">
      <c r="A27" s="5" t="s">
        <v>464</v>
      </c>
      <c r="B27" s="8" t="s">
        <v>379</v>
      </c>
      <c r="C27" s="8" t="s">
        <v>15</v>
      </c>
      <c r="D27" s="6" t="s">
        <v>478</v>
      </c>
      <c r="E27" s="6" t="s">
        <v>479</v>
      </c>
      <c r="F27" s="6" t="s">
        <v>481</v>
      </c>
      <c r="G27" s="6" t="s">
        <v>476</v>
      </c>
      <c r="H27" s="6" t="s">
        <v>477</v>
      </c>
      <c r="I27" s="7" t="s">
        <v>480</v>
      </c>
      <c r="J27" s="6" t="s">
        <v>482</v>
      </c>
      <c r="K27" s="7" t="s">
        <v>483</v>
      </c>
      <c r="L27" s="6" t="s">
        <v>484</v>
      </c>
      <c r="M27" s="6" t="s">
        <v>485</v>
      </c>
      <c r="N27" s="6" t="s">
        <v>486</v>
      </c>
      <c r="O27" s="6" t="s">
        <v>487</v>
      </c>
      <c r="P27" s="8" t="s">
        <v>505</v>
      </c>
    </row>
    <row r="28" spans="1:16" x14ac:dyDescent="0.25">
      <c r="A28" s="515">
        <v>6212</v>
      </c>
      <c r="B28" s="518" t="s">
        <v>28</v>
      </c>
      <c r="C28" s="518" t="s">
        <v>692</v>
      </c>
      <c r="D28" s="467" t="s">
        <v>214</v>
      </c>
      <c r="E28" s="467" t="s">
        <v>974</v>
      </c>
      <c r="F28" s="467" t="s">
        <v>1113</v>
      </c>
      <c r="G28" s="465"/>
      <c r="H28" s="465"/>
      <c r="I28" s="467"/>
      <c r="J28" s="585">
        <v>250</v>
      </c>
      <c r="K28" s="586"/>
      <c r="L28" s="586"/>
      <c r="M28" s="520">
        <v>15</v>
      </c>
      <c r="N28" s="520"/>
      <c r="O28" s="520"/>
      <c r="P28" s="73">
        <f t="shared" ref="P28:P59" si="11">SUM(J28:O28)</f>
        <v>265</v>
      </c>
    </row>
    <row r="29" spans="1:16" x14ac:dyDescent="0.25">
      <c r="A29" s="515">
        <v>6212</v>
      </c>
      <c r="B29" s="518" t="s">
        <v>28</v>
      </c>
      <c r="C29" s="518" t="s">
        <v>692</v>
      </c>
      <c r="D29" s="518" t="s">
        <v>214</v>
      </c>
      <c r="E29" s="518" t="s">
        <v>975</v>
      </c>
      <c r="F29" s="467" t="s">
        <v>1113</v>
      </c>
      <c r="G29" s="587"/>
      <c r="H29" s="587"/>
      <c r="I29" s="518"/>
      <c r="J29" s="585">
        <v>200</v>
      </c>
      <c r="K29" s="516"/>
      <c r="L29" s="586"/>
      <c r="M29" s="516"/>
      <c r="N29" s="516"/>
      <c r="O29" s="516"/>
      <c r="P29" s="73">
        <f t="shared" si="11"/>
        <v>200</v>
      </c>
    </row>
    <row r="30" spans="1:16" x14ac:dyDescent="0.25">
      <c r="A30" s="515">
        <v>6212</v>
      </c>
      <c r="B30" s="518" t="s">
        <v>28</v>
      </c>
      <c r="C30" s="518" t="s">
        <v>692</v>
      </c>
      <c r="D30" s="588" t="s">
        <v>216</v>
      </c>
      <c r="E30" s="467" t="s">
        <v>976</v>
      </c>
      <c r="F30" s="467" t="s">
        <v>1113</v>
      </c>
      <c r="G30" s="587"/>
      <c r="H30" s="587"/>
      <c r="I30" s="467"/>
      <c r="J30" s="585">
        <v>225</v>
      </c>
      <c r="K30" s="520"/>
      <c r="L30" s="586"/>
      <c r="M30" s="520"/>
      <c r="N30" s="520"/>
      <c r="O30" s="520"/>
      <c r="P30" s="73">
        <f t="shared" si="11"/>
        <v>225</v>
      </c>
    </row>
    <row r="31" spans="1:16" x14ac:dyDescent="0.25">
      <c r="A31" s="515">
        <v>6212</v>
      </c>
      <c r="B31" s="518" t="s">
        <v>28</v>
      </c>
      <c r="C31" s="518" t="s">
        <v>692</v>
      </c>
      <c r="D31" s="467" t="s">
        <v>216</v>
      </c>
      <c r="E31" s="467" t="s">
        <v>975</v>
      </c>
      <c r="F31" s="467" t="s">
        <v>1113</v>
      </c>
      <c r="G31" s="465"/>
      <c r="H31" s="465"/>
      <c r="I31" s="467"/>
      <c r="J31" s="585">
        <v>200</v>
      </c>
      <c r="K31" s="589"/>
      <c r="L31" s="586"/>
      <c r="M31" s="516"/>
      <c r="N31" s="516"/>
      <c r="O31" s="516"/>
      <c r="P31" s="73">
        <f t="shared" si="11"/>
        <v>200</v>
      </c>
    </row>
    <row r="32" spans="1:16" x14ac:dyDescent="0.25">
      <c r="A32" s="353">
        <v>6212</v>
      </c>
      <c r="B32" s="518" t="s">
        <v>28</v>
      </c>
      <c r="C32" s="518" t="s">
        <v>692</v>
      </c>
      <c r="D32" s="588" t="s">
        <v>217</v>
      </c>
      <c r="E32" s="467" t="s">
        <v>976</v>
      </c>
      <c r="F32" s="467" t="s">
        <v>1113</v>
      </c>
      <c r="G32" s="465"/>
      <c r="H32" s="465"/>
      <c r="I32" s="467"/>
      <c r="J32" s="585">
        <v>225</v>
      </c>
      <c r="K32" s="586"/>
      <c r="L32" s="586"/>
      <c r="M32" s="520"/>
      <c r="N32" s="520"/>
      <c r="O32" s="520"/>
      <c r="P32" s="73">
        <f t="shared" si="11"/>
        <v>225</v>
      </c>
    </row>
    <row r="33" spans="1:16" x14ac:dyDescent="0.25">
      <c r="A33" s="515">
        <v>6212</v>
      </c>
      <c r="B33" s="518" t="s">
        <v>28</v>
      </c>
      <c r="C33" s="518" t="s">
        <v>692</v>
      </c>
      <c r="D33" s="467" t="s">
        <v>217</v>
      </c>
      <c r="E33" s="467" t="s">
        <v>975</v>
      </c>
      <c r="F33" s="467" t="s">
        <v>1113</v>
      </c>
      <c r="G33" s="465"/>
      <c r="H33" s="465"/>
      <c r="I33" s="467"/>
      <c r="J33" s="585">
        <v>200</v>
      </c>
      <c r="K33" s="589"/>
      <c r="L33" s="586"/>
      <c r="M33" s="516"/>
      <c r="N33" s="516"/>
      <c r="O33" s="516"/>
      <c r="P33" s="73">
        <f t="shared" si="11"/>
        <v>200</v>
      </c>
    </row>
    <row r="34" spans="1:16" x14ac:dyDescent="0.25">
      <c r="A34" s="353">
        <v>6212</v>
      </c>
      <c r="B34" s="518" t="s">
        <v>28</v>
      </c>
      <c r="C34" s="518" t="s">
        <v>692</v>
      </c>
      <c r="D34" s="518" t="s">
        <v>218</v>
      </c>
      <c r="E34" s="518" t="s">
        <v>1196</v>
      </c>
      <c r="F34" s="467" t="s">
        <v>1113</v>
      </c>
      <c r="G34" s="587"/>
      <c r="H34" s="587"/>
      <c r="I34" s="518"/>
      <c r="J34" s="585">
        <f>300-300</f>
        <v>0</v>
      </c>
      <c r="K34" s="520"/>
      <c r="L34" s="520"/>
      <c r="M34" s="520"/>
      <c r="N34" s="520"/>
      <c r="O34" s="520"/>
      <c r="P34" s="73">
        <f t="shared" si="11"/>
        <v>0</v>
      </c>
    </row>
    <row r="35" spans="1:16" x14ac:dyDescent="0.25">
      <c r="A35" s="515">
        <v>6212</v>
      </c>
      <c r="B35" s="518" t="s">
        <v>28</v>
      </c>
      <c r="C35" s="518" t="s">
        <v>692</v>
      </c>
      <c r="D35" s="518" t="s">
        <v>218</v>
      </c>
      <c r="E35" s="518" t="s">
        <v>1197</v>
      </c>
      <c r="F35" s="467" t="s">
        <v>1113</v>
      </c>
      <c r="G35" s="587"/>
      <c r="H35" s="587"/>
      <c r="I35" s="518"/>
      <c r="J35" s="585">
        <f>300-300</f>
        <v>0</v>
      </c>
      <c r="K35" s="520"/>
      <c r="L35" s="520"/>
      <c r="M35" s="520"/>
      <c r="N35" s="520"/>
      <c r="O35" s="520"/>
      <c r="P35" s="453">
        <f t="shared" si="11"/>
        <v>0</v>
      </c>
    </row>
    <row r="36" spans="1:16" x14ac:dyDescent="0.25">
      <c r="A36" s="515">
        <v>6212</v>
      </c>
      <c r="B36" s="518" t="s">
        <v>28</v>
      </c>
      <c r="C36" s="518" t="s">
        <v>692</v>
      </c>
      <c r="D36" s="518" t="s">
        <v>218</v>
      </c>
      <c r="E36" s="467" t="s">
        <v>1198</v>
      </c>
      <c r="F36" s="518" t="s">
        <v>1079</v>
      </c>
      <c r="G36" s="587"/>
      <c r="H36" s="587"/>
      <c r="I36" s="518"/>
      <c r="J36" s="585">
        <f>300-300</f>
        <v>0</v>
      </c>
      <c r="K36" s="516"/>
      <c r="L36" s="586"/>
      <c r="M36" s="516">
        <f>75-75</f>
        <v>0</v>
      </c>
      <c r="N36" s="516">
        <v>0</v>
      </c>
      <c r="O36" s="516"/>
      <c r="P36" s="453">
        <f t="shared" si="11"/>
        <v>0</v>
      </c>
    </row>
    <row r="37" spans="1:16" x14ac:dyDescent="0.25">
      <c r="A37" s="515">
        <v>6212</v>
      </c>
      <c r="B37" s="518" t="s">
        <v>28</v>
      </c>
      <c r="C37" s="518" t="s">
        <v>692</v>
      </c>
      <c r="D37" s="467" t="s">
        <v>218</v>
      </c>
      <c r="E37" s="467" t="s">
        <v>1199</v>
      </c>
      <c r="F37" s="467" t="s">
        <v>1113</v>
      </c>
      <c r="G37" s="465"/>
      <c r="H37" s="465"/>
      <c r="I37" s="467"/>
      <c r="J37" s="585">
        <f>200-200</f>
        <v>0</v>
      </c>
      <c r="K37" s="589"/>
      <c r="L37" s="586"/>
      <c r="M37" s="516"/>
      <c r="N37" s="516"/>
      <c r="O37" s="516"/>
      <c r="P37" s="453">
        <f t="shared" si="11"/>
        <v>0</v>
      </c>
    </row>
    <row r="38" spans="1:16" x14ac:dyDescent="0.25">
      <c r="A38" s="353">
        <v>6212</v>
      </c>
      <c r="B38" s="518" t="s">
        <v>28</v>
      </c>
      <c r="C38" s="518" t="s">
        <v>692</v>
      </c>
      <c r="D38" s="467" t="s">
        <v>219</v>
      </c>
      <c r="E38" s="467" t="s">
        <v>974</v>
      </c>
      <c r="F38" s="467" t="s">
        <v>1113</v>
      </c>
      <c r="G38" s="465"/>
      <c r="H38" s="465"/>
      <c r="I38" s="467"/>
      <c r="J38" s="585">
        <v>250</v>
      </c>
      <c r="K38" s="586"/>
      <c r="L38" s="586"/>
      <c r="M38" s="520">
        <v>15</v>
      </c>
      <c r="N38" s="520"/>
      <c r="O38" s="520"/>
      <c r="P38" s="453">
        <f t="shared" si="11"/>
        <v>265</v>
      </c>
    </row>
    <row r="39" spans="1:16" x14ac:dyDescent="0.25">
      <c r="A39" s="515">
        <v>6212</v>
      </c>
      <c r="B39" s="518" t="s">
        <v>28</v>
      </c>
      <c r="C39" s="518" t="s">
        <v>692</v>
      </c>
      <c r="D39" s="588" t="s">
        <v>219</v>
      </c>
      <c r="E39" s="467" t="s">
        <v>978</v>
      </c>
      <c r="F39" s="467" t="s">
        <v>1113</v>
      </c>
      <c r="G39" s="465"/>
      <c r="H39" s="465"/>
      <c r="I39" s="467"/>
      <c r="J39" s="585">
        <v>300</v>
      </c>
      <c r="K39" s="586"/>
      <c r="L39" s="586"/>
      <c r="M39" s="520">
        <v>10</v>
      </c>
      <c r="N39" s="520"/>
      <c r="O39" s="520"/>
      <c r="P39" s="453">
        <f t="shared" si="11"/>
        <v>310</v>
      </c>
    </row>
    <row r="40" spans="1:16" x14ac:dyDescent="0.25">
      <c r="A40" s="515">
        <v>6212</v>
      </c>
      <c r="B40" s="518" t="s">
        <v>28</v>
      </c>
      <c r="C40" s="518" t="s">
        <v>692</v>
      </c>
      <c r="D40" s="518" t="s">
        <v>219</v>
      </c>
      <c r="E40" s="467" t="s">
        <v>1491</v>
      </c>
      <c r="F40" s="467" t="s">
        <v>1113</v>
      </c>
      <c r="G40" s="587"/>
      <c r="H40" s="587"/>
      <c r="I40" s="518"/>
      <c r="J40" s="585">
        <v>400</v>
      </c>
      <c r="K40" s="516"/>
      <c r="L40" s="586"/>
      <c r="M40" s="516"/>
      <c r="N40" s="516"/>
      <c r="O40" s="516"/>
      <c r="P40" s="453">
        <f t="shared" si="11"/>
        <v>400</v>
      </c>
    </row>
    <row r="41" spans="1:16" x14ac:dyDescent="0.25">
      <c r="A41" s="515">
        <v>6212</v>
      </c>
      <c r="B41" s="518" t="s">
        <v>28</v>
      </c>
      <c r="C41" s="518" t="s">
        <v>692</v>
      </c>
      <c r="D41" s="518" t="s">
        <v>219</v>
      </c>
      <c r="E41" s="467" t="s">
        <v>1490</v>
      </c>
      <c r="F41" s="467" t="s">
        <v>1113</v>
      </c>
      <c r="G41" s="587"/>
      <c r="H41" s="587"/>
      <c r="I41" s="518"/>
      <c r="J41" s="585">
        <v>1500</v>
      </c>
      <c r="K41" s="516"/>
      <c r="L41" s="586"/>
      <c r="M41" s="516"/>
      <c r="N41" s="516"/>
      <c r="O41" s="516"/>
      <c r="P41" s="453">
        <f t="shared" si="11"/>
        <v>1500</v>
      </c>
    </row>
    <row r="42" spans="1:16" x14ac:dyDescent="0.25">
      <c r="A42" s="515">
        <v>6212</v>
      </c>
      <c r="B42" s="518" t="s">
        <v>28</v>
      </c>
      <c r="C42" s="518" t="s">
        <v>692</v>
      </c>
      <c r="D42" s="518" t="s">
        <v>219</v>
      </c>
      <c r="E42" s="467" t="s">
        <v>977</v>
      </c>
      <c r="F42" s="518" t="s">
        <v>1079</v>
      </c>
      <c r="G42" s="587"/>
      <c r="H42" s="587"/>
      <c r="I42" s="518"/>
      <c r="J42" s="585">
        <v>0</v>
      </c>
      <c r="K42" s="516"/>
      <c r="L42" s="586"/>
      <c r="M42" s="516">
        <v>0</v>
      </c>
      <c r="N42" s="516">
        <v>0</v>
      </c>
      <c r="O42" s="516"/>
      <c r="P42" s="453">
        <f t="shared" si="11"/>
        <v>0</v>
      </c>
    </row>
    <row r="43" spans="1:16" x14ac:dyDescent="0.25">
      <c r="A43" s="515">
        <v>6212</v>
      </c>
      <c r="B43" s="518" t="s">
        <v>28</v>
      </c>
      <c r="C43" s="518" t="s">
        <v>692</v>
      </c>
      <c r="D43" s="467" t="s">
        <v>219</v>
      </c>
      <c r="E43" s="467" t="s">
        <v>975</v>
      </c>
      <c r="F43" s="467" t="s">
        <v>1113</v>
      </c>
      <c r="G43" s="465"/>
      <c r="H43" s="465"/>
      <c r="I43" s="467"/>
      <c r="J43" s="585">
        <f>200-200</f>
        <v>0</v>
      </c>
      <c r="K43" s="589"/>
      <c r="L43" s="586"/>
      <c r="M43" s="516"/>
      <c r="N43" s="516"/>
      <c r="O43" s="516"/>
      <c r="P43" s="453">
        <f t="shared" si="11"/>
        <v>0</v>
      </c>
    </row>
    <row r="44" spans="1:16" x14ac:dyDescent="0.25">
      <c r="A44" s="353">
        <v>6212</v>
      </c>
      <c r="B44" s="518" t="s">
        <v>28</v>
      </c>
      <c r="C44" s="518" t="s">
        <v>692</v>
      </c>
      <c r="D44" s="588" t="s">
        <v>220</v>
      </c>
      <c r="E44" s="467" t="s">
        <v>978</v>
      </c>
      <c r="F44" s="467" t="s">
        <v>1113</v>
      </c>
      <c r="G44" s="465"/>
      <c r="H44" s="465"/>
      <c r="I44" s="467"/>
      <c r="J44" s="585">
        <v>300</v>
      </c>
      <c r="K44" s="586"/>
      <c r="L44" s="586"/>
      <c r="M44" s="520">
        <v>10</v>
      </c>
      <c r="N44" s="520"/>
      <c r="O44" s="520"/>
      <c r="P44" s="453">
        <f t="shared" si="11"/>
        <v>310</v>
      </c>
    </row>
    <row r="45" spans="1:16" x14ac:dyDescent="0.25">
      <c r="A45" s="515">
        <v>6212</v>
      </c>
      <c r="B45" s="518" t="s">
        <v>28</v>
      </c>
      <c r="C45" s="518" t="s">
        <v>692</v>
      </c>
      <c r="D45" s="518" t="s">
        <v>220</v>
      </c>
      <c r="E45" s="467" t="s">
        <v>977</v>
      </c>
      <c r="F45" s="518" t="s">
        <v>1079</v>
      </c>
      <c r="G45" s="587"/>
      <c r="H45" s="587"/>
      <c r="I45" s="518"/>
      <c r="J45" s="585">
        <v>300</v>
      </c>
      <c r="K45" s="516"/>
      <c r="L45" s="586"/>
      <c r="M45" s="516">
        <v>75</v>
      </c>
      <c r="N45" s="516">
        <v>0</v>
      </c>
      <c r="O45" s="516"/>
      <c r="P45" s="453">
        <f t="shared" si="11"/>
        <v>375</v>
      </c>
    </row>
    <row r="46" spans="1:16" x14ac:dyDescent="0.25">
      <c r="A46" s="515">
        <v>6212</v>
      </c>
      <c r="B46" s="518" t="s">
        <v>28</v>
      </c>
      <c r="C46" s="518" t="s">
        <v>692</v>
      </c>
      <c r="D46" s="467" t="s">
        <v>220</v>
      </c>
      <c r="E46" s="467" t="s">
        <v>1493</v>
      </c>
      <c r="F46" s="467" t="s">
        <v>1113</v>
      </c>
      <c r="G46" s="465"/>
      <c r="H46" s="465"/>
      <c r="I46" s="467"/>
      <c r="J46" s="585">
        <v>200</v>
      </c>
      <c r="K46" s="589"/>
      <c r="L46" s="586"/>
      <c r="M46" s="516"/>
      <c r="N46" s="516"/>
      <c r="O46" s="516"/>
      <c r="P46" s="453">
        <f t="shared" si="11"/>
        <v>200</v>
      </c>
    </row>
    <row r="47" spans="1:16" x14ac:dyDescent="0.25">
      <c r="A47" s="353">
        <v>6212</v>
      </c>
      <c r="B47" s="518" t="s">
        <v>28</v>
      </c>
      <c r="C47" s="518" t="s">
        <v>692</v>
      </c>
      <c r="D47" s="588" t="s">
        <v>221</v>
      </c>
      <c r="E47" s="467" t="s">
        <v>976</v>
      </c>
      <c r="F47" s="467" t="s">
        <v>1113</v>
      </c>
      <c r="G47" s="465"/>
      <c r="H47" s="465"/>
      <c r="I47" s="467"/>
      <c r="J47" s="585">
        <v>225</v>
      </c>
      <c r="K47" s="586"/>
      <c r="L47" s="586"/>
      <c r="M47" s="520"/>
      <c r="N47" s="520"/>
      <c r="O47" s="520"/>
      <c r="P47" s="453">
        <f t="shared" si="11"/>
        <v>225</v>
      </c>
    </row>
    <row r="48" spans="1:16" x14ac:dyDescent="0.25">
      <c r="A48" s="515">
        <v>6212</v>
      </c>
      <c r="B48" s="518" t="s">
        <v>28</v>
      </c>
      <c r="C48" s="518" t="s">
        <v>692</v>
      </c>
      <c r="D48" s="467" t="s">
        <v>221</v>
      </c>
      <c r="E48" s="467" t="s">
        <v>1493</v>
      </c>
      <c r="F48" s="467" t="s">
        <v>1113</v>
      </c>
      <c r="G48" s="465"/>
      <c r="H48" s="465"/>
      <c r="I48" s="467"/>
      <c r="J48" s="585">
        <v>200</v>
      </c>
      <c r="K48" s="589"/>
      <c r="L48" s="586"/>
      <c r="M48" s="516"/>
      <c r="N48" s="516"/>
      <c r="O48" s="516"/>
      <c r="P48" s="453">
        <f t="shared" si="11"/>
        <v>200</v>
      </c>
    </row>
    <row r="49" spans="1:16" x14ac:dyDescent="0.25">
      <c r="A49" s="353">
        <v>6212</v>
      </c>
      <c r="B49" s="518" t="s">
        <v>28</v>
      </c>
      <c r="C49" s="518" t="s">
        <v>692</v>
      </c>
      <c r="D49" s="467" t="s">
        <v>222</v>
      </c>
      <c r="E49" s="467" t="s">
        <v>975</v>
      </c>
      <c r="F49" s="467" t="s">
        <v>1113</v>
      </c>
      <c r="G49" s="465"/>
      <c r="H49" s="465"/>
      <c r="I49" s="467"/>
      <c r="J49" s="585">
        <f>200-200</f>
        <v>0</v>
      </c>
      <c r="K49" s="589"/>
      <c r="L49" s="586"/>
      <c r="M49" s="516"/>
      <c r="N49" s="516"/>
      <c r="O49" s="516"/>
      <c r="P49" s="453">
        <f t="shared" si="11"/>
        <v>0</v>
      </c>
    </row>
    <row r="50" spans="1:16" x14ac:dyDescent="0.25">
      <c r="A50" s="353">
        <v>6212</v>
      </c>
      <c r="B50" s="518" t="s">
        <v>28</v>
      </c>
      <c r="C50" s="518" t="s">
        <v>692</v>
      </c>
      <c r="D50" s="467" t="s">
        <v>223</v>
      </c>
      <c r="E50" s="467" t="s">
        <v>974</v>
      </c>
      <c r="F50" s="467" t="s">
        <v>1113</v>
      </c>
      <c r="G50" s="465"/>
      <c r="H50" s="465"/>
      <c r="I50" s="467"/>
      <c r="J50" s="585">
        <v>250</v>
      </c>
      <c r="K50" s="586"/>
      <c r="L50" s="586"/>
      <c r="M50" s="520">
        <v>15</v>
      </c>
      <c r="N50" s="520"/>
      <c r="O50" s="520"/>
      <c r="P50" s="453">
        <f t="shared" si="11"/>
        <v>265</v>
      </c>
    </row>
    <row r="51" spans="1:16" x14ac:dyDescent="0.25">
      <c r="A51" s="515">
        <v>6212</v>
      </c>
      <c r="B51" s="518" t="s">
        <v>28</v>
      </c>
      <c r="C51" s="518" t="s">
        <v>692</v>
      </c>
      <c r="D51" s="467" t="s">
        <v>223</v>
      </c>
      <c r="E51" s="467" t="s">
        <v>975</v>
      </c>
      <c r="F51" s="467" t="s">
        <v>1113</v>
      </c>
      <c r="G51" s="465"/>
      <c r="H51" s="465"/>
      <c r="I51" s="467"/>
      <c r="J51" s="585">
        <f>200-200</f>
        <v>0</v>
      </c>
      <c r="K51" s="589"/>
      <c r="L51" s="586"/>
      <c r="M51" s="516"/>
      <c r="N51" s="516"/>
      <c r="O51" s="516"/>
      <c r="P51" s="453">
        <f t="shared" si="11"/>
        <v>0</v>
      </c>
    </row>
    <row r="52" spans="1:16" x14ac:dyDescent="0.25">
      <c r="A52" s="353">
        <v>6212</v>
      </c>
      <c r="B52" s="518" t="s">
        <v>28</v>
      </c>
      <c r="C52" s="518" t="s">
        <v>692</v>
      </c>
      <c r="D52" s="588" t="s">
        <v>224</v>
      </c>
      <c r="E52" s="467" t="s">
        <v>978</v>
      </c>
      <c r="F52" s="467" t="s">
        <v>1113</v>
      </c>
      <c r="G52" s="465"/>
      <c r="H52" s="465"/>
      <c r="I52" s="467"/>
      <c r="J52" s="585">
        <v>300</v>
      </c>
      <c r="K52" s="586"/>
      <c r="L52" s="586"/>
      <c r="M52" s="520">
        <v>10</v>
      </c>
      <c r="N52" s="520"/>
      <c r="O52" s="520"/>
      <c r="P52" s="453">
        <f t="shared" si="11"/>
        <v>310</v>
      </c>
    </row>
    <row r="53" spans="1:16" x14ac:dyDescent="0.25">
      <c r="A53" s="515">
        <v>6212</v>
      </c>
      <c r="B53" s="518" t="s">
        <v>28</v>
      </c>
      <c r="C53" s="518" t="s">
        <v>692</v>
      </c>
      <c r="D53" s="518" t="s">
        <v>224</v>
      </c>
      <c r="E53" s="467" t="s">
        <v>976</v>
      </c>
      <c r="F53" s="467" t="s">
        <v>1113</v>
      </c>
      <c r="G53" s="587"/>
      <c r="H53" s="587"/>
      <c r="I53" s="518"/>
      <c r="J53" s="585">
        <v>225</v>
      </c>
      <c r="K53" s="516"/>
      <c r="L53" s="586"/>
      <c r="M53" s="516"/>
      <c r="N53" s="516"/>
      <c r="O53" s="516"/>
      <c r="P53" s="453">
        <f t="shared" si="11"/>
        <v>225</v>
      </c>
    </row>
    <row r="54" spans="1:16" ht="16.5" customHeight="1" x14ac:dyDescent="0.25">
      <c r="A54" s="515">
        <v>6212</v>
      </c>
      <c r="B54" s="518" t="s">
        <v>28</v>
      </c>
      <c r="C54" s="518" t="s">
        <v>692</v>
      </c>
      <c r="D54" s="467" t="s">
        <v>224</v>
      </c>
      <c r="E54" s="467" t="s">
        <v>975</v>
      </c>
      <c r="F54" s="467" t="s">
        <v>1113</v>
      </c>
      <c r="G54" s="465"/>
      <c r="H54" s="465"/>
      <c r="I54" s="467"/>
      <c r="J54" s="585">
        <f>200-200</f>
        <v>0</v>
      </c>
      <c r="K54" s="589"/>
      <c r="L54" s="586"/>
      <c r="M54" s="516"/>
      <c r="N54" s="516"/>
      <c r="O54" s="516"/>
      <c r="P54" s="453">
        <f t="shared" si="11"/>
        <v>0</v>
      </c>
    </row>
    <row r="55" spans="1:16" x14ac:dyDescent="0.25">
      <c r="A55" s="353">
        <v>6212</v>
      </c>
      <c r="B55" s="518" t="s">
        <v>28</v>
      </c>
      <c r="C55" s="518" t="s">
        <v>692</v>
      </c>
      <c r="D55" s="467" t="s">
        <v>5</v>
      </c>
      <c r="E55" s="467" t="s">
        <v>974</v>
      </c>
      <c r="F55" s="467" t="s">
        <v>1113</v>
      </c>
      <c r="G55" s="465"/>
      <c r="H55" s="465"/>
      <c r="I55" s="467"/>
      <c r="J55" s="585">
        <v>250</v>
      </c>
      <c r="K55" s="586"/>
      <c r="L55" s="586"/>
      <c r="M55" s="520">
        <v>15</v>
      </c>
      <c r="N55" s="520"/>
      <c r="O55" s="520"/>
      <c r="P55" s="453">
        <f t="shared" si="11"/>
        <v>265</v>
      </c>
    </row>
    <row r="56" spans="1:16" x14ac:dyDescent="0.25">
      <c r="A56" s="515">
        <v>6235</v>
      </c>
      <c r="B56" s="518" t="s">
        <v>28</v>
      </c>
      <c r="C56" s="518" t="s">
        <v>692</v>
      </c>
      <c r="D56" s="588" t="s">
        <v>5</v>
      </c>
      <c r="E56" s="518" t="s">
        <v>1184</v>
      </c>
      <c r="F56" s="588" t="s">
        <v>1185</v>
      </c>
      <c r="G56" s="587">
        <v>42637</v>
      </c>
      <c r="H56" s="587">
        <v>42640</v>
      </c>
      <c r="I56" s="467" t="s">
        <v>16</v>
      </c>
      <c r="J56" s="585">
        <v>650</v>
      </c>
      <c r="K56" s="586">
        <v>600</v>
      </c>
      <c r="L56" s="586">
        <v>2100</v>
      </c>
      <c r="M56" s="520">
        <v>100</v>
      </c>
      <c r="N56" s="520">
        <v>50</v>
      </c>
      <c r="O56" s="520">
        <v>260</v>
      </c>
      <c r="P56" s="453">
        <f t="shared" si="11"/>
        <v>3760</v>
      </c>
    </row>
    <row r="57" spans="1:16" x14ac:dyDescent="0.25">
      <c r="A57" s="515">
        <v>6212</v>
      </c>
      <c r="B57" s="518" t="s">
        <v>28</v>
      </c>
      <c r="C57" s="518" t="s">
        <v>692</v>
      </c>
      <c r="D57" s="518" t="s">
        <v>5</v>
      </c>
      <c r="E57" s="467" t="s">
        <v>1490</v>
      </c>
      <c r="F57" s="518" t="s">
        <v>1079</v>
      </c>
      <c r="G57" s="587"/>
      <c r="H57" s="587"/>
      <c r="I57" s="518"/>
      <c r="J57" s="585"/>
      <c r="K57" s="516"/>
      <c r="L57" s="586"/>
      <c r="M57" s="516"/>
      <c r="N57" s="516"/>
      <c r="O57" s="516"/>
      <c r="P57" s="453">
        <f t="shared" si="11"/>
        <v>0</v>
      </c>
    </row>
    <row r="58" spans="1:16" x14ac:dyDescent="0.25">
      <c r="A58" s="515">
        <v>6235</v>
      </c>
      <c r="B58" s="518" t="s">
        <v>28</v>
      </c>
      <c r="C58" s="518" t="s">
        <v>692</v>
      </c>
      <c r="D58" s="518" t="s">
        <v>5</v>
      </c>
      <c r="E58" s="518" t="s">
        <v>1183</v>
      </c>
      <c r="F58" s="518" t="s">
        <v>1189</v>
      </c>
      <c r="G58" s="587">
        <v>42743</v>
      </c>
      <c r="H58" s="587">
        <v>42748</v>
      </c>
      <c r="I58" s="518" t="s">
        <v>16</v>
      </c>
      <c r="J58" s="585">
        <v>600</v>
      </c>
      <c r="K58" s="516">
        <v>600</v>
      </c>
      <c r="L58" s="586">
        <v>2100</v>
      </c>
      <c r="M58" s="516">
        <v>100</v>
      </c>
      <c r="N58" s="516">
        <v>50</v>
      </c>
      <c r="O58" s="516">
        <v>260</v>
      </c>
      <c r="P58" s="453">
        <f t="shared" si="11"/>
        <v>3710</v>
      </c>
    </row>
    <row r="59" spans="1:16" x14ac:dyDescent="0.25">
      <c r="A59" s="515">
        <v>6212</v>
      </c>
      <c r="B59" s="518" t="s">
        <v>28</v>
      </c>
      <c r="C59" s="518" t="s">
        <v>692</v>
      </c>
      <c r="D59" s="467" t="s">
        <v>5</v>
      </c>
      <c r="E59" s="467" t="s">
        <v>975</v>
      </c>
      <c r="F59" s="467" t="s">
        <v>1113</v>
      </c>
      <c r="G59" s="465"/>
      <c r="H59" s="465"/>
      <c r="I59" s="467"/>
      <c r="J59" s="585">
        <f>200-200</f>
        <v>0</v>
      </c>
      <c r="K59" s="589"/>
      <c r="L59" s="586"/>
      <c r="M59" s="516"/>
      <c r="N59" s="516"/>
      <c r="O59" s="516"/>
      <c r="P59" s="453">
        <f t="shared" si="11"/>
        <v>0</v>
      </c>
    </row>
    <row r="60" spans="1:16" x14ac:dyDescent="0.25">
      <c r="A60" s="353">
        <v>6212</v>
      </c>
      <c r="B60" s="518" t="s">
        <v>28</v>
      </c>
      <c r="C60" s="518" t="s">
        <v>692</v>
      </c>
      <c r="D60" s="467" t="s">
        <v>225</v>
      </c>
      <c r="E60" s="467" t="s">
        <v>974</v>
      </c>
      <c r="F60" s="467" t="s">
        <v>1113</v>
      </c>
      <c r="G60" s="465"/>
      <c r="H60" s="465"/>
      <c r="I60" s="467"/>
      <c r="J60" s="585">
        <v>250</v>
      </c>
      <c r="K60" s="586"/>
      <c r="L60" s="586"/>
      <c r="M60" s="520">
        <v>15</v>
      </c>
      <c r="N60" s="520"/>
      <c r="O60" s="520"/>
      <c r="P60" s="453">
        <f t="shared" ref="P60:P82" si="12">SUM(J60:O60)</f>
        <v>265</v>
      </c>
    </row>
    <row r="61" spans="1:16" x14ac:dyDescent="0.25">
      <c r="A61" s="515">
        <v>6235</v>
      </c>
      <c r="B61" s="518" t="s">
        <v>27</v>
      </c>
      <c r="C61" s="518" t="s">
        <v>62</v>
      </c>
      <c r="D61" s="518" t="s">
        <v>5</v>
      </c>
      <c r="E61" s="518" t="s">
        <v>1089</v>
      </c>
      <c r="F61" s="518" t="s">
        <v>1189</v>
      </c>
      <c r="G61" s="587"/>
      <c r="H61" s="587"/>
      <c r="I61" s="518" t="s">
        <v>16</v>
      </c>
      <c r="J61" s="585">
        <v>500</v>
      </c>
      <c r="K61" s="520">
        <v>600</v>
      </c>
      <c r="L61" s="520">
        <v>1500</v>
      </c>
      <c r="M61" s="520">
        <v>100</v>
      </c>
      <c r="N61" s="520">
        <v>255</v>
      </c>
      <c r="O61" s="520">
        <v>500</v>
      </c>
      <c r="P61" s="453">
        <f t="shared" si="12"/>
        <v>3455</v>
      </c>
    </row>
    <row r="62" spans="1:16" x14ac:dyDescent="0.25">
      <c r="A62" s="515">
        <v>6235</v>
      </c>
      <c r="B62" s="518" t="s">
        <v>27</v>
      </c>
      <c r="C62" s="518" t="s">
        <v>62</v>
      </c>
      <c r="D62" s="467" t="s">
        <v>5</v>
      </c>
      <c r="E62" s="467" t="s">
        <v>1089</v>
      </c>
      <c r="F62" s="467" t="s">
        <v>1189</v>
      </c>
      <c r="G62" s="465"/>
      <c r="H62" s="465"/>
      <c r="I62" s="467" t="s">
        <v>16</v>
      </c>
      <c r="J62" s="585">
        <v>500</v>
      </c>
      <c r="K62" s="586">
        <v>600</v>
      </c>
      <c r="L62" s="520">
        <v>1500</v>
      </c>
      <c r="M62" s="520">
        <v>100</v>
      </c>
      <c r="N62" s="520">
        <v>255</v>
      </c>
      <c r="O62" s="520">
        <v>500</v>
      </c>
      <c r="P62" s="453">
        <f t="shared" si="12"/>
        <v>3455</v>
      </c>
    </row>
    <row r="63" spans="1:16" x14ac:dyDescent="0.25">
      <c r="A63" s="515">
        <v>6235</v>
      </c>
      <c r="B63" s="518" t="s">
        <v>27</v>
      </c>
      <c r="C63" s="518" t="s">
        <v>62</v>
      </c>
      <c r="D63" s="467" t="s">
        <v>5</v>
      </c>
      <c r="E63" s="467" t="s">
        <v>1089</v>
      </c>
      <c r="F63" s="588" t="s">
        <v>1189</v>
      </c>
      <c r="G63" s="465"/>
      <c r="H63" s="465"/>
      <c r="I63" s="467" t="s">
        <v>16</v>
      </c>
      <c r="J63" s="585">
        <v>500</v>
      </c>
      <c r="K63" s="586">
        <v>600</v>
      </c>
      <c r="L63" s="520">
        <v>1500</v>
      </c>
      <c r="M63" s="520">
        <v>100</v>
      </c>
      <c r="N63" s="520">
        <v>255</v>
      </c>
      <c r="O63" s="520">
        <v>500</v>
      </c>
      <c r="P63" s="453">
        <f t="shared" si="12"/>
        <v>3455</v>
      </c>
    </row>
    <row r="64" spans="1:16" x14ac:dyDescent="0.25">
      <c r="A64" s="515">
        <v>6235</v>
      </c>
      <c r="B64" s="518" t="s">
        <v>27</v>
      </c>
      <c r="C64" s="518" t="s">
        <v>62</v>
      </c>
      <c r="D64" s="588" t="s">
        <v>5</v>
      </c>
      <c r="E64" s="467" t="s">
        <v>1182</v>
      </c>
      <c r="F64" s="588" t="s">
        <v>1189</v>
      </c>
      <c r="G64" s="465"/>
      <c r="H64" s="465"/>
      <c r="I64" s="467" t="s">
        <v>16</v>
      </c>
      <c r="J64" s="585">
        <v>500</v>
      </c>
      <c r="K64" s="520">
        <v>600</v>
      </c>
      <c r="L64" s="520">
        <v>1500</v>
      </c>
      <c r="M64" s="520">
        <v>100</v>
      </c>
      <c r="N64" s="520">
        <v>255</v>
      </c>
      <c r="O64" s="520">
        <v>500</v>
      </c>
      <c r="P64" s="453">
        <f t="shared" si="12"/>
        <v>3455</v>
      </c>
    </row>
    <row r="65" spans="1:16" x14ac:dyDescent="0.25">
      <c r="A65" s="515">
        <v>6235</v>
      </c>
      <c r="B65" s="518" t="s">
        <v>27</v>
      </c>
      <c r="C65" s="518" t="s">
        <v>62</v>
      </c>
      <c r="D65" s="588" t="s">
        <v>5</v>
      </c>
      <c r="E65" s="467" t="s">
        <v>1182</v>
      </c>
      <c r="F65" s="588" t="s">
        <v>1189</v>
      </c>
      <c r="G65" s="465"/>
      <c r="H65" s="465"/>
      <c r="I65" s="467" t="s">
        <v>16</v>
      </c>
      <c r="J65" s="585">
        <v>500</v>
      </c>
      <c r="K65" s="586">
        <v>600</v>
      </c>
      <c r="L65" s="520">
        <v>1500</v>
      </c>
      <c r="M65" s="520">
        <v>100</v>
      </c>
      <c r="N65" s="520">
        <v>255</v>
      </c>
      <c r="O65" s="520">
        <v>500</v>
      </c>
      <c r="P65" s="453">
        <f t="shared" si="12"/>
        <v>3455</v>
      </c>
    </row>
    <row r="66" spans="1:16" x14ac:dyDescent="0.25">
      <c r="A66" s="515">
        <v>6235</v>
      </c>
      <c r="B66" s="518" t="s">
        <v>27</v>
      </c>
      <c r="C66" s="518" t="s">
        <v>62</v>
      </c>
      <c r="D66" s="588" t="s">
        <v>5</v>
      </c>
      <c r="E66" s="467" t="s">
        <v>1182</v>
      </c>
      <c r="F66" s="588" t="s">
        <v>1189</v>
      </c>
      <c r="G66" s="465"/>
      <c r="H66" s="465"/>
      <c r="I66" s="467" t="s">
        <v>16</v>
      </c>
      <c r="J66" s="585">
        <v>500</v>
      </c>
      <c r="K66" s="586">
        <v>600</v>
      </c>
      <c r="L66" s="520">
        <v>1500</v>
      </c>
      <c r="M66" s="520">
        <v>100</v>
      </c>
      <c r="N66" s="520">
        <v>255</v>
      </c>
      <c r="O66" s="520">
        <v>500</v>
      </c>
      <c r="P66" s="453">
        <f t="shared" si="12"/>
        <v>3455</v>
      </c>
    </row>
    <row r="67" spans="1:16" x14ac:dyDescent="0.25">
      <c r="A67" s="515">
        <v>6235</v>
      </c>
      <c r="B67" s="518" t="s">
        <v>27</v>
      </c>
      <c r="C67" s="518" t="s">
        <v>62</v>
      </c>
      <c r="D67" s="588" t="s">
        <v>5</v>
      </c>
      <c r="E67" s="518" t="s">
        <v>1090</v>
      </c>
      <c r="F67" s="588" t="s">
        <v>1189</v>
      </c>
      <c r="G67" s="587"/>
      <c r="H67" s="587"/>
      <c r="I67" s="467" t="s">
        <v>16</v>
      </c>
      <c r="J67" s="585">
        <v>500</v>
      </c>
      <c r="K67" s="520">
        <v>600</v>
      </c>
      <c r="L67" s="520">
        <v>1500</v>
      </c>
      <c r="M67" s="520">
        <v>100</v>
      </c>
      <c r="N67" s="520">
        <v>255</v>
      </c>
      <c r="O67" s="520">
        <v>401</v>
      </c>
      <c r="P67" s="453">
        <f t="shared" si="12"/>
        <v>3356</v>
      </c>
    </row>
    <row r="68" spans="1:16" x14ac:dyDescent="0.25">
      <c r="A68" s="515">
        <v>6235</v>
      </c>
      <c r="B68" s="518" t="s">
        <v>27</v>
      </c>
      <c r="C68" s="518" t="s">
        <v>62</v>
      </c>
      <c r="D68" s="588" t="s">
        <v>5</v>
      </c>
      <c r="E68" s="518" t="s">
        <v>1090</v>
      </c>
      <c r="F68" s="588" t="s">
        <v>1189</v>
      </c>
      <c r="G68" s="465"/>
      <c r="H68" s="465"/>
      <c r="I68" s="467" t="s">
        <v>16</v>
      </c>
      <c r="J68" s="585">
        <v>1200</v>
      </c>
      <c r="K68" s="589">
        <v>600</v>
      </c>
      <c r="L68" s="520">
        <v>1500</v>
      </c>
      <c r="M68" s="520">
        <v>100</v>
      </c>
      <c r="N68" s="516">
        <v>255</v>
      </c>
      <c r="O68" s="520">
        <v>401</v>
      </c>
      <c r="P68" s="453">
        <f t="shared" si="12"/>
        <v>4056</v>
      </c>
    </row>
    <row r="69" spans="1:16" x14ac:dyDescent="0.25">
      <c r="A69" s="515">
        <v>6235</v>
      </c>
      <c r="B69" s="518" t="s">
        <v>27</v>
      </c>
      <c r="C69" s="518" t="s">
        <v>62</v>
      </c>
      <c r="D69" s="518" t="s">
        <v>5</v>
      </c>
      <c r="E69" s="518" t="s">
        <v>1090</v>
      </c>
      <c r="F69" s="518" t="s">
        <v>1189</v>
      </c>
      <c r="G69" s="587"/>
      <c r="H69" s="587"/>
      <c r="I69" s="518" t="s">
        <v>16</v>
      </c>
      <c r="J69" s="585">
        <v>1200</v>
      </c>
      <c r="K69" s="516">
        <v>600</v>
      </c>
      <c r="L69" s="520">
        <v>1500</v>
      </c>
      <c r="M69" s="520">
        <v>100</v>
      </c>
      <c r="N69" s="516">
        <v>255</v>
      </c>
      <c r="O69" s="520">
        <v>401</v>
      </c>
      <c r="P69" s="453">
        <f t="shared" si="12"/>
        <v>4056</v>
      </c>
    </row>
    <row r="70" spans="1:16" x14ac:dyDescent="0.25">
      <c r="A70" s="515">
        <v>6235</v>
      </c>
      <c r="B70" s="518" t="s">
        <v>27</v>
      </c>
      <c r="C70" s="518" t="s">
        <v>62</v>
      </c>
      <c r="D70" s="518" t="s">
        <v>5</v>
      </c>
      <c r="E70" s="518" t="s">
        <v>1090</v>
      </c>
      <c r="F70" s="518" t="s">
        <v>1189</v>
      </c>
      <c r="G70" s="587"/>
      <c r="H70" s="587"/>
      <c r="I70" s="518" t="s">
        <v>16</v>
      </c>
      <c r="J70" s="585">
        <v>1200</v>
      </c>
      <c r="K70" s="516">
        <v>600</v>
      </c>
      <c r="L70" s="520">
        <v>1500</v>
      </c>
      <c r="M70" s="520">
        <v>100</v>
      </c>
      <c r="N70" s="516">
        <v>255</v>
      </c>
      <c r="O70" s="520">
        <v>401</v>
      </c>
      <c r="P70" s="453">
        <f t="shared" si="12"/>
        <v>4056</v>
      </c>
    </row>
    <row r="71" spans="1:16" x14ac:dyDescent="0.25">
      <c r="A71" s="515">
        <v>6235</v>
      </c>
      <c r="B71" s="518" t="s">
        <v>27</v>
      </c>
      <c r="C71" s="518" t="s">
        <v>62</v>
      </c>
      <c r="D71" s="518" t="s">
        <v>5</v>
      </c>
      <c r="E71" s="518" t="s">
        <v>1090</v>
      </c>
      <c r="F71" s="518" t="s">
        <v>1189</v>
      </c>
      <c r="G71" s="587"/>
      <c r="H71" s="587"/>
      <c r="I71" s="518" t="s">
        <v>16</v>
      </c>
      <c r="J71" s="585">
        <v>600</v>
      </c>
      <c r="K71" s="516">
        <v>600</v>
      </c>
      <c r="L71" s="520">
        <v>1500</v>
      </c>
      <c r="M71" s="520">
        <v>100</v>
      </c>
      <c r="N71" s="516">
        <v>255</v>
      </c>
      <c r="O71" s="520">
        <v>401</v>
      </c>
      <c r="P71" s="453">
        <f t="shared" si="12"/>
        <v>3456</v>
      </c>
    </row>
    <row r="72" spans="1:16" x14ac:dyDescent="0.25">
      <c r="A72" s="515">
        <v>6235</v>
      </c>
      <c r="B72" s="518" t="s">
        <v>27</v>
      </c>
      <c r="C72" s="518" t="s">
        <v>62</v>
      </c>
      <c r="D72" s="518" t="s">
        <v>5</v>
      </c>
      <c r="E72" s="518" t="s">
        <v>1090</v>
      </c>
      <c r="F72" s="518" t="s">
        <v>1189</v>
      </c>
      <c r="G72" s="587"/>
      <c r="H72" s="587"/>
      <c r="I72" s="518" t="s">
        <v>16</v>
      </c>
      <c r="J72" s="585">
        <v>600</v>
      </c>
      <c r="K72" s="516">
        <v>600</v>
      </c>
      <c r="L72" s="520">
        <v>1500</v>
      </c>
      <c r="M72" s="520">
        <v>100</v>
      </c>
      <c r="N72" s="516">
        <v>255</v>
      </c>
      <c r="O72" s="520">
        <v>401</v>
      </c>
      <c r="P72" s="453">
        <f t="shared" si="12"/>
        <v>3456</v>
      </c>
    </row>
    <row r="73" spans="1:16" x14ac:dyDescent="0.25">
      <c r="A73" s="515">
        <v>6235</v>
      </c>
      <c r="B73" s="518" t="s">
        <v>27</v>
      </c>
      <c r="C73" s="518" t="s">
        <v>62</v>
      </c>
      <c r="D73" s="467" t="s">
        <v>5</v>
      </c>
      <c r="E73" s="518" t="s">
        <v>1090</v>
      </c>
      <c r="F73" s="518" t="s">
        <v>1189</v>
      </c>
      <c r="G73" s="587"/>
      <c r="H73" s="587"/>
      <c r="I73" s="518" t="s">
        <v>16</v>
      </c>
      <c r="J73" s="585">
        <v>600</v>
      </c>
      <c r="K73" s="520">
        <v>600</v>
      </c>
      <c r="L73" s="520">
        <v>1500</v>
      </c>
      <c r="M73" s="520">
        <v>100</v>
      </c>
      <c r="N73" s="520">
        <v>255</v>
      </c>
      <c r="O73" s="520">
        <v>400</v>
      </c>
      <c r="P73" s="453">
        <f t="shared" si="12"/>
        <v>3455</v>
      </c>
    </row>
    <row r="74" spans="1:16" x14ac:dyDescent="0.25">
      <c r="A74" s="515">
        <v>6210</v>
      </c>
      <c r="B74" s="518" t="s">
        <v>27</v>
      </c>
      <c r="C74" s="518" t="s">
        <v>62</v>
      </c>
      <c r="D74" s="518" t="s">
        <v>5</v>
      </c>
      <c r="E74" s="518" t="s">
        <v>1091</v>
      </c>
      <c r="F74" s="700" t="s">
        <v>1113</v>
      </c>
      <c r="G74" s="587"/>
      <c r="H74" s="587"/>
      <c r="I74" s="518" t="s">
        <v>17</v>
      </c>
      <c r="J74" s="585">
        <v>0</v>
      </c>
      <c r="K74" s="516">
        <v>0</v>
      </c>
      <c r="L74" s="586">
        <v>720</v>
      </c>
      <c r="M74" s="516">
        <v>0</v>
      </c>
      <c r="N74" s="516">
        <v>1836</v>
      </c>
      <c r="O74" s="516">
        <v>600</v>
      </c>
      <c r="P74" s="453">
        <f t="shared" si="12"/>
        <v>3156</v>
      </c>
    </row>
    <row r="75" spans="1:16" x14ac:dyDescent="0.25">
      <c r="A75" s="515">
        <v>6210</v>
      </c>
      <c r="B75" s="518" t="s">
        <v>27</v>
      </c>
      <c r="C75" s="518" t="s">
        <v>62</v>
      </c>
      <c r="D75" s="588" t="s">
        <v>5</v>
      </c>
      <c r="E75" s="467" t="s">
        <v>1091</v>
      </c>
      <c r="F75" s="700" t="s">
        <v>1113</v>
      </c>
      <c r="G75" s="587"/>
      <c r="H75" s="587"/>
      <c r="I75" s="518" t="s">
        <v>17</v>
      </c>
      <c r="J75" s="585">
        <v>0</v>
      </c>
      <c r="K75" s="516">
        <v>0</v>
      </c>
      <c r="L75" s="586">
        <v>720</v>
      </c>
      <c r="M75" s="516">
        <v>0</v>
      </c>
      <c r="N75" s="516">
        <v>1836</v>
      </c>
      <c r="O75" s="516">
        <v>600</v>
      </c>
      <c r="P75" s="453">
        <f t="shared" si="12"/>
        <v>3156</v>
      </c>
    </row>
    <row r="76" spans="1:16" x14ac:dyDescent="0.25">
      <c r="A76" s="515">
        <v>6210</v>
      </c>
      <c r="B76" s="518" t="s">
        <v>27</v>
      </c>
      <c r="C76" s="518" t="s">
        <v>62</v>
      </c>
      <c r="D76" s="518" t="s">
        <v>5</v>
      </c>
      <c r="E76" s="467" t="s">
        <v>1091</v>
      </c>
      <c r="F76" s="700" t="s">
        <v>1113</v>
      </c>
      <c r="G76" s="587"/>
      <c r="H76" s="587"/>
      <c r="I76" s="518" t="s">
        <v>17</v>
      </c>
      <c r="J76" s="585">
        <v>0</v>
      </c>
      <c r="K76" s="516">
        <v>0</v>
      </c>
      <c r="L76" s="586">
        <v>720</v>
      </c>
      <c r="M76" s="516">
        <v>0</v>
      </c>
      <c r="N76" s="516">
        <v>1836</v>
      </c>
      <c r="O76" s="516">
        <v>600</v>
      </c>
      <c r="P76" s="453">
        <f t="shared" si="12"/>
        <v>3156</v>
      </c>
    </row>
    <row r="77" spans="1:16" x14ac:dyDescent="0.25">
      <c r="A77" s="515">
        <v>6210</v>
      </c>
      <c r="B77" s="518" t="s">
        <v>27</v>
      </c>
      <c r="C77" s="518" t="s">
        <v>62</v>
      </c>
      <c r="D77" s="518" t="s">
        <v>5</v>
      </c>
      <c r="E77" s="467" t="s">
        <v>1091</v>
      </c>
      <c r="F77" s="700" t="s">
        <v>1113</v>
      </c>
      <c r="G77" s="465"/>
      <c r="H77" s="465"/>
      <c r="I77" s="467" t="s">
        <v>17</v>
      </c>
      <c r="J77" s="585">
        <v>0</v>
      </c>
      <c r="K77" s="589">
        <v>0</v>
      </c>
      <c r="L77" s="586">
        <v>720</v>
      </c>
      <c r="M77" s="516">
        <v>0</v>
      </c>
      <c r="N77" s="516">
        <v>1836</v>
      </c>
      <c r="O77" s="516">
        <v>600</v>
      </c>
      <c r="P77" s="453">
        <f t="shared" si="12"/>
        <v>3156</v>
      </c>
    </row>
    <row r="78" spans="1:16" x14ac:dyDescent="0.25">
      <c r="A78" s="515">
        <v>6210</v>
      </c>
      <c r="B78" s="518" t="s">
        <v>27</v>
      </c>
      <c r="C78" s="518" t="s">
        <v>62</v>
      </c>
      <c r="D78" s="518" t="s">
        <v>5</v>
      </c>
      <c r="E78" s="467" t="s">
        <v>1091</v>
      </c>
      <c r="F78" s="700" t="s">
        <v>1113</v>
      </c>
      <c r="G78" s="465"/>
      <c r="H78" s="465"/>
      <c r="I78" s="467" t="s">
        <v>17</v>
      </c>
      <c r="J78" s="585">
        <v>0</v>
      </c>
      <c r="K78" s="589">
        <v>0</v>
      </c>
      <c r="L78" s="586">
        <v>0</v>
      </c>
      <c r="M78" s="516">
        <v>0</v>
      </c>
      <c r="N78" s="516">
        <v>1530</v>
      </c>
      <c r="O78" s="516">
        <v>0</v>
      </c>
      <c r="P78" s="453">
        <f t="shared" si="12"/>
        <v>1530</v>
      </c>
    </row>
    <row r="79" spans="1:16" x14ac:dyDescent="0.25">
      <c r="A79" s="515">
        <v>6210</v>
      </c>
      <c r="B79" s="518" t="s">
        <v>27</v>
      </c>
      <c r="C79" s="518" t="s">
        <v>62</v>
      </c>
      <c r="D79" s="518" t="s">
        <v>5</v>
      </c>
      <c r="E79" s="518" t="s">
        <v>1091</v>
      </c>
      <c r="F79" s="700" t="s">
        <v>1113</v>
      </c>
      <c r="G79" s="465"/>
      <c r="H79" s="465"/>
      <c r="I79" s="467" t="s">
        <v>17</v>
      </c>
      <c r="J79" s="585">
        <v>0</v>
      </c>
      <c r="K79" s="589">
        <v>0</v>
      </c>
      <c r="L79" s="586">
        <v>0</v>
      </c>
      <c r="M79" s="516">
        <v>0</v>
      </c>
      <c r="N79" s="516">
        <v>1530</v>
      </c>
      <c r="O79" s="516">
        <v>0</v>
      </c>
      <c r="P79" s="453">
        <f t="shared" si="12"/>
        <v>1530</v>
      </c>
    </row>
    <row r="80" spans="1:16" x14ac:dyDescent="0.25">
      <c r="A80" s="515">
        <v>6210</v>
      </c>
      <c r="B80" s="518" t="s">
        <v>27</v>
      </c>
      <c r="C80" s="518" t="s">
        <v>62</v>
      </c>
      <c r="D80" s="467" t="s">
        <v>5</v>
      </c>
      <c r="E80" s="518" t="s">
        <v>1091</v>
      </c>
      <c r="F80" s="700" t="s">
        <v>1113</v>
      </c>
      <c r="G80" s="465"/>
      <c r="H80" s="465"/>
      <c r="I80" s="467" t="s">
        <v>17</v>
      </c>
      <c r="J80" s="585">
        <v>0</v>
      </c>
      <c r="K80" s="589">
        <v>0</v>
      </c>
      <c r="L80" s="586">
        <v>0</v>
      </c>
      <c r="M80" s="516">
        <v>0</v>
      </c>
      <c r="N80" s="516">
        <v>1530</v>
      </c>
      <c r="O80" s="516">
        <v>0</v>
      </c>
      <c r="P80" s="453">
        <f t="shared" si="12"/>
        <v>1530</v>
      </c>
    </row>
    <row r="81" spans="1:16" x14ac:dyDescent="0.25">
      <c r="A81" s="515">
        <v>6210</v>
      </c>
      <c r="B81" s="518" t="s">
        <v>27</v>
      </c>
      <c r="C81" s="518" t="s">
        <v>62</v>
      </c>
      <c r="D81" s="518" t="s">
        <v>5</v>
      </c>
      <c r="E81" s="518" t="s">
        <v>1091</v>
      </c>
      <c r="F81" s="700" t="s">
        <v>1113</v>
      </c>
      <c r="G81" s="465"/>
      <c r="H81" s="465"/>
      <c r="I81" s="467" t="s">
        <v>17</v>
      </c>
      <c r="J81" s="585">
        <v>0</v>
      </c>
      <c r="K81" s="589">
        <v>0</v>
      </c>
      <c r="L81" s="586">
        <v>0</v>
      </c>
      <c r="M81" s="516">
        <v>0</v>
      </c>
      <c r="N81" s="516">
        <v>1530</v>
      </c>
      <c r="O81" s="516">
        <v>0</v>
      </c>
      <c r="P81" s="453">
        <f t="shared" si="12"/>
        <v>1530</v>
      </c>
    </row>
    <row r="82" spans="1:16" x14ac:dyDescent="0.25">
      <c r="A82" s="515">
        <v>6212</v>
      </c>
      <c r="B82" s="518" t="s">
        <v>27</v>
      </c>
      <c r="C82" s="518" t="s">
        <v>62</v>
      </c>
      <c r="D82" s="588"/>
      <c r="E82" s="467" t="s">
        <v>1473</v>
      </c>
      <c r="F82" s="588" t="s">
        <v>1039</v>
      </c>
      <c r="G82" s="465"/>
      <c r="H82" s="465"/>
      <c r="I82" s="467"/>
      <c r="J82" s="585"/>
      <c r="K82" s="586"/>
      <c r="L82" s="586">
        <v>0</v>
      </c>
      <c r="M82" s="520"/>
      <c r="N82" s="520"/>
      <c r="O82" s="520">
        <v>5000</v>
      </c>
      <c r="P82" s="520">
        <f t="shared" si="12"/>
        <v>5000</v>
      </c>
    </row>
    <row r="83" spans="1:16" x14ac:dyDescent="0.25">
      <c r="A83" s="515">
        <v>6222</v>
      </c>
      <c r="B83" s="518" t="s">
        <v>32</v>
      </c>
      <c r="C83" s="518" t="s">
        <v>62</v>
      </c>
      <c r="D83" s="518"/>
      <c r="E83" s="518" t="s">
        <v>1110</v>
      </c>
      <c r="F83" s="518" t="s">
        <v>1111</v>
      </c>
      <c r="G83" s="587"/>
      <c r="H83" s="587"/>
      <c r="I83" s="518"/>
      <c r="J83" s="585">
        <v>500</v>
      </c>
      <c r="K83" s="520">
        <v>500</v>
      </c>
      <c r="L83" s="520">
        <v>750</v>
      </c>
      <c r="M83" s="520"/>
      <c r="N83" s="520"/>
      <c r="O83" s="520">
        <v>250</v>
      </c>
      <c r="P83" s="453">
        <f t="shared" ref="P83:P93" si="13">SUM(J83:O83)</f>
        <v>2000</v>
      </c>
    </row>
    <row r="84" spans="1:16" x14ac:dyDescent="0.25">
      <c r="A84" s="515">
        <v>6212</v>
      </c>
      <c r="B84" s="518" t="s">
        <v>32</v>
      </c>
      <c r="C84" s="518" t="s">
        <v>62</v>
      </c>
      <c r="D84" s="467"/>
      <c r="E84" s="467" t="s">
        <v>1112</v>
      </c>
      <c r="F84" s="467" t="s">
        <v>1113</v>
      </c>
      <c r="G84" s="465"/>
      <c r="H84" s="465"/>
      <c r="I84" s="467"/>
      <c r="J84" s="585">
        <v>2000</v>
      </c>
      <c r="K84" s="586"/>
      <c r="L84" s="586"/>
      <c r="M84" s="520"/>
      <c r="N84" s="520"/>
      <c r="O84" s="520"/>
      <c r="P84" s="453">
        <f t="shared" si="13"/>
        <v>2000</v>
      </c>
    </row>
    <row r="85" spans="1:16" x14ac:dyDescent="0.25">
      <c r="A85" s="515">
        <v>6212</v>
      </c>
      <c r="B85" s="518" t="s">
        <v>32</v>
      </c>
      <c r="C85" s="518" t="s">
        <v>62</v>
      </c>
      <c r="D85" s="588"/>
      <c r="E85" s="467" t="s">
        <v>1114</v>
      </c>
      <c r="F85" s="588" t="s">
        <v>1113</v>
      </c>
      <c r="G85" s="465"/>
      <c r="H85" s="465"/>
      <c r="I85" s="467"/>
      <c r="J85" s="585">
        <v>400</v>
      </c>
      <c r="K85" s="586"/>
      <c r="L85" s="586"/>
      <c r="M85" s="520"/>
      <c r="N85" s="520"/>
      <c r="O85" s="520"/>
      <c r="P85" s="453">
        <f t="shared" si="13"/>
        <v>400</v>
      </c>
    </row>
    <row r="86" spans="1:16" x14ac:dyDescent="0.25">
      <c r="A86" s="515">
        <v>6212</v>
      </c>
      <c r="B86" s="518" t="s">
        <v>32</v>
      </c>
      <c r="C86" s="518" t="s">
        <v>62</v>
      </c>
      <c r="D86" s="588"/>
      <c r="E86" s="467" t="s">
        <v>1115</v>
      </c>
      <c r="F86" s="588" t="s">
        <v>1113</v>
      </c>
      <c r="G86" s="465"/>
      <c r="H86" s="465"/>
      <c r="I86" s="467"/>
      <c r="J86" s="585">
        <v>480</v>
      </c>
      <c r="K86" s="586"/>
      <c r="L86" s="586"/>
      <c r="M86" s="520"/>
      <c r="N86" s="520"/>
      <c r="O86" s="520"/>
      <c r="P86" s="453">
        <f t="shared" si="13"/>
        <v>480</v>
      </c>
    </row>
    <row r="87" spans="1:16" x14ac:dyDescent="0.25">
      <c r="A87" s="515">
        <v>6222</v>
      </c>
      <c r="B87" s="518" t="s">
        <v>685</v>
      </c>
      <c r="C87" s="518" t="s">
        <v>114</v>
      </c>
      <c r="D87" s="588" t="s">
        <v>273</v>
      </c>
      <c r="E87" s="467" t="s">
        <v>903</v>
      </c>
      <c r="F87" s="588" t="s">
        <v>1187</v>
      </c>
      <c r="G87" s="465">
        <v>42552</v>
      </c>
      <c r="H87" s="465">
        <v>42916</v>
      </c>
      <c r="I87" s="467"/>
      <c r="J87" s="585">
        <v>600</v>
      </c>
      <c r="K87" s="520">
        <v>500</v>
      </c>
      <c r="L87" s="586">
        <v>725</v>
      </c>
      <c r="M87" s="516">
        <v>90</v>
      </c>
      <c r="N87" s="516"/>
      <c r="O87" s="516">
        <v>750</v>
      </c>
      <c r="P87" s="453">
        <f t="shared" si="13"/>
        <v>2665</v>
      </c>
    </row>
    <row r="88" spans="1:16" x14ac:dyDescent="0.25">
      <c r="A88" s="515">
        <v>6222</v>
      </c>
      <c r="B88" s="518" t="s">
        <v>685</v>
      </c>
      <c r="C88" s="518" t="s">
        <v>114</v>
      </c>
      <c r="D88" s="518" t="s">
        <v>273</v>
      </c>
      <c r="E88" s="467" t="s">
        <v>904</v>
      </c>
      <c r="F88" s="518" t="s">
        <v>817</v>
      </c>
      <c r="G88" s="587">
        <v>42552</v>
      </c>
      <c r="H88" s="587">
        <v>42916</v>
      </c>
      <c r="I88" s="518"/>
      <c r="J88" s="585">
        <v>600</v>
      </c>
      <c r="K88" s="520">
        <v>600</v>
      </c>
      <c r="L88" s="586">
        <v>725</v>
      </c>
      <c r="M88" s="516">
        <v>90</v>
      </c>
      <c r="N88" s="516"/>
      <c r="O88" s="516">
        <v>750</v>
      </c>
      <c r="P88" s="453">
        <f t="shared" si="13"/>
        <v>2765</v>
      </c>
    </row>
    <row r="89" spans="1:16" x14ac:dyDescent="0.25">
      <c r="A89" s="515">
        <v>6212</v>
      </c>
      <c r="B89" s="518" t="s">
        <v>685</v>
      </c>
      <c r="C89" s="518" t="s">
        <v>114</v>
      </c>
      <c r="D89" s="518" t="s">
        <v>273</v>
      </c>
      <c r="E89" s="467" t="s">
        <v>905</v>
      </c>
      <c r="F89" s="518" t="s">
        <v>1188</v>
      </c>
      <c r="G89" s="587">
        <v>42552</v>
      </c>
      <c r="H89" s="587">
        <v>42916</v>
      </c>
      <c r="I89" s="518"/>
      <c r="J89" s="585">
        <v>600</v>
      </c>
      <c r="K89" s="520"/>
      <c r="L89" s="586"/>
      <c r="M89" s="516"/>
      <c r="N89" s="516"/>
      <c r="O89" s="516">
        <v>500</v>
      </c>
      <c r="P89" s="453">
        <f t="shared" si="13"/>
        <v>1100</v>
      </c>
    </row>
    <row r="90" spans="1:16" x14ac:dyDescent="0.25">
      <c r="A90" s="515">
        <v>6210</v>
      </c>
      <c r="B90" s="518" t="s">
        <v>685</v>
      </c>
      <c r="C90" s="518" t="s">
        <v>159</v>
      </c>
      <c r="D90" s="518" t="s">
        <v>257</v>
      </c>
      <c r="E90" s="518" t="s">
        <v>1279</v>
      </c>
      <c r="F90" s="518"/>
      <c r="G90" s="587"/>
      <c r="H90" s="587"/>
      <c r="I90" s="518"/>
      <c r="J90" s="585"/>
      <c r="K90" s="516"/>
      <c r="L90" s="586"/>
      <c r="M90" s="516"/>
      <c r="N90" s="516"/>
      <c r="O90" s="520">
        <v>3000</v>
      </c>
      <c r="P90" s="520">
        <f t="shared" si="13"/>
        <v>3000</v>
      </c>
    </row>
    <row r="91" spans="1:16" x14ac:dyDescent="0.25">
      <c r="A91" s="515">
        <v>6210</v>
      </c>
      <c r="B91" s="518" t="s">
        <v>685</v>
      </c>
      <c r="C91" s="518" t="s">
        <v>162</v>
      </c>
      <c r="D91" s="588" t="s">
        <v>257</v>
      </c>
      <c r="E91" s="467" t="s">
        <v>1278</v>
      </c>
      <c r="F91" s="588"/>
      <c r="G91" s="587"/>
      <c r="H91" s="587"/>
      <c r="I91" s="467"/>
      <c r="J91" s="585"/>
      <c r="K91" s="520"/>
      <c r="L91" s="586"/>
      <c r="M91" s="520"/>
      <c r="N91" s="520"/>
      <c r="O91" s="520">
        <v>1500</v>
      </c>
      <c r="P91" s="520">
        <f t="shared" si="13"/>
        <v>1500</v>
      </c>
    </row>
    <row r="92" spans="1:16" x14ac:dyDescent="0.25">
      <c r="A92" s="515">
        <v>6210</v>
      </c>
      <c r="B92" s="518" t="s">
        <v>685</v>
      </c>
      <c r="C92" s="518" t="s">
        <v>162</v>
      </c>
      <c r="D92" s="588" t="s">
        <v>257</v>
      </c>
      <c r="E92" s="467" t="s">
        <v>1279</v>
      </c>
      <c r="F92" s="588"/>
      <c r="G92" s="465"/>
      <c r="H92" s="465"/>
      <c r="I92" s="467"/>
      <c r="J92" s="585"/>
      <c r="K92" s="589"/>
      <c r="L92" s="586"/>
      <c r="M92" s="516"/>
      <c r="N92" s="516"/>
      <c r="O92" s="520">
        <v>1500</v>
      </c>
      <c r="P92" s="520">
        <f t="shared" si="13"/>
        <v>1500</v>
      </c>
    </row>
    <row r="93" spans="1:16" x14ac:dyDescent="0.25">
      <c r="A93" s="515">
        <v>6210</v>
      </c>
      <c r="B93" s="518" t="s">
        <v>685</v>
      </c>
      <c r="C93" s="518" t="s">
        <v>124</v>
      </c>
      <c r="D93" s="518" t="s">
        <v>257</v>
      </c>
      <c r="E93" s="518" t="s">
        <v>1279</v>
      </c>
      <c r="F93" s="518"/>
      <c r="G93" s="587"/>
      <c r="H93" s="587"/>
      <c r="I93" s="518"/>
      <c r="J93" s="585"/>
      <c r="K93" s="516"/>
      <c r="L93" s="586"/>
      <c r="M93" s="516"/>
      <c r="N93" s="516"/>
      <c r="O93" s="520">
        <v>1000</v>
      </c>
      <c r="P93" s="520">
        <f t="shared" si="13"/>
        <v>1000</v>
      </c>
    </row>
    <row r="94" spans="1:16" x14ac:dyDescent="0.25">
      <c r="A94" s="515">
        <v>6212</v>
      </c>
      <c r="B94" s="518" t="s">
        <v>685</v>
      </c>
      <c r="C94" s="518" t="s">
        <v>117</v>
      </c>
      <c r="D94" s="588" t="s">
        <v>260</v>
      </c>
      <c r="E94" s="467" t="s">
        <v>901</v>
      </c>
      <c r="F94" s="588" t="s">
        <v>902</v>
      </c>
      <c r="G94" s="587">
        <v>42668</v>
      </c>
      <c r="H94" s="587">
        <v>42671</v>
      </c>
      <c r="I94" s="467"/>
      <c r="J94" s="585">
        <v>600</v>
      </c>
      <c r="K94" s="520"/>
      <c r="L94" s="586">
        <v>300</v>
      </c>
      <c r="M94" s="520"/>
      <c r="N94" s="520"/>
      <c r="O94" s="520">
        <v>985</v>
      </c>
      <c r="P94" s="453">
        <f t="shared" ref="P94:P118" si="14">SUM(J94:O94)</f>
        <v>1885</v>
      </c>
    </row>
    <row r="95" spans="1:16" x14ac:dyDescent="0.25">
      <c r="A95" s="515">
        <v>6210</v>
      </c>
      <c r="B95" s="518" t="s">
        <v>685</v>
      </c>
      <c r="C95" s="518" t="s">
        <v>692</v>
      </c>
      <c r="D95" s="518" t="s">
        <v>257</v>
      </c>
      <c r="E95" s="518" t="s">
        <v>898</v>
      </c>
      <c r="F95" s="518" t="s">
        <v>899</v>
      </c>
      <c r="G95" s="587">
        <v>42552</v>
      </c>
      <c r="H95" s="587">
        <v>42916</v>
      </c>
      <c r="I95" s="518"/>
      <c r="J95" s="585"/>
      <c r="K95" s="520"/>
      <c r="L95" s="520">
        <v>2000</v>
      </c>
      <c r="M95" s="520">
        <v>100</v>
      </c>
      <c r="N95" s="520"/>
      <c r="O95" s="520">
        <v>1250</v>
      </c>
      <c r="P95" s="453">
        <f t="shared" si="14"/>
        <v>3350</v>
      </c>
    </row>
    <row r="96" spans="1:16" x14ac:dyDescent="0.25">
      <c r="A96" s="515">
        <v>6210</v>
      </c>
      <c r="B96" s="518" t="s">
        <v>685</v>
      </c>
      <c r="C96" s="518" t="s">
        <v>692</v>
      </c>
      <c r="D96" s="467" t="s">
        <v>256</v>
      </c>
      <c r="E96" s="467" t="s">
        <v>898</v>
      </c>
      <c r="F96" s="467" t="s">
        <v>899</v>
      </c>
      <c r="G96" s="465">
        <v>42552</v>
      </c>
      <c r="H96" s="465">
        <v>42916</v>
      </c>
      <c r="I96" s="467"/>
      <c r="J96" s="585"/>
      <c r="K96" s="520"/>
      <c r="L96" s="586">
        <v>4500</v>
      </c>
      <c r="M96" s="520">
        <v>150</v>
      </c>
      <c r="N96" s="520"/>
      <c r="O96" s="520">
        <v>2500</v>
      </c>
      <c r="P96" s="453">
        <f t="shared" si="14"/>
        <v>7150</v>
      </c>
    </row>
    <row r="97" spans="1:16" x14ac:dyDescent="0.25">
      <c r="A97" s="515">
        <v>6210</v>
      </c>
      <c r="B97" s="518" t="s">
        <v>685</v>
      </c>
      <c r="C97" s="518" t="s">
        <v>692</v>
      </c>
      <c r="D97" s="588" t="s">
        <v>258</v>
      </c>
      <c r="E97" s="467" t="s">
        <v>898</v>
      </c>
      <c r="F97" s="588" t="s">
        <v>899</v>
      </c>
      <c r="G97" s="465">
        <v>42552</v>
      </c>
      <c r="H97" s="465">
        <v>42916</v>
      </c>
      <c r="I97" s="467"/>
      <c r="J97" s="585"/>
      <c r="K97" s="520"/>
      <c r="L97" s="586">
        <v>4500</v>
      </c>
      <c r="M97" s="520">
        <v>150</v>
      </c>
      <c r="N97" s="520"/>
      <c r="O97" s="520">
        <v>2500</v>
      </c>
      <c r="P97" s="453">
        <f t="shared" si="14"/>
        <v>7150</v>
      </c>
    </row>
    <row r="98" spans="1:16" x14ac:dyDescent="0.25">
      <c r="A98" s="515">
        <v>6210</v>
      </c>
      <c r="B98" s="518" t="s">
        <v>685</v>
      </c>
      <c r="C98" s="518" t="s">
        <v>692</v>
      </c>
      <c r="D98" s="588" t="s">
        <v>260</v>
      </c>
      <c r="E98" s="467" t="s">
        <v>898</v>
      </c>
      <c r="F98" s="588" t="s">
        <v>899</v>
      </c>
      <c r="G98" s="465">
        <v>42552</v>
      </c>
      <c r="H98" s="465">
        <v>42916</v>
      </c>
      <c r="I98" s="467"/>
      <c r="J98" s="585"/>
      <c r="K98" s="520"/>
      <c r="L98" s="586">
        <v>4500</v>
      </c>
      <c r="M98" s="520">
        <v>150</v>
      </c>
      <c r="N98" s="520"/>
      <c r="O98" s="520">
        <v>2500</v>
      </c>
      <c r="P98" s="453">
        <f t="shared" si="14"/>
        <v>7150</v>
      </c>
    </row>
    <row r="99" spans="1:16" x14ac:dyDescent="0.25">
      <c r="A99" s="515">
        <v>6210</v>
      </c>
      <c r="B99" s="518" t="s">
        <v>685</v>
      </c>
      <c r="C99" s="518" t="s">
        <v>692</v>
      </c>
      <c r="D99" s="588" t="s">
        <v>259</v>
      </c>
      <c r="E99" s="467" t="s">
        <v>898</v>
      </c>
      <c r="F99" s="588" t="s">
        <v>899</v>
      </c>
      <c r="G99" s="465">
        <v>42552</v>
      </c>
      <c r="H99" s="465">
        <v>42916</v>
      </c>
      <c r="I99" s="467"/>
      <c r="J99" s="585"/>
      <c r="K99" s="520"/>
      <c r="L99" s="586">
        <v>2000</v>
      </c>
      <c r="M99" s="520">
        <v>100</v>
      </c>
      <c r="N99" s="520"/>
      <c r="O99" s="520">
        <v>1250</v>
      </c>
      <c r="P99" s="453">
        <f t="shared" si="14"/>
        <v>3350</v>
      </c>
    </row>
    <row r="100" spans="1:16" x14ac:dyDescent="0.25">
      <c r="A100" s="515">
        <v>6222</v>
      </c>
      <c r="B100" s="518" t="s">
        <v>685</v>
      </c>
      <c r="C100" s="518" t="s">
        <v>692</v>
      </c>
      <c r="D100" s="588" t="s">
        <v>257</v>
      </c>
      <c r="E100" s="698" t="s">
        <v>1581</v>
      </c>
      <c r="F100" s="588" t="s">
        <v>900</v>
      </c>
      <c r="G100" s="465">
        <v>42631</v>
      </c>
      <c r="H100" s="465">
        <v>42637</v>
      </c>
      <c r="I100" s="467"/>
      <c r="J100" s="585">
        <f>1000-1000</f>
        <v>0</v>
      </c>
      <c r="K100" s="520"/>
      <c r="L100" s="586">
        <f>810-810</f>
        <v>0</v>
      </c>
      <c r="M100" s="520">
        <f>45-45</f>
        <v>0</v>
      </c>
      <c r="N100" s="520"/>
      <c r="O100" s="520">
        <f>392-392</f>
        <v>0</v>
      </c>
      <c r="P100" s="453">
        <f t="shared" si="14"/>
        <v>0</v>
      </c>
    </row>
    <row r="101" spans="1:16" x14ac:dyDescent="0.25">
      <c r="A101" s="515">
        <v>6222</v>
      </c>
      <c r="B101" s="518" t="s">
        <v>41</v>
      </c>
      <c r="C101" s="518" t="s">
        <v>692</v>
      </c>
      <c r="D101" s="518" t="s">
        <v>263</v>
      </c>
      <c r="E101" s="518" t="s">
        <v>1033</v>
      </c>
      <c r="F101" s="518"/>
      <c r="G101" s="587"/>
      <c r="H101" s="587"/>
      <c r="I101" s="518"/>
      <c r="J101" s="585">
        <v>810</v>
      </c>
      <c r="K101" s="520">
        <v>500</v>
      </c>
      <c r="L101" s="520">
        <v>750</v>
      </c>
      <c r="M101" s="520"/>
      <c r="N101" s="520"/>
      <c r="O101" s="520">
        <v>500</v>
      </c>
      <c r="P101" s="453">
        <f t="shared" si="14"/>
        <v>2560</v>
      </c>
    </row>
    <row r="102" spans="1:16" x14ac:dyDescent="0.25">
      <c r="A102" s="515">
        <v>6222</v>
      </c>
      <c r="B102" s="518" t="s">
        <v>41</v>
      </c>
      <c r="C102" s="518" t="s">
        <v>692</v>
      </c>
      <c r="D102" s="467" t="s">
        <v>262</v>
      </c>
      <c r="E102" s="467" t="s">
        <v>1034</v>
      </c>
      <c r="F102" s="467"/>
      <c r="G102" s="465"/>
      <c r="H102" s="465"/>
      <c r="I102" s="467"/>
      <c r="J102" s="585">
        <v>810</v>
      </c>
      <c r="K102" s="586">
        <v>500</v>
      </c>
      <c r="L102" s="586">
        <v>750</v>
      </c>
      <c r="M102" s="520"/>
      <c r="N102" s="520"/>
      <c r="O102" s="520">
        <v>500</v>
      </c>
      <c r="P102" s="453">
        <f t="shared" si="14"/>
        <v>2560</v>
      </c>
    </row>
    <row r="103" spans="1:16" x14ac:dyDescent="0.25">
      <c r="A103" s="515">
        <v>6222</v>
      </c>
      <c r="B103" s="518" t="s">
        <v>41</v>
      </c>
      <c r="C103" s="518" t="s">
        <v>692</v>
      </c>
      <c r="D103" s="588" t="s">
        <v>261</v>
      </c>
      <c r="E103" s="698" t="s">
        <v>1584</v>
      </c>
      <c r="F103" s="588"/>
      <c r="G103" s="465"/>
      <c r="H103" s="465"/>
      <c r="I103" s="467"/>
      <c r="J103" s="585">
        <f>810-810</f>
        <v>0</v>
      </c>
      <c r="K103" s="586">
        <f>500-500</f>
        <v>0</v>
      </c>
      <c r="L103" s="586">
        <f>750-750</f>
        <v>0</v>
      </c>
      <c r="M103" s="520"/>
      <c r="N103" s="520"/>
      <c r="O103" s="520">
        <f>500-500</f>
        <v>0</v>
      </c>
      <c r="P103" s="453">
        <f t="shared" si="14"/>
        <v>0</v>
      </c>
    </row>
    <row r="104" spans="1:16" x14ac:dyDescent="0.25">
      <c r="A104" s="515">
        <v>6212</v>
      </c>
      <c r="B104" s="518" t="s">
        <v>41</v>
      </c>
      <c r="C104" s="518" t="s">
        <v>692</v>
      </c>
      <c r="D104" s="588"/>
      <c r="E104" s="467" t="s">
        <v>1035</v>
      </c>
      <c r="F104" s="588"/>
      <c r="G104" s="465"/>
      <c r="H104" s="465"/>
      <c r="I104" s="467"/>
      <c r="J104" s="585">
        <v>300</v>
      </c>
      <c r="K104" s="586"/>
      <c r="L104" s="586"/>
      <c r="M104" s="520"/>
      <c r="N104" s="520"/>
      <c r="O104" s="520"/>
      <c r="P104" s="453">
        <f t="shared" si="14"/>
        <v>300</v>
      </c>
    </row>
    <row r="105" spans="1:16" x14ac:dyDescent="0.25">
      <c r="A105" s="515">
        <v>6212</v>
      </c>
      <c r="B105" s="518" t="s">
        <v>775</v>
      </c>
      <c r="C105" s="518" t="s">
        <v>134</v>
      </c>
      <c r="D105" s="518" t="s">
        <v>319</v>
      </c>
      <c r="E105" s="467" t="s">
        <v>1492</v>
      </c>
      <c r="F105" s="702" t="s">
        <v>899</v>
      </c>
      <c r="G105" s="591"/>
      <c r="H105" s="591"/>
      <c r="I105" s="590"/>
      <c r="J105" s="585"/>
      <c r="K105" s="586"/>
      <c r="L105" s="586"/>
      <c r="M105" s="520"/>
      <c r="N105" s="520"/>
      <c r="O105" s="520">
        <v>500</v>
      </c>
      <c r="P105" s="453">
        <f t="shared" si="14"/>
        <v>500</v>
      </c>
    </row>
    <row r="106" spans="1:16" x14ac:dyDescent="0.25">
      <c r="A106" s="515">
        <v>6222</v>
      </c>
      <c r="B106" s="518" t="s">
        <v>775</v>
      </c>
      <c r="C106" s="518" t="s">
        <v>137</v>
      </c>
      <c r="D106" s="467" t="s">
        <v>319</v>
      </c>
      <c r="E106" s="700" t="s">
        <v>1184</v>
      </c>
      <c r="F106" s="702" t="s">
        <v>1185</v>
      </c>
      <c r="G106" s="587">
        <v>42637</v>
      </c>
      <c r="H106" s="587">
        <v>42640</v>
      </c>
      <c r="I106" s="590"/>
      <c r="J106" s="585">
        <v>500</v>
      </c>
      <c r="K106" s="586">
        <v>500</v>
      </c>
      <c r="L106" s="586">
        <v>1000</v>
      </c>
      <c r="M106" s="520"/>
      <c r="N106" s="520"/>
      <c r="O106" s="520">
        <v>1000</v>
      </c>
      <c r="P106" s="453">
        <f t="shared" si="14"/>
        <v>3000</v>
      </c>
    </row>
    <row r="107" spans="1:16" x14ac:dyDescent="0.25">
      <c r="A107" s="515">
        <v>6212</v>
      </c>
      <c r="B107" s="518" t="s">
        <v>775</v>
      </c>
      <c r="C107" s="518" t="s">
        <v>162</v>
      </c>
      <c r="D107" s="518" t="s">
        <v>306</v>
      </c>
      <c r="E107" s="467" t="s">
        <v>1280</v>
      </c>
      <c r="F107" s="518"/>
      <c r="G107" s="587"/>
      <c r="H107" s="587"/>
      <c r="I107" s="518"/>
      <c r="J107" s="585"/>
      <c r="K107" s="516"/>
      <c r="L107" s="586"/>
      <c r="M107" s="516"/>
      <c r="N107" s="516"/>
      <c r="O107" s="520">
        <v>1500</v>
      </c>
      <c r="P107" s="520">
        <f t="shared" si="14"/>
        <v>1500</v>
      </c>
    </row>
    <row r="108" spans="1:16" x14ac:dyDescent="0.25">
      <c r="A108" s="515">
        <v>6210</v>
      </c>
      <c r="B108" s="518" t="s">
        <v>775</v>
      </c>
      <c r="C108" s="518" t="s">
        <v>124</v>
      </c>
      <c r="D108" s="588" t="s">
        <v>275</v>
      </c>
      <c r="E108" s="467" t="s">
        <v>1441</v>
      </c>
      <c r="F108" s="588" t="s">
        <v>1077</v>
      </c>
      <c r="G108" s="465">
        <v>42552</v>
      </c>
      <c r="H108" s="465">
        <v>42916</v>
      </c>
      <c r="I108" s="467"/>
      <c r="J108" s="585"/>
      <c r="K108" s="586"/>
      <c r="L108" s="586"/>
      <c r="M108" s="520"/>
      <c r="N108" s="520"/>
      <c r="O108" s="520">
        <f>1500</f>
        <v>1500</v>
      </c>
      <c r="P108" s="520">
        <f t="shared" si="14"/>
        <v>1500</v>
      </c>
    </row>
    <row r="109" spans="1:16" x14ac:dyDescent="0.25">
      <c r="A109" s="515">
        <v>6210</v>
      </c>
      <c r="B109" s="518" t="s">
        <v>775</v>
      </c>
      <c r="C109" s="518" t="s">
        <v>124</v>
      </c>
      <c r="D109" s="588" t="s">
        <v>274</v>
      </c>
      <c r="E109" s="467" t="s">
        <v>1076</v>
      </c>
      <c r="F109" s="588" t="s">
        <v>1078</v>
      </c>
      <c r="G109" s="465">
        <v>42552</v>
      </c>
      <c r="H109" s="465">
        <v>42916</v>
      </c>
      <c r="I109" s="467"/>
      <c r="J109" s="585"/>
      <c r="K109" s="586"/>
      <c r="L109" s="586">
        <v>0</v>
      </c>
      <c r="M109" s="520"/>
      <c r="N109" s="520"/>
      <c r="O109" s="520"/>
      <c r="P109" s="520">
        <f t="shared" si="14"/>
        <v>0</v>
      </c>
    </row>
    <row r="110" spans="1:16" x14ac:dyDescent="0.25">
      <c r="A110" s="515">
        <v>6210</v>
      </c>
      <c r="B110" s="518" t="s">
        <v>775</v>
      </c>
      <c r="C110" s="518" t="s">
        <v>124</v>
      </c>
      <c r="D110" s="588" t="s">
        <v>306</v>
      </c>
      <c r="E110" s="467" t="s">
        <v>1076</v>
      </c>
      <c r="F110" s="588" t="s">
        <v>1079</v>
      </c>
      <c r="G110" s="465">
        <v>42552</v>
      </c>
      <c r="H110" s="465">
        <v>42916</v>
      </c>
      <c r="I110" s="467"/>
      <c r="J110" s="585"/>
      <c r="K110" s="586"/>
      <c r="L110" s="586">
        <v>0</v>
      </c>
      <c r="M110" s="520"/>
      <c r="N110" s="520"/>
      <c r="O110" s="520"/>
      <c r="P110" s="520">
        <f t="shared" si="14"/>
        <v>0</v>
      </c>
    </row>
    <row r="111" spans="1:16" x14ac:dyDescent="0.25">
      <c r="A111" s="515">
        <v>6212</v>
      </c>
      <c r="B111" s="518" t="s">
        <v>775</v>
      </c>
      <c r="C111" s="518" t="s">
        <v>692</v>
      </c>
      <c r="D111" s="588" t="s">
        <v>322</v>
      </c>
      <c r="E111" s="467" t="s">
        <v>1492</v>
      </c>
      <c r="F111" s="702" t="s">
        <v>899</v>
      </c>
      <c r="G111" s="697">
        <v>42552</v>
      </c>
      <c r="H111" s="697">
        <v>42916</v>
      </c>
      <c r="I111" s="590"/>
      <c r="J111" s="585"/>
      <c r="K111" s="586"/>
      <c r="L111" s="586"/>
      <c r="M111" s="520"/>
      <c r="N111" s="520"/>
      <c r="O111" s="520">
        <v>500</v>
      </c>
      <c r="P111" s="520">
        <f t="shared" si="14"/>
        <v>500</v>
      </c>
    </row>
    <row r="112" spans="1:16" x14ac:dyDescent="0.25">
      <c r="A112" s="515">
        <v>6222</v>
      </c>
      <c r="B112" s="518" t="s">
        <v>775</v>
      </c>
      <c r="C112" s="518" t="s">
        <v>692</v>
      </c>
      <c r="D112" s="588" t="s">
        <v>322</v>
      </c>
      <c r="E112" s="700" t="s">
        <v>1184</v>
      </c>
      <c r="F112" s="702" t="s">
        <v>1185</v>
      </c>
      <c r="G112" s="587">
        <v>42637</v>
      </c>
      <c r="H112" s="587">
        <v>42640</v>
      </c>
      <c r="I112" s="590"/>
      <c r="J112" s="585">
        <f>500-500</f>
        <v>0</v>
      </c>
      <c r="K112" s="586">
        <f>500-500</f>
        <v>0</v>
      </c>
      <c r="L112" s="586">
        <f>1000-1000</f>
        <v>0</v>
      </c>
      <c r="M112" s="520"/>
      <c r="N112" s="520"/>
      <c r="O112" s="520">
        <f>1000-1000</f>
        <v>0</v>
      </c>
      <c r="P112" s="520">
        <f t="shared" si="14"/>
        <v>0</v>
      </c>
    </row>
    <row r="113" spans="1:16" x14ac:dyDescent="0.25">
      <c r="A113" s="515">
        <v>6212</v>
      </c>
      <c r="B113" s="518" t="s">
        <v>775</v>
      </c>
      <c r="C113" s="518" t="s">
        <v>692</v>
      </c>
      <c r="D113" s="588" t="s">
        <v>321</v>
      </c>
      <c r="E113" s="467" t="s">
        <v>1492</v>
      </c>
      <c r="F113" s="702" t="s">
        <v>899</v>
      </c>
      <c r="G113" s="697">
        <v>42552</v>
      </c>
      <c r="H113" s="697">
        <v>42916</v>
      </c>
      <c r="I113" s="590"/>
      <c r="J113" s="585"/>
      <c r="K113" s="586"/>
      <c r="L113" s="586"/>
      <c r="M113" s="520"/>
      <c r="N113" s="520"/>
      <c r="O113" s="520">
        <v>500</v>
      </c>
      <c r="P113" s="520">
        <f t="shared" si="14"/>
        <v>500</v>
      </c>
    </row>
    <row r="114" spans="1:16" x14ac:dyDescent="0.25">
      <c r="A114" s="515">
        <v>6210</v>
      </c>
      <c r="B114" s="518" t="s">
        <v>775</v>
      </c>
      <c r="C114" s="518" t="s">
        <v>692</v>
      </c>
      <c r="D114" s="588" t="s">
        <v>320</v>
      </c>
      <c r="E114" s="467" t="s">
        <v>1492</v>
      </c>
      <c r="F114" s="702" t="s">
        <v>899</v>
      </c>
      <c r="G114" s="697">
        <v>42552</v>
      </c>
      <c r="H114" s="697">
        <v>42916</v>
      </c>
      <c r="I114" s="590"/>
      <c r="J114" s="585"/>
      <c r="K114" s="586"/>
      <c r="L114" s="586"/>
      <c r="M114" s="520"/>
      <c r="N114" s="520"/>
      <c r="O114" s="520">
        <v>500</v>
      </c>
      <c r="P114" s="520">
        <f t="shared" si="14"/>
        <v>500</v>
      </c>
    </row>
    <row r="115" spans="1:16" x14ac:dyDescent="0.25">
      <c r="A115" s="515">
        <v>6210</v>
      </c>
      <c r="B115" s="518" t="s">
        <v>37</v>
      </c>
      <c r="C115" s="518" t="s">
        <v>116</v>
      </c>
      <c r="D115" s="588" t="s">
        <v>265</v>
      </c>
      <c r="E115" s="467" t="s">
        <v>1065</v>
      </c>
      <c r="F115" s="588" t="s">
        <v>899</v>
      </c>
      <c r="G115" s="465">
        <v>42552</v>
      </c>
      <c r="H115" s="465">
        <v>42916</v>
      </c>
      <c r="I115" s="467"/>
      <c r="J115" s="585"/>
      <c r="K115" s="586"/>
      <c r="L115" s="586"/>
      <c r="M115" s="520"/>
      <c r="N115" s="520"/>
      <c r="O115" s="520">
        <v>7000</v>
      </c>
      <c r="P115" s="520">
        <f t="shared" si="14"/>
        <v>7000</v>
      </c>
    </row>
    <row r="116" spans="1:16" x14ac:dyDescent="0.25">
      <c r="A116" s="515">
        <v>6222</v>
      </c>
      <c r="B116" s="518" t="s">
        <v>37</v>
      </c>
      <c r="C116" s="518" t="s">
        <v>116</v>
      </c>
      <c r="D116" s="588" t="s">
        <v>265</v>
      </c>
      <c r="E116" s="467" t="s">
        <v>1067</v>
      </c>
      <c r="F116" s="588" t="s">
        <v>1039</v>
      </c>
      <c r="G116" s="465">
        <v>42552</v>
      </c>
      <c r="H116" s="465">
        <v>42916</v>
      </c>
      <c r="I116" s="467"/>
      <c r="J116" s="585">
        <v>500</v>
      </c>
      <c r="K116" s="586">
        <v>500</v>
      </c>
      <c r="L116" s="586">
        <v>1500</v>
      </c>
      <c r="M116" s="520"/>
      <c r="N116" s="520"/>
      <c r="O116" s="520">
        <v>500</v>
      </c>
      <c r="P116" s="520">
        <f t="shared" si="14"/>
        <v>3000</v>
      </c>
    </row>
    <row r="117" spans="1:16" x14ac:dyDescent="0.25">
      <c r="A117" s="515">
        <v>6222</v>
      </c>
      <c r="B117" s="518" t="s">
        <v>37</v>
      </c>
      <c r="C117" s="518" t="s">
        <v>116</v>
      </c>
      <c r="D117" s="588" t="s">
        <v>271</v>
      </c>
      <c r="E117" s="467" t="s">
        <v>1067</v>
      </c>
      <c r="F117" s="588" t="s">
        <v>1039</v>
      </c>
      <c r="G117" s="465">
        <v>42552</v>
      </c>
      <c r="H117" s="465">
        <v>42916</v>
      </c>
      <c r="I117" s="467"/>
      <c r="J117" s="585">
        <v>500</v>
      </c>
      <c r="K117" s="586">
        <v>500</v>
      </c>
      <c r="L117" s="586">
        <v>1500</v>
      </c>
      <c r="M117" s="520"/>
      <c r="N117" s="520"/>
      <c r="O117" s="520">
        <v>500</v>
      </c>
      <c r="P117" s="520">
        <f t="shared" si="14"/>
        <v>3000</v>
      </c>
    </row>
    <row r="118" spans="1:16" x14ac:dyDescent="0.25">
      <c r="A118" s="515">
        <v>6210</v>
      </c>
      <c r="B118" s="518" t="s">
        <v>37</v>
      </c>
      <c r="C118" s="518" t="s">
        <v>143</v>
      </c>
      <c r="D118" s="518" t="s">
        <v>269</v>
      </c>
      <c r="E118" s="518" t="s">
        <v>1065</v>
      </c>
      <c r="F118" s="518" t="s">
        <v>1288</v>
      </c>
      <c r="G118" s="587">
        <v>42552</v>
      </c>
      <c r="H118" s="587">
        <v>42916</v>
      </c>
      <c r="I118" s="518"/>
      <c r="J118" s="585"/>
      <c r="K118" s="520"/>
      <c r="L118" s="520">
        <v>2772</v>
      </c>
      <c r="M118" s="520"/>
      <c r="N118" s="520"/>
      <c r="O118" s="520">
        <v>2208</v>
      </c>
      <c r="P118" s="520">
        <f t="shared" si="14"/>
        <v>4980</v>
      </c>
    </row>
    <row r="119" spans="1:16" x14ac:dyDescent="0.25">
      <c r="A119" s="515">
        <v>6222</v>
      </c>
      <c r="B119" s="518" t="s">
        <v>37</v>
      </c>
      <c r="C119" s="518" t="s">
        <v>143</v>
      </c>
      <c r="D119" s="467" t="s">
        <v>271</v>
      </c>
      <c r="E119" s="467" t="s">
        <v>1066</v>
      </c>
      <c r="F119" s="467" t="s">
        <v>1039</v>
      </c>
      <c r="G119" s="465">
        <v>42552</v>
      </c>
      <c r="H119" s="465">
        <v>42916</v>
      </c>
      <c r="I119" s="467"/>
      <c r="J119" s="585">
        <v>800</v>
      </c>
      <c r="K119" s="586">
        <v>860</v>
      </c>
      <c r="L119" s="586">
        <v>1980</v>
      </c>
      <c r="M119" s="520"/>
      <c r="N119" s="520"/>
      <c r="O119" s="520">
        <f>780</f>
        <v>780</v>
      </c>
      <c r="P119" s="520">
        <f t="shared" ref="P119:P130" si="15">SUM(J119:O119)</f>
        <v>4420</v>
      </c>
    </row>
    <row r="120" spans="1:16" x14ac:dyDescent="0.25">
      <c r="A120" s="515">
        <v>6222</v>
      </c>
      <c r="B120" s="518" t="s">
        <v>37</v>
      </c>
      <c r="C120" s="518" t="s">
        <v>143</v>
      </c>
      <c r="D120" s="588" t="s">
        <v>272</v>
      </c>
      <c r="E120" s="467" t="s">
        <v>1066</v>
      </c>
      <c r="F120" s="588" t="s">
        <v>1039</v>
      </c>
      <c r="G120" s="465">
        <v>42552</v>
      </c>
      <c r="H120" s="465">
        <v>42916</v>
      </c>
      <c r="I120" s="467"/>
      <c r="J120" s="585">
        <v>800</v>
      </c>
      <c r="K120" s="586">
        <v>860</v>
      </c>
      <c r="L120" s="586">
        <v>1980</v>
      </c>
      <c r="M120" s="520"/>
      <c r="N120" s="520"/>
      <c r="O120" s="520">
        <f>780</f>
        <v>780</v>
      </c>
      <c r="P120" s="520">
        <f t="shared" si="15"/>
        <v>4420</v>
      </c>
    </row>
    <row r="121" spans="1:16" x14ac:dyDescent="0.25">
      <c r="A121" s="515">
        <v>6210</v>
      </c>
      <c r="B121" s="518" t="s">
        <v>29</v>
      </c>
      <c r="C121" s="518" t="s">
        <v>62</v>
      </c>
      <c r="D121" s="518" t="s">
        <v>244</v>
      </c>
      <c r="E121" s="518" t="s">
        <v>1223</v>
      </c>
      <c r="F121" s="518" t="s">
        <v>1224</v>
      </c>
      <c r="G121" s="587">
        <v>42552</v>
      </c>
      <c r="H121" s="587">
        <v>42916</v>
      </c>
      <c r="I121" s="518"/>
      <c r="J121" s="585"/>
      <c r="K121" s="520"/>
      <c r="L121" s="520"/>
      <c r="M121" s="520">
        <v>200</v>
      </c>
      <c r="N121" s="520"/>
      <c r="O121" s="520">
        <v>800</v>
      </c>
      <c r="P121" s="520">
        <f t="shared" si="15"/>
        <v>1000</v>
      </c>
    </row>
    <row r="122" spans="1:16" x14ac:dyDescent="0.25">
      <c r="A122" s="515">
        <v>6212</v>
      </c>
      <c r="B122" s="518" t="s">
        <v>29</v>
      </c>
      <c r="C122" s="518" t="s">
        <v>62</v>
      </c>
      <c r="D122" s="467" t="s">
        <v>244</v>
      </c>
      <c r="E122" s="467" t="s">
        <v>1225</v>
      </c>
      <c r="F122" s="467" t="s">
        <v>1226</v>
      </c>
      <c r="G122" s="465">
        <v>42552</v>
      </c>
      <c r="H122" s="465">
        <v>42916</v>
      </c>
      <c r="I122" s="467"/>
      <c r="J122" s="585">
        <v>2500</v>
      </c>
      <c r="K122" s="586"/>
      <c r="L122" s="586"/>
      <c r="M122" s="520">
        <v>200</v>
      </c>
      <c r="N122" s="520">
        <v>500</v>
      </c>
      <c r="O122" s="520">
        <v>800</v>
      </c>
      <c r="P122" s="520">
        <f t="shared" si="15"/>
        <v>4000</v>
      </c>
    </row>
    <row r="123" spans="1:16" s="514" customFormat="1" x14ac:dyDescent="0.25">
      <c r="A123" s="515">
        <v>6220</v>
      </c>
      <c r="B123" s="518" t="s">
        <v>29</v>
      </c>
      <c r="C123" s="518" t="s">
        <v>62</v>
      </c>
      <c r="D123" s="588" t="s">
        <v>244</v>
      </c>
      <c r="E123" s="467" t="s">
        <v>1227</v>
      </c>
      <c r="F123" s="588" t="s">
        <v>700</v>
      </c>
      <c r="G123" s="465">
        <v>42552</v>
      </c>
      <c r="H123" s="465">
        <v>42916</v>
      </c>
      <c r="I123" s="467"/>
      <c r="J123" s="585"/>
      <c r="K123" s="586">
        <v>1000</v>
      </c>
      <c r="L123" s="586">
        <v>3000</v>
      </c>
      <c r="M123" s="520">
        <v>500</v>
      </c>
      <c r="N123" s="520">
        <v>255</v>
      </c>
      <c r="O123" s="520">
        <v>2500</v>
      </c>
      <c r="P123" s="520">
        <f t="shared" si="15"/>
        <v>7255</v>
      </c>
    </row>
    <row r="124" spans="1:16" x14ac:dyDescent="0.25">
      <c r="A124" s="515">
        <v>6222</v>
      </c>
      <c r="B124" s="518" t="s">
        <v>29</v>
      </c>
      <c r="C124" s="518" t="s">
        <v>62</v>
      </c>
      <c r="D124" s="588" t="s">
        <v>244</v>
      </c>
      <c r="E124" s="467" t="s">
        <v>1228</v>
      </c>
      <c r="F124" s="588" t="s">
        <v>1229</v>
      </c>
      <c r="G124" s="465">
        <v>42552</v>
      </c>
      <c r="H124" s="465">
        <v>42916</v>
      </c>
      <c r="I124" s="467"/>
      <c r="J124" s="585">
        <v>3000</v>
      </c>
      <c r="K124" s="586">
        <v>3600</v>
      </c>
      <c r="L124" s="586">
        <v>7500</v>
      </c>
      <c r="M124" s="520">
        <v>1250</v>
      </c>
      <c r="N124" s="520">
        <v>637.5</v>
      </c>
      <c r="O124" s="520">
        <v>3250</v>
      </c>
      <c r="P124" s="520">
        <f t="shared" si="15"/>
        <v>19237.5</v>
      </c>
    </row>
    <row r="125" spans="1:16" x14ac:dyDescent="0.25">
      <c r="A125" s="515">
        <v>6235</v>
      </c>
      <c r="B125" s="518" t="s">
        <v>29</v>
      </c>
      <c r="C125" s="518" t="s">
        <v>62</v>
      </c>
      <c r="D125" s="588" t="s">
        <v>244</v>
      </c>
      <c r="E125" s="467" t="s">
        <v>1230</v>
      </c>
      <c r="F125" s="588" t="s">
        <v>1229</v>
      </c>
      <c r="G125" s="465"/>
      <c r="H125" s="465"/>
      <c r="I125" s="467"/>
      <c r="J125" s="585">
        <v>1800</v>
      </c>
      <c r="K125" s="586">
        <v>650</v>
      </c>
      <c r="L125" s="586">
        <v>1500</v>
      </c>
      <c r="M125" s="520">
        <v>200</v>
      </c>
      <c r="N125" s="520">
        <v>255</v>
      </c>
      <c r="O125" s="520">
        <v>672</v>
      </c>
      <c r="P125" s="520">
        <f t="shared" si="15"/>
        <v>5077</v>
      </c>
    </row>
    <row r="126" spans="1:16" x14ac:dyDescent="0.25">
      <c r="A126" s="515">
        <v>6212</v>
      </c>
      <c r="B126" s="518" t="s">
        <v>29</v>
      </c>
      <c r="C126" s="518" t="s">
        <v>692</v>
      </c>
      <c r="D126" s="588" t="s">
        <v>227</v>
      </c>
      <c r="E126" s="467" t="s">
        <v>1269</v>
      </c>
      <c r="F126" s="467" t="s">
        <v>1226</v>
      </c>
      <c r="G126" s="465"/>
      <c r="H126" s="465"/>
      <c r="I126" s="467"/>
      <c r="J126" s="585">
        <v>1000</v>
      </c>
      <c r="K126" s="586">
        <v>500</v>
      </c>
      <c r="L126" s="586"/>
      <c r="M126" s="520">
        <v>50</v>
      </c>
      <c r="N126" s="520">
        <v>50</v>
      </c>
      <c r="O126" s="520">
        <v>400</v>
      </c>
      <c r="P126" s="520">
        <f t="shared" si="15"/>
        <v>2000</v>
      </c>
    </row>
    <row r="127" spans="1:16" x14ac:dyDescent="0.25">
      <c r="A127" s="515">
        <v>6212</v>
      </c>
      <c r="B127" s="518" t="s">
        <v>536</v>
      </c>
      <c r="C127" s="518" t="s">
        <v>692</v>
      </c>
      <c r="D127" s="518" t="s">
        <v>226</v>
      </c>
      <c r="E127" s="700" t="s">
        <v>1565</v>
      </c>
      <c r="F127" s="467" t="s">
        <v>1113</v>
      </c>
      <c r="G127" s="587"/>
      <c r="H127" s="587"/>
      <c r="I127" s="518"/>
      <c r="J127" s="585">
        <v>300</v>
      </c>
      <c r="K127" s="520"/>
      <c r="L127" s="520"/>
      <c r="M127" s="520"/>
      <c r="N127" s="520"/>
      <c r="O127" s="520"/>
      <c r="P127" s="520">
        <f t="shared" si="15"/>
        <v>300</v>
      </c>
    </row>
    <row r="128" spans="1:16" x14ac:dyDescent="0.25">
      <c r="A128" s="515">
        <v>6212</v>
      </c>
      <c r="B128" s="700" t="s">
        <v>536</v>
      </c>
      <c r="C128" s="518" t="s">
        <v>692</v>
      </c>
      <c r="D128" s="698" t="s">
        <v>226</v>
      </c>
      <c r="E128" s="698" t="s">
        <v>1566</v>
      </c>
      <c r="F128" s="467" t="s">
        <v>1113</v>
      </c>
      <c r="G128" s="465"/>
      <c r="H128" s="465"/>
      <c r="I128" s="467"/>
      <c r="J128" s="585">
        <v>200</v>
      </c>
      <c r="K128" s="586"/>
      <c r="L128" s="586"/>
      <c r="M128" s="520"/>
      <c r="N128" s="520"/>
      <c r="O128" s="520"/>
      <c r="P128" s="520">
        <f t="shared" si="15"/>
        <v>200</v>
      </c>
    </row>
    <row r="129" spans="1:16" x14ac:dyDescent="0.25">
      <c r="A129" s="515">
        <v>6212</v>
      </c>
      <c r="B129" s="700" t="s">
        <v>536</v>
      </c>
      <c r="C129" s="518" t="s">
        <v>692</v>
      </c>
      <c r="D129" s="702" t="s">
        <v>5</v>
      </c>
      <c r="E129" s="700" t="s">
        <v>1565</v>
      </c>
      <c r="F129" s="698" t="s">
        <v>1113</v>
      </c>
      <c r="G129" s="465"/>
      <c r="H129" s="465"/>
      <c r="I129" s="467"/>
      <c r="J129" s="585">
        <v>300</v>
      </c>
      <c r="K129" s="586"/>
      <c r="L129" s="586"/>
      <c r="M129" s="520"/>
      <c r="N129" s="520"/>
      <c r="O129" s="520"/>
      <c r="P129" s="520">
        <f t="shared" si="15"/>
        <v>300</v>
      </c>
    </row>
    <row r="130" spans="1:16" x14ac:dyDescent="0.25">
      <c r="A130" s="515">
        <v>6212</v>
      </c>
      <c r="B130" s="700" t="s">
        <v>536</v>
      </c>
      <c r="C130" s="518" t="s">
        <v>692</v>
      </c>
      <c r="D130" s="702" t="s">
        <v>5</v>
      </c>
      <c r="E130" s="698" t="s">
        <v>1566</v>
      </c>
      <c r="F130" s="698" t="s">
        <v>1113</v>
      </c>
      <c r="G130" s="465"/>
      <c r="H130" s="465"/>
      <c r="I130" s="467"/>
      <c r="J130" s="585">
        <v>200</v>
      </c>
      <c r="K130" s="586"/>
      <c r="L130" s="586"/>
      <c r="M130" s="520"/>
      <c r="N130" s="520"/>
      <c r="O130" s="520"/>
      <c r="P130" s="520">
        <f t="shared" si="15"/>
        <v>200</v>
      </c>
    </row>
    <row r="131" spans="1:16" x14ac:dyDescent="0.25">
      <c r="A131" s="515">
        <v>6212</v>
      </c>
      <c r="B131" s="700" t="s">
        <v>36</v>
      </c>
      <c r="C131" s="700" t="s">
        <v>692</v>
      </c>
      <c r="D131" s="700" t="s">
        <v>232</v>
      </c>
      <c r="E131" s="700" t="s">
        <v>1016</v>
      </c>
      <c r="F131" s="698" t="s">
        <v>1113</v>
      </c>
      <c r="G131" s="587"/>
      <c r="H131" s="587"/>
      <c r="I131" s="700"/>
      <c r="J131" s="585">
        <v>5000</v>
      </c>
      <c r="K131" s="689"/>
      <c r="L131" s="689"/>
      <c r="M131" s="689"/>
      <c r="N131" s="689"/>
      <c r="O131" s="689"/>
      <c r="P131" s="689">
        <f t="shared" ref="P131:P139" si="16">SUM(J131:O131)</f>
        <v>5000</v>
      </c>
    </row>
    <row r="132" spans="1:16" x14ac:dyDescent="0.25">
      <c r="A132" s="515">
        <v>6212</v>
      </c>
      <c r="B132" s="700" t="s">
        <v>36</v>
      </c>
      <c r="C132" s="700" t="s">
        <v>692</v>
      </c>
      <c r="D132" s="698" t="s">
        <v>236</v>
      </c>
      <c r="E132" s="698" t="s">
        <v>832</v>
      </c>
      <c r="F132" s="698" t="s">
        <v>1113</v>
      </c>
      <c r="G132" s="697"/>
      <c r="H132" s="697"/>
      <c r="I132" s="698"/>
      <c r="J132" s="585">
        <v>5000</v>
      </c>
      <c r="K132" s="701"/>
      <c r="L132" s="701"/>
      <c r="M132" s="689"/>
      <c r="N132" s="689"/>
      <c r="O132" s="689"/>
      <c r="P132" s="689">
        <f t="shared" si="16"/>
        <v>5000</v>
      </c>
    </row>
    <row r="133" spans="1:16" x14ac:dyDescent="0.25">
      <c r="A133" s="515">
        <v>6212</v>
      </c>
      <c r="B133" s="700" t="s">
        <v>36</v>
      </c>
      <c r="C133" s="700" t="s">
        <v>692</v>
      </c>
      <c r="D133" s="702" t="s">
        <v>237</v>
      </c>
      <c r="E133" s="698" t="s">
        <v>1017</v>
      </c>
      <c r="F133" s="698" t="s">
        <v>1113</v>
      </c>
      <c r="G133" s="697"/>
      <c r="H133" s="697"/>
      <c r="I133" s="698"/>
      <c r="J133" s="585">
        <v>5000</v>
      </c>
      <c r="K133" s="701"/>
      <c r="L133" s="701"/>
      <c r="M133" s="689"/>
      <c r="N133" s="689"/>
      <c r="O133" s="689"/>
      <c r="P133" s="689">
        <f t="shared" si="16"/>
        <v>5000</v>
      </c>
    </row>
    <row r="134" spans="1:16" x14ac:dyDescent="0.25">
      <c r="A134" s="515">
        <v>6212</v>
      </c>
      <c r="B134" s="700" t="s">
        <v>36</v>
      </c>
      <c r="C134" s="700" t="s">
        <v>692</v>
      </c>
      <c r="D134" s="702" t="s">
        <v>234</v>
      </c>
      <c r="E134" s="698" t="s">
        <v>833</v>
      </c>
      <c r="F134" s="698" t="s">
        <v>1113</v>
      </c>
      <c r="G134" s="697"/>
      <c r="H134" s="697"/>
      <c r="I134" s="698"/>
      <c r="J134" s="585">
        <v>5000</v>
      </c>
      <c r="K134" s="701"/>
      <c r="L134" s="701"/>
      <c r="M134" s="689"/>
      <c r="N134" s="689"/>
      <c r="O134" s="689"/>
      <c r="P134" s="689">
        <f t="shared" si="16"/>
        <v>5000</v>
      </c>
    </row>
    <row r="135" spans="1:16" x14ac:dyDescent="0.25">
      <c r="A135" s="515">
        <v>6212</v>
      </c>
      <c r="B135" s="700" t="s">
        <v>36</v>
      </c>
      <c r="C135" s="700" t="s">
        <v>692</v>
      </c>
      <c r="D135" s="702" t="s">
        <v>5</v>
      </c>
      <c r="E135" s="698" t="s">
        <v>833</v>
      </c>
      <c r="F135" s="698" t="s">
        <v>1113</v>
      </c>
      <c r="G135" s="697"/>
      <c r="H135" s="697"/>
      <c r="I135" s="698"/>
      <c r="J135" s="585">
        <v>0</v>
      </c>
      <c r="K135" s="701"/>
      <c r="L135" s="701"/>
      <c r="M135" s="689"/>
      <c r="N135" s="689"/>
      <c r="O135" s="689"/>
      <c r="P135" s="689">
        <f t="shared" si="16"/>
        <v>0</v>
      </c>
    </row>
    <row r="136" spans="1:16" x14ac:dyDescent="0.25">
      <c r="A136" s="515">
        <v>6212</v>
      </c>
      <c r="B136" s="700" t="s">
        <v>36</v>
      </c>
      <c r="C136" s="700" t="s">
        <v>692</v>
      </c>
      <c r="D136" s="702" t="s">
        <v>238</v>
      </c>
      <c r="E136" s="698" t="s">
        <v>834</v>
      </c>
      <c r="F136" s="698" t="s">
        <v>1113</v>
      </c>
      <c r="G136" s="697"/>
      <c r="H136" s="697"/>
      <c r="I136" s="698"/>
      <c r="J136" s="585">
        <v>5000</v>
      </c>
      <c r="K136" s="701"/>
      <c r="L136" s="701"/>
      <c r="M136" s="689"/>
      <c r="N136" s="689"/>
      <c r="O136" s="689"/>
      <c r="P136" s="689">
        <f t="shared" si="16"/>
        <v>5000</v>
      </c>
    </row>
    <row r="137" spans="1:16" x14ac:dyDescent="0.25">
      <c r="A137" s="515">
        <v>6212</v>
      </c>
      <c r="B137" s="700" t="s">
        <v>36</v>
      </c>
      <c r="C137" s="700" t="s">
        <v>692</v>
      </c>
      <c r="D137" s="702" t="s">
        <v>233</v>
      </c>
      <c r="E137" s="698" t="s">
        <v>835</v>
      </c>
      <c r="F137" s="698" t="s">
        <v>1113</v>
      </c>
      <c r="G137" s="587"/>
      <c r="H137" s="587"/>
      <c r="I137" s="698"/>
      <c r="J137" s="585">
        <v>5000</v>
      </c>
      <c r="K137" s="689"/>
      <c r="L137" s="701"/>
      <c r="M137" s="689"/>
      <c r="N137" s="689"/>
      <c r="O137" s="689"/>
      <c r="P137" s="689">
        <f t="shared" si="16"/>
        <v>5000</v>
      </c>
    </row>
    <row r="138" spans="1:16" s="430" customFormat="1" x14ac:dyDescent="0.25">
      <c r="A138" s="515">
        <v>6235</v>
      </c>
      <c r="B138" s="700" t="s">
        <v>31</v>
      </c>
      <c r="C138" s="700" t="s">
        <v>692</v>
      </c>
      <c r="D138" s="700" t="s">
        <v>242</v>
      </c>
      <c r="E138" s="700" t="s">
        <v>1560</v>
      </c>
      <c r="F138" s="702" t="s">
        <v>1185</v>
      </c>
      <c r="G138" s="587">
        <v>42637</v>
      </c>
      <c r="H138" s="587">
        <v>42640</v>
      </c>
      <c r="I138" s="700" t="s">
        <v>16</v>
      </c>
      <c r="J138" s="585">
        <f>695-695</f>
        <v>0</v>
      </c>
      <c r="K138" s="689">
        <f>400-400</f>
        <v>0</v>
      </c>
      <c r="L138" s="689">
        <f>1000-1000</f>
        <v>0</v>
      </c>
      <c r="M138" s="689">
        <f>30-30</f>
        <v>0</v>
      </c>
      <c r="N138" s="689">
        <f>20-20</f>
        <v>0</v>
      </c>
      <c r="O138" s="689">
        <f>855-855</f>
        <v>0</v>
      </c>
      <c r="P138" s="689">
        <f t="shared" si="16"/>
        <v>0</v>
      </c>
    </row>
    <row r="139" spans="1:16" s="430" customFormat="1" x14ac:dyDescent="0.25">
      <c r="A139" s="515">
        <v>6212</v>
      </c>
      <c r="B139" s="700" t="s">
        <v>31</v>
      </c>
      <c r="C139" s="700" t="s">
        <v>692</v>
      </c>
      <c r="D139" s="698"/>
      <c r="E139" s="698" t="s">
        <v>815</v>
      </c>
      <c r="F139" s="698" t="s">
        <v>816</v>
      </c>
      <c r="G139" s="697">
        <v>42552</v>
      </c>
      <c r="H139" s="697">
        <v>42916</v>
      </c>
      <c r="I139" s="698"/>
      <c r="J139" s="585">
        <v>1500</v>
      </c>
      <c r="K139" s="701">
        <v>0</v>
      </c>
      <c r="L139" s="701">
        <v>0</v>
      </c>
      <c r="M139" s="689">
        <v>0</v>
      </c>
      <c r="N139" s="689">
        <v>0</v>
      </c>
      <c r="O139" s="689">
        <v>0</v>
      </c>
      <c r="P139" s="689">
        <f t="shared" si="16"/>
        <v>1500</v>
      </c>
    </row>
    <row r="140" spans="1:16" s="430" customFormat="1" x14ac:dyDescent="0.25">
      <c r="A140" s="515">
        <v>6222</v>
      </c>
      <c r="B140" s="700" t="s">
        <v>31</v>
      </c>
      <c r="C140" s="700" t="s">
        <v>692</v>
      </c>
      <c r="D140" s="702" t="s">
        <v>239</v>
      </c>
      <c r="E140" s="698" t="s">
        <v>1449</v>
      </c>
      <c r="F140" s="702" t="s">
        <v>1189</v>
      </c>
      <c r="G140" s="697">
        <v>42638</v>
      </c>
      <c r="H140" s="697">
        <v>42642</v>
      </c>
      <c r="I140" s="698"/>
      <c r="J140" s="585">
        <v>1700</v>
      </c>
      <c r="K140" s="701">
        <v>0</v>
      </c>
      <c r="L140" s="701">
        <v>1000</v>
      </c>
      <c r="M140" s="689">
        <v>0</v>
      </c>
      <c r="N140" s="689">
        <v>0</v>
      </c>
      <c r="O140" s="689">
        <v>600</v>
      </c>
      <c r="P140" s="689">
        <f>SUM(J140:O140)-3300</f>
        <v>0</v>
      </c>
    </row>
    <row r="141" spans="1:16" s="512" customFormat="1" x14ac:dyDescent="0.25">
      <c r="A141" s="515">
        <v>6222</v>
      </c>
      <c r="B141" s="700" t="s">
        <v>31</v>
      </c>
      <c r="C141" s="700" t="s">
        <v>692</v>
      </c>
      <c r="D141" s="702" t="s">
        <v>239</v>
      </c>
      <c r="E141" s="698" t="s">
        <v>1449</v>
      </c>
      <c r="F141" s="702" t="s">
        <v>1189</v>
      </c>
      <c r="G141" s="697">
        <v>42638</v>
      </c>
      <c r="H141" s="697">
        <v>42642</v>
      </c>
      <c r="I141" s="698"/>
      <c r="J141" s="585">
        <v>1700</v>
      </c>
      <c r="K141" s="701">
        <v>0</v>
      </c>
      <c r="L141" s="701">
        <v>1000</v>
      </c>
      <c r="M141" s="689">
        <v>0</v>
      </c>
      <c r="N141" s="689">
        <v>0</v>
      </c>
      <c r="O141" s="689">
        <v>600</v>
      </c>
      <c r="P141" s="689">
        <f>SUM(J141:O141)-3300</f>
        <v>0</v>
      </c>
    </row>
    <row r="142" spans="1:16" s="512" customFormat="1" x14ac:dyDescent="0.25">
      <c r="A142" s="515">
        <v>6222</v>
      </c>
      <c r="B142" s="700" t="s">
        <v>30</v>
      </c>
      <c r="C142" s="700" t="s">
        <v>692</v>
      </c>
      <c r="D142" s="700" t="s">
        <v>244</v>
      </c>
      <c r="E142" s="700" t="s">
        <v>826</v>
      </c>
      <c r="F142" s="700"/>
      <c r="G142" s="587"/>
      <c r="H142" s="587"/>
      <c r="I142" s="700"/>
      <c r="J142" s="585">
        <v>1500</v>
      </c>
      <c r="K142" s="689">
        <v>1000</v>
      </c>
      <c r="L142" s="689">
        <v>1000</v>
      </c>
      <c r="M142" s="689">
        <v>50</v>
      </c>
      <c r="N142" s="689"/>
      <c r="O142" s="689">
        <v>250</v>
      </c>
      <c r="P142" s="689">
        <f t="shared" ref="P142:P156" si="17">SUM(J142:O142)</f>
        <v>3800</v>
      </c>
    </row>
    <row r="143" spans="1:16" s="512" customFormat="1" x14ac:dyDescent="0.25">
      <c r="A143" s="515">
        <v>6222</v>
      </c>
      <c r="B143" s="700" t="s">
        <v>30</v>
      </c>
      <c r="C143" s="700" t="s">
        <v>692</v>
      </c>
      <c r="D143" s="698" t="s">
        <v>243</v>
      </c>
      <c r="E143" s="698" t="s">
        <v>826</v>
      </c>
      <c r="F143" s="698"/>
      <c r="G143" s="697"/>
      <c r="H143" s="697"/>
      <c r="I143" s="698"/>
      <c r="J143" s="585">
        <v>1500</v>
      </c>
      <c r="K143" s="701">
        <v>1000</v>
      </c>
      <c r="L143" s="701">
        <v>1000</v>
      </c>
      <c r="M143" s="689">
        <v>50</v>
      </c>
      <c r="N143" s="689"/>
      <c r="O143" s="689">
        <v>250</v>
      </c>
      <c r="P143" s="689">
        <f t="shared" si="17"/>
        <v>3800</v>
      </c>
    </row>
    <row r="144" spans="1:16" x14ac:dyDescent="0.25">
      <c r="A144" s="515">
        <v>6222</v>
      </c>
      <c r="B144" s="700" t="s">
        <v>30</v>
      </c>
      <c r="C144" s="700" t="s">
        <v>692</v>
      </c>
      <c r="D144" s="702" t="s">
        <v>5</v>
      </c>
      <c r="E144" s="698" t="s">
        <v>826</v>
      </c>
      <c r="F144" s="702"/>
      <c r="G144" s="697"/>
      <c r="H144" s="697"/>
      <c r="I144" s="698"/>
      <c r="J144" s="585">
        <v>0</v>
      </c>
      <c r="K144" s="701">
        <v>0</v>
      </c>
      <c r="L144" s="701">
        <v>0</v>
      </c>
      <c r="M144" s="689">
        <v>0</v>
      </c>
      <c r="N144" s="689"/>
      <c r="O144" s="689">
        <v>0</v>
      </c>
      <c r="P144" s="689">
        <f t="shared" si="17"/>
        <v>0</v>
      </c>
    </row>
    <row r="145" spans="1:16" x14ac:dyDescent="0.25">
      <c r="A145" s="515">
        <v>6222</v>
      </c>
      <c r="B145" s="700" t="s">
        <v>30</v>
      </c>
      <c r="C145" s="700" t="s">
        <v>692</v>
      </c>
      <c r="D145" s="702" t="s">
        <v>246</v>
      </c>
      <c r="E145" s="698" t="s">
        <v>826</v>
      </c>
      <c r="F145" s="702"/>
      <c r="G145" s="697"/>
      <c r="H145" s="697"/>
      <c r="I145" s="698"/>
      <c r="J145" s="585">
        <v>1500</v>
      </c>
      <c r="K145" s="701">
        <v>1000</v>
      </c>
      <c r="L145" s="701">
        <v>1000</v>
      </c>
      <c r="M145" s="689">
        <v>50</v>
      </c>
      <c r="N145" s="689"/>
      <c r="O145" s="689">
        <v>250</v>
      </c>
      <c r="P145" s="689">
        <f t="shared" si="17"/>
        <v>3800</v>
      </c>
    </row>
    <row r="146" spans="1:16" x14ac:dyDescent="0.25">
      <c r="A146" s="515">
        <v>6210</v>
      </c>
      <c r="B146" s="700" t="s">
        <v>38</v>
      </c>
      <c r="C146" s="700" t="s">
        <v>1136</v>
      </c>
      <c r="D146" s="702" t="s">
        <v>292</v>
      </c>
      <c r="E146" s="698" t="s">
        <v>1193</v>
      </c>
      <c r="F146" s="702" t="s">
        <v>1440</v>
      </c>
      <c r="G146" s="587">
        <v>42552</v>
      </c>
      <c r="H146" s="587">
        <v>42551</v>
      </c>
      <c r="I146" s="698"/>
      <c r="J146" s="585"/>
      <c r="K146" s="689"/>
      <c r="L146" s="701">
        <v>1500</v>
      </c>
      <c r="M146" s="689"/>
      <c r="N146" s="689"/>
      <c r="O146" s="689">
        <v>500</v>
      </c>
      <c r="P146" s="689">
        <f t="shared" si="17"/>
        <v>2000</v>
      </c>
    </row>
    <row r="147" spans="1:16" x14ac:dyDescent="0.25">
      <c r="A147" s="515">
        <v>6210</v>
      </c>
      <c r="B147" s="700" t="s">
        <v>38</v>
      </c>
      <c r="C147" s="700" t="s">
        <v>133</v>
      </c>
      <c r="D147" s="698" t="s">
        <v>287</v>
      </c>
      <c r="E147" s="698" t="s">
        <v>938</v>
      </c>
      <c r="F147" s="698" t="s">
        <v>899</v>
      </c>
      <c r="G147" s="587">
        <v>42552</v>
      </c>
      <c r="H147" s="587">
        <v>42551</v>
      </c>
      <c r="I147" s="698"/>
      <c r="J147" s="585"/>
      <c r="K147" s="701"/>
      <c r="L147" s="701">
        <v>1500</v>
      </c>
      <c r="M147" s="689"/>
      <c r="N147" s="689"/>
      <c r="O147" s="689">
        <v>500</v>
      </c>
      <c r="P147" s="689">
        <f t="shared" si="17"/>
        <v>2000</v>
      </c>
    </row>
    <row r="148" spans="1:16" x14ac:dyDescent="0.25">
      <c r="A148" s="515">
        <v>6210</v>
      </c>
      <c r="B148" s="700" t="s">
        <v>38</v>
      </c>
      <c r="C148" s="700" t="s">
        <v>130</v>
      </c>
      <c r="D148" s="702" t="s">
        <v>291</v>
      </c>
      <c r="E148" s="698" t="s">
        <v>938</v>
      </c>
      <c r="F148" s="702" t="s">
        <v>899</v>
      </c>
      <c r="G148" s="587">
        <v>42552</v>
      </c>
      <c r="H148" s="587">
        <v>42551</v>
      </c>
      <c r="I148" s="698"/>
      <c r="J148" s="585"/>
      <c r="K148" s="701"/>
      <c r="L148" s="701">
        <v>500</v>
      </c>
      <c r="M148" s="689"/>
      <c r="N148" s="689"/>
      <c r="O148" s="689">
        <v>250</v>
      </c>
      <c r="P148" s="689">
        <f t="shared" si="17"/>
        <v>750</v>
      </c>
    </row>
    <row r="149" spans="1:16" x14ac:dyDescent="0.25">
      <c r="A149" s="515">
        <v>6210</v>
      </c>
      <c r="B149" s="700" t="s">
        <v>38</v>
      </c>
      <c r="C149" s="700" t="s">
        <v>130</v>
      </c>
      <c r="D149" s="702" t="s">
        <v>292</v>
      </c>
      <c r="E149" s="698" t="s">
        <v>938</v>
      </c>
      <c r="F149" s="702" t="s">
        <v>899</v>
      </c>
      <c r="G149" s="587">
        <v>42552</v>
      </c>
      <c r="H149" s="587">
        <v>42551</v>
      </c>
      <c r="I149" s="698"/>
      <c r="J149" s="585"/>
      <c r="K149" s="701"/>
      <c r="L149" s="701">
        <v>500</v>
      </c>
      <c r="M149" s="689"/>
      <c r="N149" s="689"/>
      <c r="O149" s="689">
        <v>250</v>
      </c>
      <c r="P149" s="689">
        <f t="shared" si="17"/>
        <v>750</v>
      </c>
    </row>
    <row r="150" spans="1:16" x14ac:dyDescent="0.25">
      <c r="A150" s="515">
        <v>6210</v>
      </c>
      <c r="B150" s="700" t="s">
        <v>38</v>
      </c>
      <c r="C150" s="700" t="s">
        <v>144</v>
      </c>
      <c r="D150" s="702" t="s">
        <v>285</v>
      </c>
      <c r="E150" s="698" t="s">
        <v>938</v>
      </c>
      <c r="F150" s="702" t="s">
        <v>899</v>
      </c>
      <c r="G150" s="587">
        <v>42552</v>
      </c>
      <c r="H150" s="587">
        <v>42551</v>
      </c>
      <c r="I150" s="698"/>
      <c r="J150" s="585"/>
      <c r="K150" s="701"/>
      <c r="L150" s="701">
        <v>500</v>
      </c>
      <c r="M150" s="689"/>
      <c r="N150" s="689"/>
      <c r="O150" s="689">
        <v>250</v>
      </c>
      <c r="P150" s="689">
        <f t="shared" si="17"/>
        <v>750</v>
      </c>
    </row>
    <row r="151" spans="1:16" x14ac:dyDescent="0.25">
      <c r="A151" s="515">
        <v>6210</v>
      </c>
      <c r="B151" s="700" t="s">
        <v>38</v>
      </c>
      <c r="C151" s="700" t="s">
        <v>128</v>
      </c>
      <c r="D151" s="700" t="s">
        <v>276</v>
      </c>
      <c r="E151" s="700" t="s">
        <v>933</v>
      </c>
      <c r="F151" s="700" t="s">
        <v>1113</v>
      </c>
      <c r="G151" s="587">
        <v>42552</v>
      </c>
      <c r="H151" s="587">
        <v>42551</v>
      </c>
      <c r="I151" s="700"/>
      <c r="J151" s="585"/>
      <c r="K151" s="689"/>
      <c r="L151" s="689">
        <v>500</v>
      </c>
      <c r="M151" s="689"/>
      <c r="N151" s="689"/>
      <c r="O151" s="689">
        <v>250</v>
      </c>
      <c r="P151" s="689">
        <f t="shared" si="17"/>
        <v>750</v>
      </c>
    </row>
    <row r="152" spans="1:16" x14ac:dyDescent="0.25">
      <c r="A152" s="515">
        <v>6210</v>
      </c>
      <c r="B152" s="700" t="s">
        <v>38</v>
      </c>
      <c r="C152" s="700" t="s">
        <v>128</v>
      </c>
      <c r="D152" s="698" t="s">
        <v>276</v>
      </c>
      <c r="E152" s="700" t="s">
        <v>934</v>
      </c>
      <c r="F152" s="698" t="s">
        <v>1190</v>
      </c>
      <c r="G152" s="587">
        <v>42552</v>
      </c>
      <c r="H152" s="587">
        <v>42551</v>
      </c>
      <c r="I152" s="698"/>
      <c r="J152" s="585"/>
      <c r="K152" s="701"/>
      <c r="L152" s="701">
        <v>500</v>
      </c>
      <c r="M152" s="689"/>
      <c r="N152" s="689"/>
      <c r="O152" s="689">
        <v>250</v>
      </c>
      <c r="P152" s="689">
        <f t="shared" si="17"/>
        <v>750</v>
      </c>
    </row>
    <row r="153" spans="1:16" x14ac:dyDescent="0.25">
      <c r="A153" s="515">
        <v>6210</v>
      </c>
      <c r="B153" s="700" t="s">
        <v>38</v>
      </c>
      <c r="C153" s="700" t="s">
        <v>128</v>
      </c>
      <c r="D153" s="702" t="s">
        <v>276</v>
      </c>
      <c r="E153" s="700" t="s">
        <v>934</v>
      </c>
      <c r="F153" s="702" t="s">
        <v>1191</v>
      </c>
      <c r="G153" s="587">
        <v>42552</v>
      </c>
      <c r="H153" s="587">
        <v>42551</v>
      </c>
      <c r="I153" s="698"/>
      <c r="J153" s="585"/>
      <c r="K153" s="701"/>
      <c r="L153" s="701">
        <v>500</v>
      </c>
      <c r="M153" s="689"/>
      <c r="N153" s="689"/>
      <c r="O153" s="689">
        <v>250</v>
      </c>
      <c r="P153" s="689">
        <f t="shared" si="17"/>
        <v>750</v>
      </c>
    </row>
    <row r="154" spans="1:16" x14ac:dyDescent="0.25">
      <c r="A154" s="515">
        <v>6210</v>
      </c>
      <c r="B154" s="700" t="s">
        <v>38</v>
      </c>
      <c r="C154" s="700" t="s">
        <v>128</v>
      </c>
      <c r="D154" s="702" t="s">
        <v>277</v>
      </c>
      <c r="E154" s="698" t="s">
        <v>935</v>
      </c>
      <c r="F154" s="700" t="s">
        <v>1113</v>
      </c>
      <c r="G154" s="587">
        <v>42552</v>
      </c>
      <c r="H154" s="587">
        <v>42551</v>
      </c>
      <c r="I154" s="698"/>
      <c r="J154" s="585"/>
      <c r="K154" s="701"/>
      <c r="L154" s="701"/>
      <c r="M154" s="689"/>
      <c r="N154" s="689">
        <v>250</v>
      </c>
      <c r="O154" s="689"/>
      <c r="P154" s="689">
        <f t="shared" si="17"/>
        <v>250</v>
      </c>
    </row>
    <row r="155" spans="1:16" x14ac:dyDescent="0.25">
      <c r="A155" s="515">
        <v>6222</v>
      </c>
      <c r="B155" s="700" t="s">
        <v>38</v>
      </c>
      <c r="C155" s="700" t="s">
        <v>128</v>
      </c>
      <c r="D155" s="702" t="s">
        <v>283</v>
      </c>
      <c r="E155" s="698" t="s">
        <v>936</v>
      </c>
      <c r="F155" s="702" t="s">
        <v>1192</v>
      </c>
      <c r="G155" s="697"/>
      <c r="H155" s="697"/>
      <c r="I155" s="698"/>
      <c r="J155" s="585">
        <v>650</v>
      </c>
      <c r="K155" s="701">
        <v>450</v>
      </c>
      <c r="L155" s="701">
        <v>1500</v>
      </c>
      <c r="M155" s="689">
        <v>50</v>
      </c>
      <c r="N155" s="689">
        <v>75</v>
      </c>
      <c r="O155" s="689">
        <v>250</v>
      </c>
      <c r="P155" s="689">
        <f t="shared" si="17"/>
        <v>2975</v>
      </c>
    </row>
    <row r="156" spans="1:16" x14ac:dyDescent="0.25">
      <c r="A156" s="515">
        <v>6210</v>
      </c>
      <c r="B156" s="700" t="s">
        <v>38</v>
      </c>
      <c r="C156" s="700" t="s">
        <v>128</v>
      </c>
      <c r="D156" s="702" t="s">
        <v>279</v>
      </c>
      <c r="E156" s="698" t="s">
        <v>935</v>
      </c>
      <c r="F156" s="700" t="s">
        <v>1113</v>
      </c>
      <c r="G156" s="587">
        <v>42552</v>
      </c>
      <c r="H156" s="587">
        <v>42551</v>
      </c>
      <c r="I156" s="698"/>
      <c r="J156" s="585"/>
      <c r="K156" s="701"/>
      <c r="L156" s="701"/>
      <c r="M156" s="689"/>
      <c r="N156" s="689">
        <v>250</v>
      </c>
      <c r="O156" s="689"/>
      <c r="P156" s="689">
        <f t="shared" si="17"/>
        <v>250</v>
      </c>
    </row>
    <row r="157" spans="1:16" x14ac:dyDescent="0.25">
      <c r="A157" s="515">
        <v>6222</v>
      </c>
      <c r="B157" s="700" t="s">
        <v>38</v>
      </c>
      <c r="C157" s="700" t="s">
        <v>128</v>
      </c>
      <c r="D157" s="702" t="s">
        <v>286</v>
      </c>
      <c r="E157" s="698" t="s">
        <v>1205</v>
      </c>
      <c r="F157" s="702" t="s">
        <v>1186</v>
      </c>
      <c r="G157" s="697">
        <v>42875</v>
      </c>
      <c r="H157" s="697">
        <v>42880</v>
      </c>
      <c r="I157" s="698"/>
      <c r="J157" s="585">
        <v>650</v>
      </c>
      <c r="K157" s="701">
        <v>450</v>
      </c>
      <c r="L157" s="701">
        <v>1500</v>
      </c>
      <c r="M157" s="689">
        <v>100</v>
      </c>
      <c r="N157" s="689">
        <v>150</v>
      </c>
      <c r="O157" s="689">
        <v>250</v>
      </c>
      <c r="P157" s="689">
        <f>SUM(J157:O157)-3100</f>
        <v>0</v>
      </c>
    </row>
    <row r="158" spans="1:16" x14ac:dyDescent="0.25">
      <c r="A158" s="353">
        <v>6212</v>
      </c>
      <c r="B158" s="700" t="s">
        <v>38</v>
      </c>
      <c r="C158" s="700" t="s">
        <v>128</v>
      </c>
      <c r="D158" s="702" t="s">
        <v>286</v>
      </c>
      <c r="E158" s="698" t="s">
        <v>1206</v>
      </c>
      <c r="F158" s="702" t="s">
        <v>899</v>
      </c>
      <c r="G158" s="587">
        <v>42552</v>
      </c>
      <c r="H158" s="587">
        <v>42551</v>
      </c>
      <c r="I158" s="698"/>
      <c r="J158" s="585">
        <v>500</v>
      </c>
      <c r="K158" s="701"/>
      <c r="L158" s="701"/>
      <c r="M158" s="689">
        <v>100</v>
      </c>
      <c r="N158" s="689">
        <v>150</v>
      </c>
      <c r="O158" s="689">
        <v>250</v>
      </c>
      <c r="P158" s="689">
        <f>SUM(J158:O158)-1000</f>
        <v>0</v>
      </c>
    </row>
    <row r="159" spans="1:16" x14ac:dyDescent="0.25">
      <c r="A159" s="353">
        <v>6222</v>
      </c>
      <c r="B159" s="700" t="s">
        <v>38</v>
      </c>
      <c r="C159" s="700" t="s">
        <v>128</v>
      </c>
      <c r="D159" s="702" t="s">
        <v>291</v>
      </c>
      <c r="E159" s="700" t="s">
        <v>941</v>
      </c>
      <c r="F159" s="700" t="s">
        <v>897</v>
      </c>
      <c r="G159" s="587">
        <v>42552</v>
      </c>
      <c r="H159" s="587">
        <v>42551</v>
      </c>
      <c r="I159" s="698"/>
      <c r="J159" s="585"/>
      <c r="K159" s="589">
        <v>1200</v>
      </c>
      <c r="L159" s="701">
        <v>2700</v>
      </c>
      <c r="M159" s="699">
        <v>300</v>
      </c>
      <c r="N159" s="699">
        <v>225</v>
      </c>
      <c r="O159" s="699">
        <v>750</v>
      </c>
      <c r="P159" s="689">
        <f t="shared" ref="P159:P166" si="18">SUM(J159:O159)</f>
        <v>5175</v>
      </c>
    </row>
    <row r="160" spans="1:16" x14ac:dyDescent="0.25">
      <c r="A160" s="515">
        <v>6210</v>
      </c>
      <c r="B160" s="700" t="s">
        <v>38</v>
      </c>
      <c r="C160" s="700" t="s">
        <v>129</v>
      </c>
      <c r="D160" s="702" t="s">
        <v>280</v>
      </c>
      <c r="E160" s="698" t="s">
        <v>938</v>
      </c>
      <c r="F160" s="702" t="s">
        <v>899</v>
      </c>
      <c r="G160" s="587">
        <v>42552</v>
      </c>
      <c r="H160" s="587">
        <v>42551</v>
      </c>
      <c r="I160" s="698"/>
      <c r="J160" s="585"/>
      <c r="K160" s="701"/>
      <c r="L160" s="701">
        <v>3000</v>
      </c>
      <c r="M160" s="689"/>
      <c r="N160" s="689"/>
      <c r="O160" s="689">
        <v>500</v>
      </c>
      <c r="P160" s="689">
        <f t="shared" si="18"/>
        <v>3500</v>
      </c>
    </row>
    <row r="161" spans="1:16" x14ac:dyDescent="0.25">
      <c r="A161" s="515">
        <v>6222</v>
      </c>
      <c r="B161" s="700" t="s">
        <v>38</v>
      </c>
      <c r="C161" s="700" t="s">
        <v>129</v>
      </c>
      <c r="D161" s="700" t="s">
        <v>291</v>
      </c>
      <c r="E161" s="698" t="s">
        <v>939</v>
      </c>
      <c r="F161" s="700" t="s">
        <v>1189</v>
      </c>
      <c r="G161" s="587"/>
      <c r="H161" s="587"/>
      <c r="I161" s="700"/>
      <c r="J161" s="585"/>
      <c r="K161" s="699">
        <v>450</v>
      </c>
      <c r="L161" s="701">
        <v>1500</v>
      </c>
      <c r="M161" s="699"/>
      <c r="N161" s="699"/>
      <c r="O161" s="699">
        <v>50</v>
      </c>
      <c r="P161" s="689">
        <f t="shared" si="18"/>
        <v>2000</v>
      </c>
    </row>
    <row r="162" spans="1:16" x14ac:dyDescent="0.25">
      <c r="A162" s="515">
        <v>6222</v>
      </c>
      <c r="B162" s="700" t="s">
        <v>38</v>
      </c>
      <c r="C162" s="700" t="s">
        <v>129</v>
      </c>
      <c r="D162" s="700" t="s">
        <v>278</v>
      </c>
      <c r="E162" s="698" t="s">
        <v>939</v>
      </c>
      <c r="F162" s="700" t="s">
        <v>1189</v>
      </c>
      <c r="G162" s="587"/>
      <c r="H162" s="587"/>
      <c r="I162" s="700"/>
      <c r="J162" s="585"/>
      <c r="K162" s="699">
        <v>450</v>
      </c>
      <c r="L162" s="701">
        <v>1500</v>
      </c>
      <c r="M162" s="699"/>
      <c r="N162" s="699"/>
      <c r="O162" s="699">
        <v>50</v>
      </c>
      <c r="P162" s="689">
        <f t="shared" si="18"/>
        <v>2000</v>
      </c>
    </row>
    <row r="163" spans="1:16" x14ac:dyDescent="0.25">
      <c r="A163" s="515">
        <v>6222</v>
      </c>
      <c r="B163" s="700" t="s">
        <v>38</v>
      </c>
      <c r="C163" s="700" t="s">
        <v>472</v>
      </c>
      <c r="D163" s="700" t="s">
        <v>278</v>
      </c>
      <c r="E163" s="700" t="s">
        <v>937</v>
      </c>
      <c r="F163" s="700" t="s">
        <v>1189</v>
      </c>
      <c r="G163" s="587"/>
      <c r="H163" s="587"/>
      <c r="I163" s="700"/>
      <c r="J163" s="585">
        <v>500</v>
      </c>
      <c r="K163" s="689">
        <v>450</v>
      </c>
      <c r="L163" s="689">
        <v>1500</v>
      </c>
      <c r="M163" s="689">
        <v>50</v>
      </c>
      <c r="N163" s="689">
        <v>75</v>
      </c>
      <c r="O163" s="689">
        <v>250</v>
      </c>
      <c r="P163" s="689">
        <f t="shared" si="18"/>
        <v>2825</v>
      </c>
    </row>
    <row r="164" spans="1:16" x14ac:dyDescent="0.25">
      <c r="A164" s="515">
        <v>6222</v>
      </c>
      <c r="B164" s="700" t="s">
        <v>38</v>
      </c>
      <c r="C164" s="700" t="s">
        <v>472</v>
      </c>
      <c r="D164" s="702" t="s">
        <v>291</v>
      </c>
      <c r="E164" s="700" t="s">
        <v>937</v>
      </c>
      <c r="F164" s="700" t="s">
        <v>1189</v>
      </c>
      <c r="G164" s="697"/>
      <c r="H164" s="697"/>
      <c r="I164" s="698"/>
      <c r="J164" s="585">
        <v>500</v>
      </c>
      <c r="K164" s="589">
        <v>450</v>
      </c>
      <c r="L164" s="701">
        <v>1500</v>
      </c>
      <c r="M164" s="699">
        <v>100</v>
      </c>
      <c r="N164" s="699">
        <v>150</v>
      </c>
      <c r="O164" s="699">
        <v>250</v>
      </c>
      <c r="P164" s="689">
        <f t="shared" si="18"/>
        <v>2950</v>
      </c>
    </row>
    <row r="165" spans="1:16" x14ac:dyDescent="0.25">
      <c r="A165" s="515">
        <v>6212</v>
      </c>
      <c r="B165" s="700" t="s">
        <v>684</v>
      </c>
      <c r="C165" s="700" t="s">
        <v>62</v>
      </c>
      <c r="D165" s="702" t="s">
        <v>251</v>
      </c>
      <c r="E165" s="698" t="s">
        <v>834</v>
      </c>
      <c r="F165" s="702" t="s">
        <v>1113</v>
      </c>
      <c r="G165" s="697"/>
      <c r="H165" s="697"/>
      <c r="I165" s="698"/>
      <c r="J165" s="585">
        <v>5000</v>
      </c>
      <c r="K165" s="701"/>
      <c r="L165" s="701"/>
      <c r="M165" s="689"/>
      <c r="N165" s="689"/>
      <c r="O165" s="689"/>
      <c r="P165" s="689">
        <f t="shared" si="18"/>
        <v>5000</v>
      </c>
    </row>
    <row r="166" spans="1:16" x14ac:dyDescent="0.25">
      <c r="A166" s="515">
        <v>6222</v>
      </c>
      <c r="B166" s="700" t="s">
        <v>684</v>
      </c>
      <c r="C166" s="700" t="s">
        <v>692</v>
      </c>
      <c r="D166" s="702" t="s">
        <v>250</v>
      </c>
      <c r="E166" s="700" t="s">
        <v>1479</v>
      </c>
      <c r="F166" s="702" t="s">
        <v>1480</v>
      </c>
      <c r="G166" s="587"/>
      <c r="H166" s="587"/>
      <c r="I166" s="700"/>
      <c r="J166" s="585">
        <f>1545-1545</f>
        <v>0</v>
      </c>
      <c r="K166" s="689">
        <f>500-500</f>
        <v>0</v>
      </c>
      <c r="L166" s="689">
        <f>(5*130)-650</f>
        <v>0</v>
      </c>
      <c r="M166" s="689">
        <f>(50*2)-100</f>
        <v>0</v>
      </c>
      <c r="N166" s="689"/>
      <c r="O166" s="689">
        <f>500-500</f>
        <v>0</v>
      </c>
      <c r="P166" s="689">
        <f t="shared" si="18"/>
        <v>0</v>
      </c>
    </row>
    <row r="167" spans="1:16" x14ac:dyDescent="0.25">
      <c r="A167" s="515">
        <v>6235</v>
      </c>
      <c r="B167" s="700" t="s">
        <v>33</v>
      </c>
      <c r="C167" s="700" t="s">
        <v>127</v>
      </c>
      <c r="D167" s="700"/>
      <c r="E167" s="700" t="s">
        <v>1183</v>
      </c>
      <c r="F167" s="700" t="s">
        <v>1189</v>
      </c>
      <c r="G167" s="587">
        <v>42743</v>
      </c>
      <c r="H167" s="587">
        <v>42748</v>
      </c>
      <c r="I167" s="700" t="s">
        <v>16</v>
      </c>
      <c r="J167" s="585">
        <v>600</v>
      </c>
      <c r="K167" s="689">
        <v>500</v>
      </c>
      <c r="L167" s="689">
        <v>500</v>
      </c>
      <c r="M167" s="689"/>
      <c r="N167" s="689"/>
      <c r="O167" s="689">
        <v>100</v>
      </c>
      <c r="P167" s="689">
        <f>SUM(J167:O167)</f>
        <v>1700</v>
      </c>
    </row>
    <row r="168" spans="1:16" x14ac:dyDescent="0.25">
      <c r="A168" s="515">
        <v>6235</v>
      </c>
      <c r="B168" s="700" t="s">
        <v>33</v>
      </c>
      <c r="C168" s="700" t="s">
        <v>127</v>
      </c>
      <c r="D168" s="698"/>
      <c r="E168" s="700" t="s">
        <v>1183</v>
      </c>
      <c r="F168" s="700" t="s">
        <v>1189</v>
      </c>
      <c r="G168" s="697">
        <v>42743</v>
      </c>
      <c r="H168" s="697">
        <v>42748</v>
      </c>
      <c r="I168" s="698" t="s">
        <v>16</v>
      </c>
      <c r="J168" s="585">
        <v>600</v>
      </c>
      <c r="K168" s="701">
        <v>500</v>
      </c>
      <c r="L168" s="701">
        <v>500</v>
      </c>
      <c r="M168" s="689"/>
      <c r="N168" s="689"/>
      <c r="O168" s="689">
        <v>100</v>
      </c>
      <c r="P168" s="689">
        <f>SUM(J168:O168)</f>
        <v>1700</v>
      </c>
    </row>
    <row r="169" spans="1:16" x14ac:dyDescent="0.25">
      <c r="A169" s="515">
        <v>6210</v>
      </c>
      <c r="B169" s="700" t="s">
        <v>33</v>
      </c>
      <c r="C169" s="700" t="s">
        <v>127</v>
      </c>
      <c r="D169" s="702"/>
      <c r="E169" s="698" t="s">
        <v>1027</v>
      </c>
      <c r="F169" s="702" t="s">
        <v>899</v>
      </c>
      <c r="G169" s="697">
        <v>42552</v>
      </c>
      <c r="H169" s="697">
        <v>42916</v>
      </c>
      <c r="I169" s="698"/>
      <c r="J169" s="585"/>
      <c r="K169" s="701"/>
      <c r="L169" s="701">
        <v>6040</v>
      </c>
      <c r="M169" s="689"/>
      <c r="N169" s="689"/>
      <c r="O169" s="689">
        <v>3960</v>
      </c>
      <c r="P169" s="689">
        <f t="shared" ref="P169:P228" si="19">SUM(J169:O169)</f>
        <v>10000</v>
      </c>
    </row>
    <row r="170" spans="1:16" x14ac:dyDescent="0.25">
      <c r="A170" s="515">
        <v>6222</v>
      </c>
      <c r="B170" s="700" t="s">
        <v>35</v>
      </c>
      <c r="C170" s="700" t="s">
        <v>62</v>
      </c>
      <c r="D170" s="700" t="s">
        <v>252</v>
      </c>
      <c r="E170" s="700" t="s">
        <v>1184</v>
      </c>
      <c r="F170" s="702" t="s">
        <v>1185</v>
      </c>
      <c r="G170" s="587">
        <v>42637</v>
      </c>
      <c r="H170" s="587">
        <v>42640</v>
      </c>
      <c r="I170" s="700" t="s">
        <v>16</v>
      </c>
      <c r="J170" s="585">
        <v>0</v>
      </c>
      <c r="K170" s="689">
        <v>0</v>
      </c>
      <c r="L170" s="689">
        <v>0</v>
      </c>
      <c r="M170" s="689">
        <v>0</v>
      </c>
      <c r="N170" s="689">
        <v>0</v>
      </c>
      <c r="O170" s="689">
        <v>0</v>
      </c>
      <c r="P170" s="689">
        <f t="shared" si="19"/>
        <v>0</v>
      </c>
    </row>
    <row r="171" spans="1:16" x14ac:dyDescent="0.25">
      <c r="A171" s="515">
        <v>6235</v>
      </c>
      <c r="B171" s="700" t="s">
        <v>35</v>
      </c>
      <c r="C171" s="700" t="s">
        <v>62</v>
      </c>
      <c r="D171" s="698" t="s">
        <v>252</v>
      </c>
      <c r="E171" s="698" t="s">
        <v>932</v>
      </c>
      <c r="F171" s="698" t="s">
        <v>1189</v>
      </c>
      <c r="G171" s="697">
        <v>42800</v>
      </c>
      <c r="H171" s="697">
        <v>42802</v>
      </c>
      <c r="I171" s="698" t="s">
        <v>16</v>
      </c>
      <c r="J171" s="585">
        <v>0</v>
      </c>
      <c r="K171" s="701">
        <v>0</v>
      </c>
      <c r="L171" s="701">
        <v>0</v>
      </c>
      <c r="M171" s="689"/>
      <c r="N171" s="689">
        <v>0</v>
      </c>
      <c r="O171" s="689">
        <v>0</v>
      </c>
      <c r="P171" s="689">
        <f t="shared" si="19"/>
        <v>0</v>
      </c>
    </row>
    <row r="172" spans="1:16" x14ac:dyDescent="0.25">
      <c r="A172" s="515">
        <v>6235</v>
      </c>
      <c r="B172" s="700" t="s">
        <v>39</v>
      </c>
      <c r="C172" s="700" t="s">
        <v>114</v>
      </c>
      <c r="D172" s="702" t="s">
        <v>301</v>
      </c>
      <c r="E172" s="698" t="s">
        <v>1468</v>
      </c>
      <c r="F172" s="702" t="s">
        <v>1039</v>
      </c>
      <c r="G172" s="697"/>
      <c r="H172" s="697"/>
      <c r="I172" s="698"/>
      <c r="J172" s="585"/>
      <c r="K172" s="701">
        <v>150</v>
      </c>
      <c r="L172" s="701">
        <v>125</v>
      </c>
      <c r="M172" s="689"/>
      <c r="N172" s="689"/>
      <c r="O172" s="689"/>
      <c r="P172" s="689">
        <f t="shared" si="19"/>
        <v>275</v>
      </c>
    </row>
    <row r="173" spans="1:16" x14ac:dyDescent="0.25">
      <c r="A173" s="515">
        <v>6222</v>
      </c>
      <c r="B173" s="700" t="s">
        <v>39</v>
      </c>
      <c r="C173" s="700" t="s">
        <v>117</v>
      </c>
      <c r="D173" s="700" t="s">
        <v>301</v>
      </c>
      <c r="E173" s="700" t="s">
        <v>1464</v>
      </c>
      <c r="F173" s="700" t="s">
        <v>1039</v>
      </c>
      <c r="G173" s="587"/>
      <c r="H173" s="587"/>
      <c r="I173" s="700"/>
      <c r="J173" s="585"/>
      <c r="K173" s="689">
        <v>500</v>
      </c>
      <c r="L173" s="689">
        <v>377</v>
      </c>
      <c r="M173" s="689">
        <v>25</v>
      </c>
      <c r="N173" s="689"/>
      <c r="O173" s="689">
        <v>98</v>
      </c>
      <c r="P173" s="689">
        <f t="shared" si="19"/>
        <v>1000</v>
      </c>
    </row>
    <row r="174" spans="1:16" s="514" customFormat="1" x14ac:dyDescent="0.25">
      <c r="A174" s="515">
        <v>6235</v>
      </c>
      <c r="B174" s="700" t="s">
        <v>39</v>
      </c>
      <c r="C174" s="700" t="s">
        <v>117</v>
      </c>
      <c r="D174" s="698" t="s">
        <v>301</v>
      </c>
      <c r="E174" s="698" t="s">
        <v>1469</v>
      </c>
      <c r="F174" s="698" t="s">
        <v>1039</v>
      </c>
      <c r="G174" s="697"/>
      <c r="H174" s="697"/>
      <c r="I174" s="698"/>
      <c r="J174" s="585"/>
      <c r="K174" s="701">
        <v>125</v>
      </c>
      <c r="L174" s="701">
        <v>150</v>
      </c>
      <c r="M174" s="689"/>
      <c r="N174" s="689"/>
      <c r="O174" s="689"/>
      <c r="P174" s="689">
        <f t="shared" si="19"/>
        <v>275</v>
      </c>
    </row>
    <row r="175" spans="1:16" x14ac:dyDescent="0.25">
      <c r="A175" s="515">
        <v>6222</v>
      </c>
      <c r="B175" s="700" t="s">
        <v>39</v>
      </c>
      <c r="C175" s="700" t="s">
        <v>117</v>
      </c>
      <c r="D175" s="702" t="s">
        <v>299</v>
      </c>
      <c r="E175" s="698" t="s">
        <v>1040</v>
      </c>
      <c r="F175" s="702" t="s">
        <v>1039</v>
      </c>
      <c r="G175" s="697"/>
      <c r="H175" s="697"/>
      <c r="I175" s="698"/>
      <c r="J175" s="585"/>
      <c r="K175" s="701">
        <v>400</v>
      </c>
      <c r="L175" s="701">
        <v>400</v>
      </c>
      <c r="M175" s="689"/>
      <c r="N175" s="689"/>
      <c r="O175" s="689">
        <v>200</v>
      </c>
      <c r="P175" s="689">
        <f t="shared" si="19"/>
        <v>1000</v>
      </c>
    </row>
    <row r="176" spans="1:16" x14ac:dyDescent="0.25">
      <c r="A176" s="515">
        <v>6235</v>
      </c>
      <c r="B176" s="700" t="s">
        <v>39</v>
      </c>
      <c r="C176" s="700" t="s">
        <v>117</v>
      </c>
      <c r="D176" s="702" t="s">
        <v>309</v>
      </c>
      <c r="E176" s="698" t="s">
        <v>1038</v>
      </c>
      <c r="F176" s="702" t="s">
        <v>1039</v>
      </c>
      <c r="G176" s="587"/>
      <c r="H176" s="587"/>
      <c r="I176" s="698"/>
      <c r="J176" s="585"/>
      <c r="K176" s="689">
        <v>400</v>
      </c>
      <c r="L176" s="701">
        <v>400</v>
      </c>
      <c r="M176" s="689"/>
      <c r="N176" s="689"/>
      <c r="O176" s="689">
        <v>200</v>
      </c>
      <c r="P176" s="689">
        <f t="shared" si="19"/>
        <v>1000</v>
      </c>
    </row>
    <row r="177" spans="1:16" x14ac:dyDescent="0.25">
      <c r="A177" s="515">
        <v>6235</v>
      </c>
      <c r="B177" s="700" t="s">
        <v>39</v>
      </c>
      <c r="C177" s="700" t="s">
        <v>121</v>
      </c>
      <c r="D177" s="702" t="s">
        <v>304</v>
      </c>
      <c r="E177" s="698" t="s">
        <v>1038</v>
      </c>
      <c r="F177" s="702" t="s">
        <v>1039</v>
      </c>
      <c r="G177" s="697"/>
      <c r="H177" s="697"/>
      <c r="I177" s="698"/>
      <c r="J177" s="585"/>
      <c r="K177" s="589">
        <v>400</v>
      </c>
      <c r="L177" s="701">
        <v>400</v>
      </c>
      <c r="M177" s="699"/>
      <c r="N177" s="699"/>
      <c r="O177" s="699">
        <v>200</v>
      </c>
      <c r="P177" s="689">
        <f t="shared" si="19"/>
        <v>1000</v>
      </c>
    </row>
    <row r="178" spans="1:16" x14ac:dyDescent="0.25">
      <c r="A178" s="515">
        <v>6235</v>
      </c>
      <c r="B178" s="700" t="s">
        <v>39</v>
      </c>
      <c r="C178" s="700" t="s">
        <v>121</v>
      </c>
      <c r="D178" s="700" t="s">
        <v>295</v>
      </c>
      <c r="E178" s="698" t="s">
        <v>1038</v>
      </c>
      <c r="F178" s="700" t="s">
        <v>1039</v>
      </c>
      <c r="G178" s="587"/>
      <c r="H178" s="587"/>
      <c r="I178" s="700"/>
      <c r="J178" s="585"/>
      <c r="K178" s="699">
        <v>400</v>
      </c>
      <c r="L178" s="701">
        <v>400</v>
      </c>
      <c r="M178" s="699"/>
      <c r="N178" s="699"/>
      <c r="O178" s="699">
        <v>200</v>
      </c>
      <c r="P178" s="689">
        <f t="shared" si="19"/>
        <v>1000</v>
      </c>
    </row>
    <row r="179" spans="1:16" x14ac:dyDescent="0.25">
      <c r="A179" s="515">
        <v>6235</v>
      </c>
      <c r="B179" s="700" t="s">
        <v>34</v>
      </c>
      <c r="C179" s="700" t="s">
        <v>121</v>
      </c>
      <c r="D179" s="702" t="s">
        <v>301</v>
      </c>
      <c r="E179" s="698" t="s">
        <v>1470</v>
      </c>
      <c r="F179" s="702" t="s">
        <v>1039</v>
      </c>
      <c r="G179" s="697"/>
      <c r="H179" s="697"/>
      <c r="I179" s="698"/>
      <c r="J179" s="585"/>
      <c r="K179" s="701">
        <v>125</v>
      </c>
      <c r="L179" s="701">
        <v>125</v>
      </c>
      <c r="M179" s="689"/>
      <c r="N179" s="689"/>
      <c r="O179" s="689">
        <v>200</v>
      </c>
      <c r="P179" s="689">
        <f t="shared" si="19"/>
        <v>450</v>
      </c>
    </row>
    <row r="180" spans="1:16" x14ac:dyDescent="0.25">
      <c r="A180" s="515">
        <v>6210</v>
      </c>
      <c r="B180" s="700" t="s">
        <v>34</v>
      </c>
      <c r="C180" s="700" t="s">
        <v>121</v>
      </c>
      <c r="D180" s="702" t="s">
        <v>5</v>
      </c>
      <c r="E180" s="698" t="s">
        <v>1472</v>
      </c>
      <c r="F180" s="702" t="s">
        <v>899</v>
      </c>
      <c r="G180" s="697"/>
      <c r="H180" s="697"/>
      <c r="I180" s="698"/>
      <c r="J180" s="585"/>
      <c r="K180" s="701"/>
      <c r="L180" s="701">
        <v>3000</v>
      </c>
      <c r="M180" s="689"/>
      <c r="N180" s="689"/>
      <c r="O180" s="689">
        <v>2000</v>
      </c>
      <c r="P180" s="689">
        <f t="shared" si="19"/>
        <v>5000</v>
      </c>
    </row>
    <row r="181" spans="1:16" x14ac:dyDescent="0.25">
      <c r="A181" s="592"/>
      <c r="B181" s="518"/>
      <c r="C181" s="518"/>
      <c r="D181" s="590"/>
      <c r="E181" s="590"/>
      <c r="F181" s="590"/>
      <c r="G181" s="591"/>
      <c r="H181" s="591"/>
      <c r="I181" s="590"/>
      <c r="J181" s="593"/>
      <c r="K181" s="74"/>
      <c r="L181" s="586"/>
      <c r="M181" s="74"/>
      <c r="N181" s="74"/>
      <c r="O181" s="74"/>
      <c r="P181" s="357">
        <f t="shared" si="19"/>
        <v>0</v>
      </c>
    </row>
    <row r="182" spans="1:16" x14ac:dyDescent="0.25">
      <c r="A182" s="592"/>
      <c r="B182" s="518"/>
      <c r="C182" s="518"/>
      <c r="D182" s="590"/>
      <c r="E182" s="590"/>
      <c r="F182" s="590"/>
      <c r="G182" s="591"/>
      <c r="H182" s="591"/>
      <c r="I182" s="590"/>
      <c r="J182" s="593"/>
      <c r="K182" s="74"/>
      <c r="L182" s="586"/>
      <c r="M182" s="74"/>
      <c r="N182" s="74"/>
      <c r="O182" s="74"/>
      <c r="P182" s="357">
        <f t="shared" si="19"/>
        <v>0</v>
      </c>
    </row>
    <row r="183" spans="1:16" ht="15.75" thickBot="1" x14ac:dyDescent="0.3">
      <c r="A183" s="592"/>
      <c r="B183" s="518"/>
      <c r="C183" s="518"/>
      <c r="D183" s="590"/>
      <c r="E183" s="590"/>
      <c r="F183" s="590"/>
      <c r="G183" s="591"/>
      <c r="H183" s="591"/>
      <c r="I183" s="590"/>
      <c r="J183" s="593"/>
      <c r="K183" s="74"/>
      <c r="L183" s="586"/>
      <c r="M183" s="74"/>
      <c r="N183" s="74"/>
      <c r="O183" s="74"/>
      <c r="P183" s="357">
        <f t="shared" si="19"/>
        <v>0</v>
      </c>
    </row>
    <row r="184" spans="1:16" hidden="1" x14ac:dyDescent="0.25">
      <c r="A184" s="592"/>
      <c r="B184" s="518"/>
      <c r="C184" s="518"/>
      <c r="D184" s="590"/>
      <c r="E184" s="590"/>
      <c r="F184" s="590"/>
      <c r="G184" s="591"/>
      <c r="H184" s="591"/>
      <c r="I184" s="590"/>
      <c r="J184" s="593"/>
      <c r="K184" s="74"/>
      <c r="L184" s="586"/>
      <c r="M184" s="74"/>
      <c r="N184" s="74"/>
      <c r="O184" s="74"/>
      <c r="P184" s="357">
        <f t="shared" si="19"/>
        <v>0</v>
      </c>
    </row>
    <row r="185" spans="1:16" hidden="1" x14ac:dyDescent="0.25">
      <c r="A185" s="592"/>
      <c r="B185" s="518"/>
      <c r="C185" s="518"/>
      <c r="D185" s="590"/>
      <c r="E185" s="590"/>
      <c r="F185" s="590"/>
      <c r="G185" s="591"/>
      <c r="H185" s="591"/>
      <c r="I185" s="590"/>
      <c r="J185" s="593"/>
      <c r="K185" s="74"/>
      <c r="L185" s="586"/>
      <c r="M185" s="74"/>
      <c r="N185" s="74"/>
      <c r="O185" s="74"/>
      <c r="P185" s="357">
        <f t="shared" si="19"/>
        <v>0</v>
      </c>
    </row>
    <row r="186" spans="1:16" hidden="1" x14ac:dyDescent="0.25">
      <c r="A186" s="592"/>
      <c r="B186" s="518"/>
      <c r="C186" s="518"/>
      <c r="D186" s="590"/>
      <c r="E186" s="590"/>
      <c r="F186" s="590"/>
      <c r="G186" s="591"/>
      <c r="H186" s="591"/>
      <c r="I186" s="590"/>
      <c r="J186" s="593"/>
      <c r="K186" s="74"/>
      <c r="L186" s="586"/>
      <c r="M186" s="74"/>
      <c r="N186" s="74"/>
      <c r="O186" s="74"/>
      <c r="P186" s="357">
        <f t="shared" si="19"/>
        <v>0</v>
      </c>
    </row>
    <row r="187" spans="1:16" hidden="1" x14ac:dyDescent="0.25">
      <c r="A187" s="592"/>
      <c r="B187" s="518"/>
      <c r="C187" s="518"/>
      <c r="D187" s="590"/>
      <c r="E187" s="590"/>
      <c r="F187" s="590"/>
      <c r="G187" s="591"/>
      <c r="H187" s="591"/>
      <c r="I187" s="590"/>
      <c r="J187" s="593"/>
      <c r="K187" s="74"/>
      <c r="L187" s="586"/>
      <c r="M187" s="74"/>
      <c r="N187" s="74"/>
      <c r="O187" s="74"/>
      <c r="P187" s="357">
        <f t="shared" si="19"/>
        <v>0</v>
      </c>
    </row>
    <row r="188" spans="1:16" hidden="1" x14ac:dyDescent="0.25">
      <c r="A188" s="592"/>
      <c r="B188" s="518"/>
      <c r="C188" s="518"/>
      <c r="D188" s="590"/>
      <c r="E188" s="590"/>
      <c r="F188" s="590"/>
      <c r="G188" s="591"/>
      <c r="H188" s="591"/>
      <c r="I188" s="590"/>
      <c r="J188" s="593"/>
      <c r="K188" s="74"/>
      <c r="L188" s="586"/>
      <c r="M188" s="74"/>
      <c r="N188" s="74"/>
      <c r="O188" s="74"/>
      <c r="P188" s="357">
        <f t="shared" si="19"/>
        <v>0</v>
      </c>
    </row>
    <row r="189" spans="1:16" hidden="1" x14ac:dyDescent="0.25">
      <c r="A189" s="592"/>
      <c r="B189" s="518"/>
      <c r="C189" s="518"/>
      <c r="D189" s="590"/>
      <c r="E189" s="590"/>
      <c r="F189" s="590"/>
      <c r="G189" s="591"/>
      <c r="H189" s="591"/>
      <c r="I189" s="590"/>
      <c r="J189" s="593"/>
      <c r="K189" s="74"/>
      <c r="L189" s="586"/>
      <c r="M189" s="74"/>
      <c r="N189" s="74"/>
      <c r="O189" s="74"/>
      <c r="P189" s="357">
        <f t="shared" si="19"/>
        <v>0</v>
      </c>
    </row>
    <row r="190" spans="1:16" hidden="1" x14ac:dyDescent="0.25">
      <c r="A190" s="592"/>
      <c r="B190" s="518"/>
      <c r="C190" s="518"/>
      <c r="D190" s="590"/>
      <c r="E190" s="590"/>
      <c r="F190" s="590"/>
      <c r="G190" s="591"/>
      <c r="H190" s="591"/>
      <c r="I190" s="590"/>
      <c r="J190" s="593"/>
      <c r="K190" s="74"/>
      <c r="L190" s="586"/>
      <c r="M190" s="74"/>
      <c r="N190" s="74"/>
      <c r="O190" s="74"/>
      <c r="P190" s="357">
        <f t="shared" si="19"/>
        <v>0</v>
      </c>
    </row>
    <row r="191" spans="1:16" hidden="1" x14ac:dyDescent="0.25">
      <c r="A191" s="592"/>
      <c r="B191" s="518"/>
      <c r="C191" s="518"/>
      <c r="D191" s="590"/>
      <c r="E191" s="590"/>
      <c r="F191" s="590"/>
      <c r="G191" s="591"/>
      <c r="H191" s="591"/>
      <c r="I191" s="590"/>
      <c r="J191" s="593"/>
      <c r="K191" s="74"/>
      <c r="L191" s="586"/>
      <c r="M191" s="74"/>
      <c r="N191" s="74"/>
      <c r="O191" s="74"/>
      <c r="P191" s="357">
        <f t="shared" si="19"/>
        <v>0</v>
      </c>
    </row>
    <row r="192" spans="1:16" hidden="1" x14ac:dyDescent="0.25">
      <c r="A192" s="592"/>
      <c r="B192" s="518"/>
      <c r="C192" s="518"/>
      <c r="D192" s="590"/>
      <c r="E192" s="590"/>
      <c r="F192" s="590"/>
      <c r="G192" s="591"/>
      <c r="H192" s="591"/>
      <c r="I192" s="590"/>
      <c r="J192" s="593"/>
      <c r="K192" s="74"/>
      <c r="L192" s="586"/>
      <c r="M192" s="74"/>
      <c r="N192" s="74"/>
      <c r="O192" s="74"/>
      <c r="P192" s="357">
        <f t="shared" si="19"/>
        <v>0</v>
      </c>
    </row>
    <row r="193" spans="1:16" hidden="1" x14ac:dyDescent="0.25">
      <c r="A193" s="592"/>
      <c r="B193" s="518"/>
      <c r="C193" s="518"/>
      <c r="D193" s="590"/>
      <c r="E193" s="590"/>
      <c r="F193" s="590"/>
      <c r="G193" s="591"/>
      <c r="H193" s="591"/>
      <c r="I193" s="590"/>
      <c r="J193" s="593"/>
      <c r="K193" s="74"/>
      <c r="L193" s="586"/>
      <c r="M193" s="74"/>
      <c r="N193" s="74"/>
      <c r="O193" s="74"/>
      <c r="P193" s="357">
        <f t="shared" si="19"/>
        <v>0</v>
      </c>
    </row>
    <row r="194" spans="1:16" hidden="1" x14ac:dyDescent="0.25">
      <c r="A194" s="592"/>
      <c r="B194" s="518"/>
      <c r="C194" s="518"/>
      <c r="D194" s="590"/>
      <c r="E194" s="590"/>
      <c r="F194" s="590"/>
      <c r="G194" s="591"/>
      <c r="H194" s="591"/>
      <c r="I194" s="590"/>
      <c r="J194" s="593"/>
      <c r="K194" s="74"/>
      <c r="L194" s="586"/>
      <c r="M194" s="74"/>
      <c r="N194" s="74"/>
      <c r="O194" s="74"/>
      <c r="P194" s="357">
        <f t="shared" si="19"/>
        <v>0</v>
      </c>
    </row>
    <row r="195" spans="1:16" hidden="1" x14ac:dyDescent="0.25">
      <c r="A195" s="592"/>
      <c r="B195" s="518"/>
      <c r="C195" s="518"/>
      <c r="D195" s="590"/>
      <c r="E195" s="590"/>
      <c r="F195" s="590"/>
      <c r="G195" s="591"/>
      <c r="H195" s="591"/>
      <c r="I195" s="590"/>
      <c r="J195" s="593"/>
      <c r="K195" s="74"/>
      <c r="L195" s="586"/>
      <c r="M195" s="74"/>
      <c r="N195" s="74"/>
      <c r="O195" s="74"/>
      <c r="P195" s="357">
        <f t="shared" si="19"/>
        <v>0</v>
      </c>
    </row>
    <row r="196" spans="1:16" hidden="1" x14ac:dyDescent="0.25">
      <c r="A196" s="592"/>
      <c r="B196" s="518"/>
      <c r="C196" s="518"/>
      <c r="D196" s="590"/>
      <c r="E196" s="590"/>
      <c r="F196" s="590"/>
      <c r="G196" s="591"/>
      <c r="H196" s="591"/>
      <c r="I196" s="590"/>
      <c r="J196" s="593"/>
      <c r="K196" s="74"/>
      <c r="L196" s="586"/>
      <c r="M196" s="74"/>
      <c r="N196" s="74"/>
      <c r="O196" s="74"/>
      <c r="P196" s="357">
        <f t="shared" si="19"/>
        <v>0</v>
      </c>
    </row>
    <row r="197" spans="1:16" hidden="1" x14ac:dyDescent="0.25">
      <c r="A197" s="592"/>
      <c r="B197" s="518"/>
      <c r="C197" s="518"/>
      <c r="D197" s="590"/>
      <c r="E197" s="590"/>
      <c r="F197" s="590"/>
      <c r="G197" s="591"/>
      <c r="H197" s="591"/>
      <c r="I197" s="590"/>
      <c r="J197" s="593"/>
      <c r="K197" s="74"/>
      <c r="L197" s="586"/>
      <c r="M197" s="74"/>
      <c r="N197" s="74"/>
      <c r="O197" s="74"/>
      <c r="P197" s="357">
        <f t="shared" si="19"/>
        <v>0</v>
      </c>
    </row>
    <row r="198" spans="1:16" hidden="1" x14ac:dyDescent="0.25">
      <c r="A198" s="592"/>
      <c r="B198" s="518"/>
      <c r="C198" s="518"/>
      <c r="D198" s="590"/>
      <c r="E198" s="590"/>
      <c r="F198" s="590"/>
      <c r="G198" s="591"/>
      <c r="H198" s="591"/>
      <c r="I198" s="590"/>
      <c r="J198" s="593"/>
      <c r="K198" s="74"/>
      <c r="L198" s="586"/>
      <c r="M198" s="74"/>
      <c r="N198" s="74"/>
      <c r="O198" s="74"/>
      <c r="P198" s="357">
        <f t="shared" si="19"/>
        <v>0</v>
      </c>
    </row>
    <row r="199" spans="1:16" hidden="1" x14ac:dyDescent="0.25">
      <c r="A199" s="592"/>
      <c r="B199" s="518"/>
      <c r="C199" s="518"/>
      <c r="D199" s="590"/>
      <c r="E199" s="590"/>
      <c r="F199" s="590"/>
      <c r="G199" s="591"/>
      <c r="H199" s="591"/>
      <c r="I199" s="590"/>
      <c r="J199" s="593"/>
      <c r="K199" s="74"/>
      <c r="L199" s="586"/>
      <c r="M199" s="74"/>
      <c r="N199" s="74"/>
      <c r="O199" s="74"/>
      <c r="P199" s="357">
        <f t="shared" si="19"/>
        <v>0</v>
      </c>
    </row>
    <row r="200" spans="1:16" hidden="1" x14ac:dyDescent="0.25">
      <c r="A200" s="592"/>
      <c r="B200" s="518"/>
      <c r="C200" s="518"/>
      <c r="D200" s="590"/>
      <c r="E200" s="590"/>
      <c r="F200" s="590"/>
      <c r="G200" s="591"/>
      <c r="H200" s="591"/>
      <c r="I200" s="590"/>
      <c r="J200" s="593"/>
      <c r="K200" s="74"/>
      <c r="L200" s="586"/>
      <c r="M200" s="74"/>
      <c r="N200" s="74"/>
      <c r="O200" s="74"/>
      <c r="P200" s="357">
        <f t="shared" si="19"/>
        <v>0</v>
      </c>
    </row>
    <row r="201" spans="1:16" hidden="1" x14ac:dyDescent="0.25">
      <c r="A201" s="592"/>
      <c r="B201" s="518"/>
      <c r="C201" s="518"/>
      <c r="D201" s="590"/>
      <c r="E201" s="590"/>
      <c r="F201" s="590"/>
      <c r="G201" s="591"/>
      <c r="H201" s="591"/>
      <c r="I201" s="590"/>
      <c r="J201" s="593"/>
      <c r="K201" s="74"/>
      <c r="L201" s="586"/>
      <c r="M201" s="74"/>
      <c r="N201" s="74"/>
      <c r="O201" s="74"/>
      <c r="P201" s="357">
        <f t="shared" si="19"/>
        <v>0</v>
      </c>
    </row>
    <row r="202" spans="1:16" hidden="1" x14ac:dyDescent="0.25">
      <c r="A202" s="592"/>
      <c r="B202" s="518"/>
      <c r="C202" s="518"/>
      <c r="D202" s="590"/>
      <c r="E202" s="590"/>
      <c r="F202" s="590"/>
      <c r="G202" s="591"/>
      <c r="H202" s="591"/>
      <c r="I202" s="590"/>
      <c r="J202" s="593"/>
      <c r="K202" s="74"/>
      <c r="L202" s="586"/>
      <c r="M202" s="74"/>
      <c r="N202" s="74"/>
      <c r="O202" s="74"/>
      <c r="P202" s="357">
        <f t="shared" si="19"/>
        <v>0</v>
      </c>
    </row>
    <row r="203" spans="1:16" hidden="1" x14ac:dyDescent="0.25">
      <c r="A203" s="592"/>
      <c r="B203" s="518"/>
      <c r="C203" s="518"/>
      <c r="D203" s="590"/>
      <c r="E203" s="590"/>
      <c r="F203" s="590"/>
      <c r="G203" s="591"/>
      <c r="H203" s="591"/>
      <c r="I203" s="590"/>
      <c r="J203" s="593"/>
      <c r="K203" s="74"/>
      <c r="L203" s="586"/>
      <c r="M203" s="74"/>
      <c r="N203" s="74"/>
      <c r="O203" s="74"/>
      <c r="P203" s="357">
        <f t="shared" si="19"/>
        <v>0</v>
      </c>
    </row>
    <row r="204" spans="1:16" hidden="1" x14ac:dyDescent="0.25">
      <c r="A204" s="592"/>
      <c r="B204" s="518"/>
      <c r="C204" s="518"/>
      <c r="D204" s="590"/>
      <c r="E204" s="590"/>
      <c r="F204" s="590"/>
      <c r="G204" s="591"/>
      <c r="H204" s="591"/>
      <c r="I204" s="590"/>
      <c r="J204" s="593"/>
      <c r="K204" s="74"/>
      <c r="L204" s="586"/>
      <c r="M204" s="74"/>
      <c r="N204" s="74"/>
      <c r="O204" s="74"/>
      <c r="P204" s="357">
        <f t="shared" si="19"/>
        <v>0</v>
      </c>
    </row>
    <row r="205" spans="1:16" hidden="1" x14ac:dyDescent="0.25">
      <c r="A205" s="592"/>
      <c r="B205" s="518"/>
      <c r="C205" s="518"/>
      <c r="D205" s="590"/>
      <c r="E205" s="590"/>
      <c r="F205" s="590"/>
      <c r="G205" s="591"/>
      <c r="H205" s="591"/>
      <c r="I205" s="590"/>
      <c r="J205" s="593"/>
      <c r="K205" s="74"/>
      <c r="L205" s="586"/>
      <c r="M205" s="74"/>
      <c r="N205" s="74"/>
      <c r="O205" s="74"/>
      <c r="P205" s="357">
        <f t="shared" si="19"/>
        <v>0</v>
      </c>
    </row>
    <row r="206" spans="1:16" hidden="1" x14ac:dyDescent="0.25">
      <c r="A206" s="592"/>
      <c r="B206" s="518"/>
      <c r="C206" s="518"/>
      <c r="D206" s="590"/>
      <c r="E206" s="590"/>
      <c r="F206" s="590"/>
      <c r="G206" s="591"/>
      <c r="H206" s="591"/>
      <c r="I206" s="590"/>
      <c r="J206" s="593"/>
      <c r="K206" s="74"/>
      <c r="L206" s="586"/>
      <c r="M206" s="74"/>
      <c r="N206" s="74"/>
      <c r="O206" s="74"/>
      <c r="P206" s="357">
        <f t="shared" si="19"/>
        <v>0</v>
      </c>
    </row>
    <row r="207" spans="1:16" hidden="1" x14ac:dyDescent="0.25">
      <c r="A207" s="592"/>
      <c r="B207" s="518"/>
      <c r="C207" s="518"/>
      <c r="D207" s="590"/>
      <c r="E207" s="590"/>
      <c r="F207" s="590"/>
      <c r="G207" s="591"/>
      <c r="H207" s="591"/>
      <c r="I207" s="590"/>
      <c r="J207" s="593"/>
      <c r="K207" s="74"/>
      <c r="L207" s="586"/>
      <c r="M207" s="74"/>
      <c r="N207" s="74"/>
      <c r="O207" s="74"/>
      <c r="P207" s="357">
        <f t="shared" si="19"/>
        <v>0</v>
      </c>
    </row>
    <row r="208" spans="1:16" hidden="1" x14ac:dyDescent="0.25">
      <c r="A208" s="592"/>
      <c r="B208" s="518"/>
      <c r="C208" s="518"/>
      <c r="D208" s="590"/>
      <c r="E208" s="590"/>
      <c r="F208" s="590"/>
      <c r="G208" s="591"/>
      <c r="H208" s="591"/>
      <c r="I208" s="590"/>
      <c r="J208" s="593"/>
      <c r="K208" s="74"/>
      <c r="L208" s="586"/>
      <c r="M208" s="74"/>
      <c r="N208" s="74"/>
      <c r="O208" s="74"/>
      <c r="P208" s="357">
        <f t="shared" si="19"/>
        <v>0</v>
      </c>
    </row>
    <row r="209" spans="1:16" hidden="1" x14ac:dyDescent="0.25">
      <c r="A209" s="592"/>
      <c r="B209" s="518"/>
      <c r="C209" s="518"/>
      <c r="D209" s="590"/>
      <c r="E209" s="590"/>
      <c r="F209" s="590"/>
      <c r="G209" s="591"/>
      <c r="H209" s="591"/>
      <c r="I209" s="590"/>
      <c r="J209" s="593"/>
      <c r="K209" s="74"/>
      <c r="L209" s="586"/>
      <c r="M209" s="74"/>
      <c r="N209" s="74"/>
      <c r="O209" s="74"/>
      <c r="P209" s="357">
        <f t="shared" si="19"/>
        <v>0</v>
      </c>
    </row>
    <row r="210" spans="1:16" hidden="1" x14ac:dyDescent="0.25">
      <c r="A210" s="592"/>
      <c r="B210" s="518"/>
      <c r="C210" s="518"/>
      <c r="D210" s="590"/>
      <c r="E210" s="590"/>
      <c r="F210" s="590"/>
      <c r="G210" s="591"/>
      <c r="H210" s="591"/>
      <c r="I210" s="590"/>
      <c r="J210" s="593"/>
      <c r="K210" s="74"/>
      <c r="L210" s="586"/>
      <c r="M210" s="74"/>
      <c r="N210" s="74"/>
      <c r="O210" s="74"/>
      <c r="P210" s="357">
        <f t="shared" si="19"/>
        <v>0</v>
      </c>
    </row>
    <row r="211" spans="1:16" hidden="1" x14ac:dyDescent="0.25">
      <c r="A211" s="592"/>
      <c r="B211" s="518"/>
      <c r="C211" s="518"/>
      <c r="D211" s="590"/>
      <c r="E211" s="590"/>
      <c r="F211" s="590"/>
      <c r="G211" s="591"/>
      <c r="H211" s="591"/>
      <c r="I211" s="590"/>
      <c r="J211" s="593"/>
      <c r="K211" s="74"/>
      <c r="L211" s="586"/>
      <c r="M211" s="74"/>
      <c r="N211" s="74"/>
      <c r="O211" s="74"/>
      <c r="P211" s="357">
        <f t="shared" si="19"/>
        <v>0</v>
      </c>
    </row>
    <row r="212" spans="1:16" hidden="1" x14ac:dyDescent="0.25">
      <c r="A212" s="592"/>
      <c r="B212" s="518"/>
      <c r="C212" s="518"/>
      <c r="D212" s="590"/>
      <c r="E212" s="590"/>
      <c r="F212" s="590"/>
      <c r="G212" s="591"/>
      <c r="H212" s="591"/>
      <c r="I212" s="590"/>
      <c r="J212" s="593"/>
      <c r="K212" s="74"/>
      <c r="L212" s="586"/>
      <c r="M212" s="74"/>
      <c r="N212" s="74"/>
      <c r="O212" s="74"/>
      <c r="P212" s="357">
        <f t="shared" si="19"/>
        <v>0</v>
      </c>
    </row>
    <row r="213" spans="1:16" hidden="1" x14ac:dyDescent="0.25">
      <c r="A213" s="592"/>
      <c r="B213" s="518"/>
      <c r="C213" s="518"/>
      <c r="D213" s="590"/>
      <c r="E213" s="590"/>
      <c r="F213" s="590"/>
      <c r="G213" s="591"/>
      <c r="H213" s="591"/>
      <c r="I213" s="590"/>
      <c r="J213" s="593"/>
      <c r="K213" s="74"/>
      <c r="L213" s="586"/>
      <c r="M213" s="74"/>
      <c r="N213" s="74"/>
      <c r="O213" s="74"/>
      <c r="P213" s="357">
        <f t="shared" si="19"/>
        <v>0</v>
      </c>
    </row>
    <row r="214" spans="1:16" hidden="1" x14ac:dyDescent="0.25">
      <c r="A214" s="592"/>
      <c r="B214" s="518"/>
      <c r="C214" s="518"/>
      <c r="D214" s="590"/>
      <c r="E214" s="590"/>
      <c r="F214" s="590"/>
      <c r="G214" s="591"/>
      <c r="H214" s="591"/>
      <c r="I214" s="590"/>
      <c r="J214" s="593"/>
      <c r="K214" s="74"/>
      <c r="L214" s="586"/>
      <c r="M214" s="74"/>
      <c r="N214" s="74"/>
      <c r="O214" s="74"/>
      <c r="P214" s="357">
        <f t="shared" si="19"/>
        <v>0</v>
      </c>
    </row>
    <row r="215" spans="1:16" hidden="1" x14ac:dyDescent="0.25">
      <c r="A215" s="592"/>
      <c r="B215" s="518"/>
      <c r="C215" s="518"/>
      <c r="D215" s="590"/>
      <c r="E215" s="590"/>
      <c r="F215" s="590"/>
      <c r="G215" s="591"/>
      <c r="H215" s="591"/>
      <c r="I215" s="590"/>
      <c r="J215" s="593"/>
      <c r="K215" s="74"/>
      <c r="L215" s="586"/>
      <c r="M215" s="74"/>
      <c r="N215" s="74"/>
      <c r="O215" s="74"/>
      <c r="P215" s="357">
        <f t="shared" si="19"/>
        <v>0</v>
      </c>
    </row>
    <row r="216" spans="1:16" hidden="1" x14ac:dyDescent="0.25">
      <c r="A216" s="592"/>
      <c r="B216" s="518"/>
      <c r="C216" s="518"/>
      <c r="D216" s="590"/>
      <c r="E216" s="590"/>
      <c r="F216" s="590"/>
      <c r="G216" s="591"/>
      <c r="H216" s="591"/>
      <c r="I216" s="590"/>
      <c r="J216" s="593"/>
      <c r="K216" s="74"/>
      <c r="L216" s="586"/>
      <c r="M216" s="74"/>
      <c r="N216" s="74"/>
      <c r="O216" s="74"/>
      <c r="P216" s="357">
        <f t="shared" si="19"/>
        <v>0</v>
      </c>
    </row>
    <row r="217" spans="1:16" hidden="1" x14ac:dyDescent="0.25">
      <c r="A217" s="592"/>
      <c r="B217" s="518"/>
      <c r="C217" s="518"/>
      <c r="D217" s="590"/>
      <c r="E217" s="590"/>
      <c r="F217" s="590"/>
      <c r="G217" s="591"/>
      <c r="H217" s="591"/>
      <c r="I217" s="590"/>
      <c r="J217" s="593"/>
      <c r="K217" s="74"/>
      <c r="L217" s="586"/>
      <c r="M217" s="74"/>
      <c r="N217" s="74"/>
      <c r="O217" s="74"/>
      <c r="P217" s="357">
        <f t="shared" si="19"/>
        <v>0</v>
      </c>
    </row>
    <row r="218" spans="1:16" hidden="1" x14ac:dyDescent="0.25">
      <c r="A218" s="592"/>
      <c r="B218" s="518"/>
      <c r="C218" s="518"/>
      <c r="D218" s="590"/>
      <c r="E218" s="590"/>
      <c r="F218" s="590"/>
      <c r="G218" s="591"/>
      <c r="H218" s="591"/>
      <c r="I218" s="590"/>
      <c r="J218" s="593"/>
      <c r="K218" s="74"/>
      <c r="L218" s="586"/>
      <c r="M218" s="74"/>
      <c r="N218" s="74"/>
      <c r="O218" s="74"/>
      <c r="P218" s="357">
        <f t="shared" si="19"/>
        <v>0</v>
      </c>
    </row>
    <row r="219" spans="1:16" hidden="1" x14ac:dyDescent="0.25">
      <c r="A219" s="592"/>
      <c r="B219" s="518"/>
      <c r="C219" s="518"/>
      <c r="D219" s="590"/>
      <c r="E219" s="590"/>
      <c r="F219" s="590"/>
      <c r="G219" s="591"/>
      <c r="H219" s="591"/>
      <c r="I219" s="590"/>
      <c r="J219" s="593"/>
      <c r="K219" s="74"/>
      <c r="L219" s="586"/>
      <c r="M219" s="74"/>
      <c r="N219" s="74"/>
      <c r="O219" s="74"/>
      <c r="P219" s="357">
        <f t="shared" si="19"/>
        <v>0</v>
      </c>
    </row>
    <row r="220" spans="1:16" hidden="1" x14ac:dyDescent="0.25">
      <c r="A220" s="592"/>
      <c r="B220" s="518"/>
      <c r="C220" s="518"/>
      <c r="D220" s="590"/>
      <c r="E220" s="590"/>
      <c r="F220" s="590"/>
      <c r="G220" s="591"/>
      <c r="H220" s="591"/>
      <c r="I220" s="590"/>
      <c r="J220" s="593"/>
      <c r="K220" s="74"/>
      <c r="L220" s="586"/>
      <c r="M220" s="74"/>
      <c r="N220" s="74"/>
      <c r="O220" s="74"/>
      <c r="P220" s="357">
        <f t="shared" si="19"/>
        <v>0</v>
      </c>
    </row>
    <row r="221" spans="1:16" hidden="1" x14ac:dyDescent="0.25">
      <c r="A221" s="592"/>
      <c r="B221" s="518"/>
      <c r="C221" s="518"/>
      <c r="D221" s="590"/>
      <c r="E221" s="590"/>
      <c r="F221" s="590"/>
      <c r="G221" s="591"/>
      <c r="H221" s="591"/>
      <c r="I221" s="590"/>
      <c r="J221" s="593"/>
      <c r="K221" s="74"/>
      <c r="L221" s="586"/>
      <c r="M221" s="74"/>
      <c r="N221" s="74"/>
      <c r="O221" s="74"/>
      <c r="P221" s="357">
        <f t="shared" si="19"/>
        <v>0</v>
      </c>
    </row>
    <row r="222" spans="1:16" hidden="1" x14ac:dyDescent="0.25">
      <c r="A222" s="592"/>
      <c r="B222" s="518"/>
      <c r="C222" s="518"/>
      <c r="D222" s="590"/>
      <c r="E222" s="590"/>
      <c r="F222" s="590"/>
      <c r="G222" s="591"/>
      <c r="H222" s="591"/>
      <c r="I222" s="590"/>
      <c r="J222" s="593"/>
      <c r="K222" s="74"/>
      <c r="L222" s="586"/>
      <c r="M222" s="74"/>
      <c r="N222" s="74"/>
      <c r="O222" s="74"/>
      <c r="P222" s="357">
        <f t="shared" si="19"/>
        <v>0</v>
      </c>
    </row>
    <row r="223" spans="1:16" hidden="1" x14ac:dyDescent="0.25">
      <c r="A223" s="592"/>
      <c r="B223" s="518"/>
      <c r="C223" s="518"/>
      <c r="D223" s="590"/>
      <c r="E223" s="590"/>
      <c r="F223" s="590"/>
      <c r="G223" s="591"/>
      <c r="H223" s="591"/>
      <c r="I223" s="590"/>
      <c r="J223" s="593"/>
      <c r="K223" s="74"/>
      <c r="L223" s="586"/>
      <c r="M223" s="74"/>
      <c r="N223" s="74"/>
      <c r="O223" s="74"/>
      <c r="P223" s="357">
        <f t="shared" si="19"/>
        <v>0</v>
      </c>
    </row>
    <row r="224" spans="1:16" hidden="1" x14ac:dyDescent="0.25">
      <c r="A224" s="592"/>
      <c r="B224" s="518"/>
      <c r="C224" s="518"/>
      <c r="D224" s="590"/>
      <c r="E224" s="590"/>
      <c r="F224" s="590"/>
      <c r="G224" s="591"/>
      <c r="H224" s="591"/>
      <c r="I224" s="590"/>
      <c r="J224" s="593"/>
      <c r="K224" s="74"/>
      <c r="L224" s="586"/>
      <c r="M224" s="74"/>
      <c r="N224" s="74"/>
      <c r="O224" s="74"/>
      <c r="P224" s="357">
        <f t="shared" si="19"/>
        <v>0</v>
      </c>
    </row>
    <row r="225" spans="1:16" hidden="1" x14ac:dyDescent="0.25">
      <c r="A225" s="592"/>
      <c r="B225" s="518"/>
      <c r="C225" s="518"/>
      <c r="D225" s="590"/>
      <c r="E225" s="590"/>
      <c r="F225" s="590"/>
      <c r="G225" s="591"/>
      <c r="H225" s="591"/>
      <c r="I225" s="590"/>
      <c r="J225" s="593"/>
      <c r="K225" s="74"/>
      <c r="L225" s="586"/>
      <c r="M225" s="74"/>
      <c r="N225" s="74"/>
      <c r="O225" s="74"/>
      <c r="P225" s="357">
        <f t="shared" si="19"/>
        <v>0</v>
      </c>
    </row>
    <row r="226" spans="1:16" hidden="1" x14ac:dyDescent="0.25">
      <c r="A226" s="592"/>
      <c r="B226" s="518"/>
      <c r="C226" s="518"/>
      <c r="D226" s="590"/>
      <c r="E226" s="590"/>
      <c r="F226" s="590"/>
      <c r="G226" s="591"/>
      <c r="H226" s="591"/>
      <c r="I226" s="590"/>
      <c r="J226" s="593"/>
      <c r="K226" s="74"/>
      <c r="L226" s="586"/>
      <c r="M226" s="74"/>
      <c r="N226" s="74"/>
      <c r="O226" s="74"/>
      <c r="P226" s="357">
        <f t="shared" si="19"/>
        <v>0</v>
      </c>
    </row>
    <row r="227" spans="1:16" hidden="1" x14ac:dyDescent="0.25">
      <c r="A227" s="592"/>
      <c r="B227" s="518"/>
      <c r="C227" s="518"/>
      <c r="D227" s="590"/>
      <c r="E227" s="590"/>
      <c r="F227" s="590"/>
      <c r="G227" s="591"/>
      <c r="H227" s="591"/>
      <c r="I227" s="590"/>
      <c r="J227" s="593"/>
      <c r="K227" s="74"/>
      <c r="L227" s="586"/>
      <c r="M227" s="74"/>
      <c r="N227" s="74"/>
      <c r="O227" s="74"/>
      <c r="P227" s="357">
        <f t="shared" si="19"/>
        <v>0</v>
      </c>
    </row>
    <row r="228" spans="1:16" hidden="1" x14ac:dyDescent="0.25">
      <c r="A228" s="592"/>
      <c r="B228" s="518"/>
      <c r="C228" s="518"/>
      <c r="D228" s="590"/>
      <c r="E228" s="590"/>
      <c r="F228" s="590"/>
      <c r="G228" s="591"/>
      <c r="H228" s="591"/>
      <c r="I228" s="590"/>
      <c r="J228" s="593"/>
      <c r="K228" s="74"/>
      <c r="L228" s="586"/>
      <c r="M228" s="74"/>
      <c r="N228" s="74"/>
      <c r="O228" s="74"/>
      <c r="P228" s="357">
        <f t="shared" si="19"/>
        <v>0</v>
      </c>
    </row>
    <row r="229" spans="1:16" hidden="1" x14ac:dyDescent="0.25">
      <c r="A229" s="592"/>
      <c r="B229" s="518"/>
      <c r="C229" s="518"/>
      <c r="D229" s="590"/>
      <c r="E229" s="590"/>
      <c r="F229" s="590"/>
      <c r="G229" s="591"/>
      <c r="H229" s="591"/>
      <c r="I229" s="590"/>
      <c r="J229" s="593"/>
      <c r="K229" s="74"/>
      <c r="L229" s="586"/>
      <c r="M229" s="74"/>
      <c r="N229" s="74"/>
      <c r="O229" s="74"/>
      <c r="P229" s="357">
        <f t="shared" ref="P229:P275" si="20">SUM(J229:O229)</f>
        <v>0</v>
      </c>
    </row>
    <row r="230" spans="1:16" hidden="1" x14ac:dyDescent="0.25">
      <c r="A230" s="592"/>
      <c r="B230" s="518"/>
      <c r="C230" s="518"/>
      <c r="D230" s="590"/>
      <c r="E230" s="590"/>
      <c r="F230" s="590"/>
      <c r="G230" s="591"/>
      <c r="H230" s="591"/>
      <c r="I230" s="590"/>
      <c r="J230" s="593"/>
      <c r="K230" s="74"/>
      <c r="L230" s="586"/>
      <c r="M230" s="74"/>
      <c r="N230" s="74"/>
      <c r="O230" s="74"/>
      <c r="P230" s="357">
        <f t="shared" si="20"/>
        <v>0</v>
      </c>
    </row>
    <row r="231" spans="1:16" hidden="1" x14ac:dyDescent="0.25">
      <c r="A231" s="592"/>
      <c r="B231" s="518"/>
      <c r="C231" s="518"/>
      <c r="D231" s="590"/>
      <c r="E231" s="590"/>
      <c r="F231" s="590"/>
      <c r="G231" s="591"/>
      <c r="H231" s="591"/>
      <c r="I231" s="590"/>
      <c r="J231" s="593"/>
      <c r="K231" s="74"/>
      <c r="L231" s="586"/>
      <c r="M231" s="74"/>
      <c r="N231" s="74"/>
      <c r="O231" s="74"/>
      <c r="P231" s="357">
        <f t="shared" si="20"/>
        <v>0</v>
      </c>
    </row>
    <row r="232" spans="1:16" hidden="1" x14ac:dyDescent="0.25">
      <c r="A232" s="592"/>
      <c r="B232" s="518"/>
      <c r="C232" s="518"/>
      <c r="D232" s="590"/>
      <c r="E232" s="590"/>
      <c r="F232" s="590"/>
      <c r="G232" s="591"/>
      <c r="H232" s="591"/>
      <c r="I232" s="590"/>
      <c r="J232" s="593"/>
      <c r="K232" s="74"/>
      <c r="L232" s="586"/>
      <c r="M232" s="74"/>
      <c r="N232" s="74"/>
      <c r="O232" s="74"/>
      <c r="P232" s="357">
        <f t="shared" si="20"/>
        <v>0</v>
      </c>
    </row>
    <row r="233" spans="1:16" hidden="1" x14ac:dyDescent="0.25">
      <c r="A233" s="592"/>
      <c r="B233" s="518"/>
      <c r="C233" s="518"/>
      <c r="D233" s="590"/>
      <c r="E233" s="590"/>
      <c r="F233" s="590"/>
      <c r="G233" s="591"/>
      <c r="H233" s="591"/>
      <c r="I233" s="590"/>
      <c r="J233" s="593"/>
      <c r="K233" s="74"/>
      <c r="L233" s="586"/>
      <c r="M233" s="74"/>
      <c r="N233" s="74"/>
      <c r="O233" s="74"/>
      <c r="P233" s="357">
        <f t="shared" si="20"/>
        <v>0</v>
      </c>
    </row>
    <row r="234" spans="1:16" hidden="1" x14ac:dyDescent="0.25">
      <c r="A234" s="592"/>
      <c r="B234" s="518"/>
      <c r="C234" s="518"/>
      <c r="D234" s="590"/>
      <c r="E234" s="590"/>
      <c r="F234" s="590"/>
      <c r="G234" s="591"/>
      <c r="H234" s="591"/>
      <c r="I234" s="590"/>
      <c r="J234" s="593"/>
      <c r="K234" s="74"/>
      <c r="L234" s="586"/>
      <c r="M234" s="74"/>
      <c r="N234" s="74"/>
      <c r="O234" s="74"/>
      <c r="P234" s="357">
        <f t="shared" si="20"/>
        <v>0</v>
      </c>
    </row>
    <row r="235" spans="1:16" hidden="1" x14ac:dyDescent="0.25">
      <c r="A235" s="592"/>
      <c r="B235" s="518"/>
      <c r="C235" s="518"/>
      <c r="D235" s="590"/>
      <c r="E235" s="590"/>
      <c r="F235" s="590"/>
      <c r="G235" s="591"/>
      <c r="H235" s="591"/>
      <c r="I235" s="590"/>
      <c r="J235" s="593"/>
      <c r="K235" s="74"/>
      <c r="L235" s="586"/>
      <c r="M235" s="74"/>
      <c r="N235" s="74"/>
      <c r="O235" s="74"/>
      <c r="P235" s="357">
        <f t="shared" si="20"/>
        <v>0</v>
      </c>
    </row>
    <row r="236" spans="1:16" hidden="1" x14ac:dyDescent="0.25">
      <c r="A236" s="592"/>
      <c r="B236" s="518"/>
      <c r="C236" s="518"/>
      <c r="D236" s="590"/>
      <c r="E236" s="590"/>
      <c r="F236" s="590"/>
      <c r="G236" s="591"/>
      <c r="H236" s="591"/>
      <c r="I236" s="590"/>
      <c r="J236" s="593"/>
      <c r="K236" s="74"/>
      <c r="L236" s="586"/>
      <c r="M236" s="74"/>
      <c r="N236" s="74"/>
      <c r="O236" s="74"/>
      <c r="P236" s="357">
        <f t="shared" si="20"/>
        <v>0</v>
      </c>
    </row>
    <row r="237" spans="1:16" hidden="1" x14ac:dyDescent="0.25">
      <c r="A237" s="592"/>
      <c r="B237" s="518"/>
      <c r="C237" s="518"/>
      <c r="D237" s="590"/>
      <c r="E237" s="590"/>
      <c r="F237" s="590"/>
      <c r="G237" s="591"/>
      <c r="H237" s="591"/>
      <c r="I237" s="590"/>
      <c r="J237" s="593"/>
      <c r="K237" s="74"/>
      <c r="L237" s="586"/>
      <c r="M237" s="74"/>
      <c r="N237" s="74"/>
      <c r="O237" s="74"/>
      <c r="P237" s="357">
        <f t="shared" si="20"/>
        <v>0</v>
      </c>
    </row>
    <row r="238" spans="1:16" hidden="1" x14ac:dyDescent="0.25">
      <c r="A238" s="592"/>
      <c r="B238" s="518"/>
      <c r="C238" s="518"/>
      <c r="D238" s="590"/>
      <c r="E238" s="590"/>
      <c r="F238" s="590"/>
      <c r="G238" s="591"/>
      <c r="H238" s="591"/>
      <c r="I238" s="590"/>
      <c r="J238" s="593"/>
      <c r="K238" s="74"/>
      <c r="L238" s="586"/>
      <c r="M238" s="74"/>
      <c r="N238" s="74"/>
      <c r="O238" s="74"/>
      <c r="P238" s="357">
        <f t="shared" si="20"/>
        <v>0</v>
      </c>
    </row>
    <row r="239" spans="1:16" hidden="1" x14ac:dyDescent="0.25">
      <c r="A239" s="592"/>
      <c r="B239" s="518"/>
      <c r="C239" s="518"/>
      <c r="D239" s="590"/>
      <c r="E239" s="590"/>
      <c r="F239" s="590"/>
      <c r="G239" s="591"/>
      <c r="H239" s="591"/>
      <c r="I239" s="590"/>
      <c r="J239" s="593"/>
      <c r="K239" s="74"/>
      <c r="L239" s="586"/>
      <c r="M239" s="74"/>
      <c r="N239" s="74"/>
      <c r="O239" s="74"/>
      <c r="P239" s="357">
        <f t="shared" si="20"/>
        <v>0</v>
      </c>
    </row>
    <row r="240" spans="1:16" hidden="1" x14ac:dyDescent="0.25">
      <c r="A240" s="592"/>
      <c r="B240" s="518"/>
      <c r="C240" s="518"/>
      <c r="D240" s="590"/>
      <c r="E240" s="590"/>
      <c r="F240" s="590"/>
      <c r="G240" s="591"/>
      <c r="H240" s="591"/>
      <c r="I240" s="590"/>
      <c r="J240" s="593"/>
      <c r="K240" s="74"/>
      <c r="L240" s="586"/>
      <c r="M240" s="74"/>
      <c r="N240" s="74"/>
      <c r="O240" s="74"/>
      <c r="P240" s="357">
        <f t="shared" si="20"/>
        <v>0</v>
      </c>
    </row>
    <row r="241" spans="1:16" hidden="1" x14ac:dyDescent="0.25">
      <c r="A241" s="592"/>
      <c r="B241" s="518"/>
      <c r="C241" s="518"/>
      <c r="D241" s="590"/>
      <c r="E241" s="590"/>
      <c r="F241" s="590"/>
      <c r="G241" s="591"/>
      <c r="H241" s="591"/>
      <c r="I241" s="590"/>
      <c r="J241" s="593"/>
      <c r="K241" s="74"/>
      <c r="L241" s="586"/>
      <c r="M241" s="74"/>
      <c r="N241" s="74"/>
      <c r="O241" s="74"/>
      <c r="P241" s="357">
        <f t="shared" si="20"/>
        <v>0</v>
      </c>
    </row>
    <row r="242" spans="1:16" hidden="1" x14ac:dyDescent="0.25">
      <c r="A242" s="592"/>
      <c r="B242" s="518"/>
      <c r="C242" s="518"/>
      <c r="D242" s="590"/>
      <c r="E242" s="590"/>
      <c r="F242" s="590"/>
      <c r="G242" s="591"/>
      <c r="H242" s="591"/>
      <c r="I242" s="590"/>
      <c r="J242" s="593"/>
      <c r="K242" s="74"/>
      <c r="L242" s="586"/>
      <c r="M242" s="74"/>
      <c r="N242" s="74"/>
      <c r="O242" s="74"/>
      <c r="P242" s="357">
        <f t="shared" si="20"/>
        <v>0</v>
      </c>
    </row>
    <row r="243" spans="1:16" hidden="1" x14ac:dyDescent="0.25">
      <c r="A243" s="592"/>
      <c r="B243" s="518"/>
      <c r="C243" s="518"/>
      <c r="D243" s="590"/>
      <c r="E243" s="590"/>
      <c r="F243" s="590"/>
      <c r="G243" s="591"/>
      <c r="H243" s="591"/>
      <c r="I243" s="590"/>
      <c r="J243" s="593"/>
      <c r="K243" s="74"/>
      <c r="L243" s="586"/>
      <c r="M243" s="74"/>
      <c r="N243" s="74"/>
      <c r="O243" s="74"/>
      <c r="P243" s="357">
        <f t="shared" si="20"/>
        <v>0</v>
      </c>
    </row>
    <row r="244" spans="1:16" hidden="1" x14ac:dyDescent="0.25">
      <c r="A244" s="592"/>
      <c r="B244" s="518"/>
      <c r="C244" s="518"/>
      <c r="D244" s="590"/>
      <c r="E244" s="590"/>
      <c r="F244" s="590"/>
      <c r="G244" s="591"/>
      <c r="H244" s="591"/>
      <c r="I244" s="590"/>
      <c r="J244" s="593"/>
      <c r="K244" s="74"/>
      <c r="L244" s="586"/>
      <c r="M244" s="74"/>
      <c r="N244" s="74"/>
      <c r="O244" s="74"/>
      <c r="P244" s="357">
        <f t="shared" si="20"/>
        <v>0</v>
      </c>
    </row>
    <row r="245" spans="1:16" hidden="1" x14ac:dyDescent="0.25">
      <c r="A245" s="592"/>
      <c r="B245" s="518"/>
      <c r="C245" s="518"/>
      <c r="D245" s="590"/>
      <c r="E245" s="590"/>
      <c r="F245" s="590"/>
      <c r="G245" s="591"/>
      <c r="H245" s="591"/>
      <c r="I245" s="590"/>
      <c r="J245" s="593"/>
      <c r="K245" s="74"/>
      <c r="L245" s="586"/>
      <c r="M245" s="74"/>
      <c r="N245" s="74"/>
      <c r="O245" s="74"/>
      <c r="P245" s="357">
        <f t="shared" si="20"/>
        <v>0</v>
      </c>
    </row>
    <row r="246" spans="1:16" hidden="1" x14ac:dyDescent="0.25">
      <c r="A246" s="592"/>
      <c r="B246" s="518"/>
      <c r="C246" s="518"/>
      <c r="D246" s="590"/>
      <c r="E246" s="590"/>
      <c r="F246" s="590"/>
      <c r="G246" s="591"/>
      <c r="H246" s="591"/>
      <c r="I246" s="590"/>
      <c r="J246" s="593"/>
      <c r="K246" s="74"/>
      <c r="L246" s="586"/>
      <c r="M246" s="74"/>
      <c r="N246" s="74"/>
      <c r="O246" s="74"/>
      <c r="P246" s="357">
        <f t="shared" si="20"/>
        <v>0</v>
      </c>
    </row>
    <row r="247" spans="1:16" hidden="1" x14ac:dyDescent="0.25">
      <c r="A247" s="592"/>
      <c r="B247" s="518"/>
      <c r="C247" s="518"/>
      <c r="D247" s="590"/>
      <c r="E247" s="590"/>
      <c r="F247" s="590"/>
      <c r="G247" s="591"/>
      <c r="H247" s="591"/>
      <c r="I247" s="590"/>
      <c r="J247" s="593"/>
      <c r="K247" s="74"/>
      <c r="L247" s="586"/>
      <c r="M247" s="74"/>
      <c r="N247" s="74"/>
      <c r="O247" s="74"/>
      <c r="P247" s="357">
        <f t="shared" si="20"/>
        <v>0</v>
      </c>
    </row>
    <row r="248" spans="1:16" hidden="1" x14ac:dyDescent="0.25">
      <c r="A248" s="592"/>
      <c r="B248" s="518"/>
      <c r="C248" s="518"/>
      <c r="D248" s="590"/>
      <c r="E248" s="590"/>
      <c r="F248" s="590"/>
      <c r="G248" s="591"/>
      <c r="H248" s="591"/>
      <c r="I248" s="590"/>
      <c r="J248" s="593"/>
      <c r="K248" s="74"/>
      <c r="L248" s="586"/>
      <c r="M248" s="74"/>
      <c r="N248" s="74"/>
      <c r="O248" s="74"/>
      <c r="P248" s="357">
        <f t="shared" si="20"/>
        <v>0</v>
      </c>
    </row>
    <row r="249" spans="1:16" hidden="1" x14ac:dyDescent="0.25">
      <c r="A249" s="592"/>
      <c r="B249" s="518"/>
      <c r="C249" s="518"/>
      <c r="D249" s="590"/>
      <c r="E249" s="590"/>
      <c r="F249" s="590"/>
      <c r="G249" s="591"/>
      <c r="H249" s="591"/>
      <c r="I249" s="590"/>
      <c r="J249" s="593"/>
      <c r="K249" s="74"/>
      <c r="L249" s="586"/>
      <c r="M249" s="74"/>
      <c r="N249" s="74"/>
      <c r="O249" s="74"/>
      <c r="P249" s="357">
        <f t="shared" si="20"/>
        <v>0</v>
      </c>
    </row>
    <row r="250" spans="1:16" hidden="1" x14ac:dyDescent="0.25">
      <c r="A250" s="592"/>
      <c r="B250" s="518"/>
      <c r="C250" s="518"/>
      <c r="D250" s="590"/>
      <c r="E250" s="590"/>
      <c r="F250" s="590"/>
      <c r="G250" s="591"/>
      <c r="H250" s="591"/>
      <c r="I250" s="590"/>
      <c r="J250" s="593"/>
      <c r="K250" s="74"/>
      <c r="L250" s="586"/>
      <c r="M250" s="74"/>
      <c r="N250" s="74"/>
      <c r="O250" s="74"/>
      <c r="P250" s="357">
        <f t="shared" si="20"/>
        <v>0</v>
      </c>
    </row>
    <row r="251" spans="1:16" hidden="1" x14ac:dyDescent="0.25">
      <c r="A251" s="592"/>
      <c r="B251" s="518"/>
      <c r="C251" s="518"/>
      <c r="D251" s="590"/>
      <c r="E251" s="590"/>
      <c r="F251" s="590"/>
      <c r="G251" s="591"/>
      <c r="H251" s="591"/>
      <c r="I251" s="590"/>
      <c r="J251" s="593"/>
      <c r="K251" s="74"/>
      <c r="L251" s="586"/>
      <c r="M251" s="74"/>
      <c r="N251" s="74"/>
      <c r="O251" s="74"/>
      <c r="P251" s="357">
        <f t="shared" si="20"/>
        <v>0</v>
      </c>
    </row>
    <row r="252" spans="1:16" hidden="1" x14ac:dyDescent="0.25">
      <c r="A252" s="592"/>
      <c r="B252" s="518"/>
      <c r="C252" s="518"/>
      <c r="D252" s="590"/>
      <c r="E252" s="590"/>
      <c r="F252" s="590"/>
      <c r="G252" s="591"/>
      <c r="H252" s="591"/>
      <c r="I252" s="590"/>
      <c r="J252" s="593"/>
      <c r="K252" s="74"/>
      <c r="L252" s="586"/>
      <c r="M252" s="74"/>
      <c r="N252" s="74"/>
      <c r="O252" s="74"/>
      <c r="P252" s="357">
        <f t="shared" si="20"/>
        <v>0</v>
      </c>
    </row>
    <row r="253" spans="1:16" hidden="1" x14ac:dyDescent="0.25">
      <c r="A253" s="592"/>
      <c r="B253" s="518"/>
      <c r="C253" s="518"/>
      <c r="D253" s="590"/>
      <c r="E253" s="590"/>
      <c r="F253" s="590"/>
      <c r="G253" s="591"/>
      <c r="H253" s="591"/>
      <c r="I253" s="590"/>
      <c r="J253" s="593"/>
      <c r="K253" s="74"/>
      <c r="L253" s="586"/>
      <c r="M253" s="74"/>
      <c r="N253" s="74"/>
      <c r="O253" s="74"/>
      <c r="P253" s="357">
        <f t="shared" si="20"/>
        <v>0</v>
      </c>
    </row>
    <row r="254" spans="1:16" hidden="1" x14ac:dyDescent="0.25">
      <c r="A254" s="592"/>
      <c r="B254" s="518"/>
      <c r="C254" s="518"/>
      <c r="D254" s="590"/>
      <c r="E254" s="590"/>
      <c r="F254" s="590"/>
      <c r="G254" s="591"/>
      <c r="H254" s="591"/>
      <c r="I254" s="590"/>
      <c r="J254" s="593"/>
      <c r="K254" s="74"/>
      <c r="L254" s="586"/>
      <c r="M254" s="74"/>
      <c r="N254" s="74"/>
      <c r="O254" s="74"/>
      <c r="P254" s="357">
        <f t="shared" si="20"/>
        <v>0</v>
      </c>
    </row>
    <row r="255" spans="1:16" hidden="1" x14ac:dyDescent="0.25">
      <c r="A255" s="592"/>
      <c r="B255" s="518"/>
      <c r="C255" s="518"/>
      <c r="D255" s="590"/>
      <c r="E255" s="590"/>
      <c r="F255" s="590"/>
      <c r="G255" s="591"/>
      <c r="H255" s="591"/>
      <c r="I255" s="590"/>
      <c r="J255" s="593"/>
      <c r="K255" s="74"/>
      <c r="L255" s="586"/>
      <c r="M255" s="74"/>
      <c r="N255" s="74"/>
      <c r="O255" s="74"/>
      <c r="P255" s="357">
        <f t="shared" si="20"/>
        <v>0</v>
      </c>
    </row>
    <row r="256" spans="1:16" hidden="1" x14ac:dyDescent="0.25">
      <c r="A256" s="592"/>
      <c r="B256" s="518"/>
      <c r="C256" s="518"/>
      <c r="D256" s="590"/>
      <c r="E256" s="590"/>
      <c r="F256" s="590"/>
      <c r="G256" s="591"/>
      <c r="H256" s="591"/>
      <c r="I256" s="590"/>
      <c r="J256" s="593"/>
      <c r="K256" s="74"/>
      <c r="L256" s="586"/>
      <c r="M256" s="74"/>
      <c r="N256" s="74"/>
      <c r="O256" s="74"/>
      <c r="P256" s="357">
        <f t="shared" si="20"/>
        <v>0</v>
      </c>
    </row>
    <row r="257" spans="1:16" hidden="1" x14ac:dyDescent="0.25">
      <c r="A257" s="592"/>
      <c r="B257" s="518"/>
      <c r="C257" s="518"/>
      <c r="D257" s="590"/>
      <c r="E257" s="590"/>
      <c r="F257" s="590"/>
      <c r="G257" s="591"/>
      <c r="H257" s="591"/>
      <c r="I257" s="590"/>
      <c r="J257" s="593"/>
      <c r="K257" s="74"/>
      <c r="L257" s="586"/>
      <c r="M257" s="74"/>
      <c r="N257" s="74"/>
      <c r="O257" s="74"/>
      <c r="P257" s="357">
        <f t="shared" si="20"/>
        <v>0</v>
      </c>
    </row>
    <row r="258" spans="1:16" hidden="1" x14ac:dyDescent="0.25">
      <c r="A258" s="592"/>
      <c r="B258" s="518"/>
      <c r="C258" s="518"/>
      <c r="D258" s="590"/>
      <c r="E258" s="590"/>
      <c r="F258" s="590"/>
      <c r="G258" s="591"/>
      <c r="H258" s="591"/>
      <c r="I258" s="590"/>
      <c r="J258" s="593"/>
      <c r="K258" s="74"/>
      <c r="L258" s="586"/>
      <c r="M258" s="74"/>
      <c r="N258" s="74"/>
      <c r="O258" s="74"/>
      <c r="P258" s="357">
        <f t="shared" si="20"/>
        <v>0</v>
      </c>
    </row>
    <row r="259" spans="1:16" hidden="1" x14ac:dyDescent="0.25">
      <c r="A259" s="592"/>
      <c r="B259" s="518"/>
      <c r="C259" s="518"/>
      <c r="D259" s="590"/>
      <c r="E259" s="590"/>
      <c r="F259" s="590"/>
      <c r="G259" s="591"/>
      <c r="H259" s="591"/>
      <c r="I259" s="590"/>
      <c r="J259" s="593"/>
      <c r="K259" s="74"/>
      <c r="L259" s="586"/>
      <c r="M259" s="74"/>
      <c r="N259" s="74"/>
      <c r="O259" s="74"/>
      <c r="P259" s="357">
        <f t="shared" si="20"/>
        <v>0</v>
      </c>
    </row>
    <row r="260" spans="1:16" hidden="1" x14ac:dyDescent="0.25">
      <c r="A260" s="592"/>
      <c r="B260" s="518"/>
      <c r="C260" s="518"/>
      <c r="D260" s="590"/>
      <c r="E260" s="590"/>
      <c r="F260" s="590"/>
      <c r="G260" s="591"/>
      <c r="H260" s="591"/>
      <c r="I260" s="590"/>
      <c r="J260" s="593"/>
      <c r="K260" s="74"/>
      <c r="L260" s="586"/>
      <c r="M260" s="74"/>
      <c r="N260" s="74"/>
      <c r="O260" s="74"/>
      <c r="P260" s="357">
        <f t="shared" si="20"/>
        <v>0</v>
      </c>
    </row>
    <row r="261" spans="1:16" hidden="1" x14ac:dyDescent="0.25">
      <c r="A261" s="592"/>
      <c r="B261" s="518"/>
      <c r="C261" s="518"/>
      <c r="D261" s="590"/>
      <c r="E261" s="590"/>
      <c r="F261" s="590"/>
      <c r="G261" s="591"/>
      <c r="H261" s="591"/>
      <c r="I261" s="590"/>
      <c r="J261" s="593"/>
      <c r="K261" s="74"/>
      <c r="L261" s="586"/>
      <c r="M261" s="74"/>
      <c r="N261" s="74"/>
      <c r="O261" s="74"/>
      <c r="P261" s="357">
        <f t="shared" si="20"/>
        <v>0</v>
      </c>
    </row>
    <row r="262" spans="1:16" hidden="1" x14ac:dyDescent="0.25">
      <c r="A262" s="592"/>
      <c r="B262" s="518"/>
      <c r="C262" s="518"/>
      <c r="D262" s="590"/>
      <c r="E262" s="590"/>
      <c r="F262" s="590"/>
      <c r="G262" s="591"/>
      <c r="H262" s="591"/>
      <c r="I262" s="590"/>
      <c r="J262" s="593"/>
      <c r="K262" s="74"/>
      <c r="L262" s="586"/>
      <c r="M262" s="74"/>
      <c r="N262" s="74"/>
      <c r="O262" s="74"/>
      <c r="P262" s="357">
        <f t="shared" si="20"/>
        <v>0</v>
      </c>
    </row>
    <row r="263" spans="1:16" hidden="1" x14ac:dyDescent="0.25">
      <c r="A263" s="592"/>
      <c r="B263" s="518"/>
      <c r="C263" s="518"/>
      <c r="D263" s="590"/>
      <c r="E263" s="590"/>
      <c r="F263" s="590"/>
      <c r="G263" s="591"/>
      <c r="H263" s="591"/>
      <c r="I263" s="590"/>
      <c r="J263" s="593"/>
      <c r="K263" s="74"/>
      <c r="L263" s="586"/>
      <c r="M263" s="74"/>
      <c r="N263" s="74"/>
      <c r="O263" s="74"/>
      <c r="P263" s="357">
        <f t="shared" si="20"/>
        <v>0</v>
      </c>
    </row>
    <row r="264" spans="1:16" hidden="1" x14ac:dyDescent="0.25">
      <c r="A264" s="592"/>
      <c r="B264" s="518"/>
      <c r="C264" s="518"/>
      <c r="D264" s="590"/>
      <c r="E264" s="590"/>
      <c r="F264" s="590"/>
      <c r="G264" s="591"/>
      <c r="H264" s="591"/>
      <c r="I264" s="590"/>
      <c r="J264" s="593"/>
      <c r="K264" s="74"/>
      <c r="L264" s="586"/>
      <c r="M264" s="74"/>
      <c r="N264" s="74"/>
      <c r="O264" s="74"/>
      <c r="P264" s="357">
        <f t="shared" si="20"/>
        <v>0</v>
      </c>
    </row>
    <row r="265" spans="1:16" hidden="1" x14ac:dyDescent="0.25">
      <c r="A265" s="592"/>
      <c r="B265" s="518"/>
      <c r="C265" s="518"/>
      <c r="D265" s="590"/>
      <c r="E265" s="590"/>
      <c r="F265" s="590"/>
      <c r="G265" s="591"/>
      <c r="H265" s="591"/>
      <c r="I265" s="590"/>
      <c r="J265" s="593"/>
      <c r="K265" s="74"/>
      <c r="L265" s="586"/>
      <c r="M265" s="74"/>
      <c r="N265" s="74"/>
      <c r="O265" s="74"/>
      <c r="P265" s="357">
        <f t="shared" si="20"/>
        <v>0</v>
      </c>
    </row>
    <row r="266" spans="1:16" hidden="1" x14ac:dyDescent="0.25">
      <c r="A266" s="592"/>
      <c r="B266" s="518"/>
      <c r="C266" s="518"/>
      <c r="D266" s="590"/>
      <c r="E266" s="590"/>
      <c r="F266" s="590"/>
      <c r="G266" s="591"/>
      <c r="H266" s="591"/>
      <c r="I266" s="590"/>
      <c r="J266" s="593"/>
      <c r="K266" s="74"/>
      <c r="L266" s="586"/>
      <c r="M266" s="74"/>
      <c r="N266" s="74"/>
      <c r="O266" s="74"/>
      <c r="P266" s="357">
        <f t="shared" si="20"/>
        <v>0</v>
      </c>
    </row>
    <row r="267" spans="1:16" hidden="1" x14ac:dyDescent="0.25">
      <c r="A267" s="592"/>
      <c r="B267" s="518"/>
      <c r="C267" s="518"/>
      <c r="D267" s="590"/>
      <c r="E267" s="590"/>
      <c r="F267" s="590"/>
      <c r="G267" s="591"/>
      <c r="H267" s="591"/>
      <c r="I267" s="590"/>
      <c r="J267" s="593"/>
      <c r="K267" s="74"/>
      <c r="L267" s="586"/>
      <c r="M267" s="74"/>
      <c r="N267" s="74"/>
      <c r="O267" s="74"/>
      <c r="P267" s="357">
        <f t="shared" si="20"/>
        <v>0</v>
      </c>
    </row>
    <row r="268" spans="1:16" hidden="1" x14ac:dyDescent="0.25">
      <c r="A268" s="592"/>
      <c r="B268" s="518"/>
      <c r="C268" s="518"/>
      <c r="D268" s="590"/>
      <c r="E268" s="590"/>
      <c r="F268" s="590"/>
      <c r="G268" s="591"/>
      <c r="H268" s="591"/>
      <c r="I268" s="590"/>
      <c r="J268" s="593"/>
      <c r="K268" s="74"/>
      <c r="L268" s="586"/>
      <c r="M268" s="74"/>
      <c r="N268" s="74"/>
      <c r="O268" s="74"/>
      <c r="P268" s="357">
        <f t="shared" si="20"/>
        <v>0</v>
      </c>
    </row>
    <row r="269" spans="1:16" hidden="1" x14ac:dyDescent="0.25">
      <c r="A269" s="592"/>
      <c r="B269" s="518"/>
      <c r="C269" s="518"/>
      <c r="D269" s="590"/>
      <c r="E269" s="590"/>
      <c r="F269" s="590"/>
      <c r="G269" s="591"/>
      <c r="H269" s="591"/>
      <c r="I269" s="590"/>
      <c r="J269" s="593"/>
      <c r="K269" s="74"/>
      <c r="L269" s="586"/>
      <c r="M269" s="74"/>
      <c r="N269" s="74"/>
      <c r="O269" s="74"/>
      <c r="P269" s="357">
        <f t="shared" si="20"/>
        <v>0</v>
      </c>
    </row>
    <row r="270" spans="1:16" hidden="1" x14ac:dyDescent="0.25">
      <c r="A270" s="592"/>
      <c r="B270" s="518"/>
      <c r="C270" s="518"/>
      <c r="D270" s="590"/>
      <c r="E270" s="590"/>
      <c r="F270" s="590"/>
      <c r="G270" s="591"/>
      <c r="H270" s="591"/>
      <c r="I270" s="590"/>
      <c r="J270" s="593"/>
      <c r="K270" s="74"/>
      <c r="L270" s="586"/>
      <c r="M270" s="74"/>
      <c r="N270" s="74"/>
      <c r="O270" s="74"/>
      <c r="P270" s="357">
        <f t="shared" si="20"/>
        <v>0</v>
      </c>
    </row>
    <row r="271" spans="1:16" hidden="1" x14ac:dyDescent="0.25">
      <c r="A271" s="592"/>
      <c r="B271" s="518"/>
      <c r="C271" s="518"/>
      <c r="D271" s="590"/>
      <c r="E271" s="590"/>
      <c r="F271" s="590"/>
      <c r="G271" s="591"/>
      <c r="H271" s="591"/>
      <c r="I271" s="590"/>
      <c r="J271" s="593"/>
      <c r="K271" s="74"/>
      <c r="L271" s="586"/>
      <c r="M271" s="74"/>
      <c r="N271" s="74"/>
      <c r="O271" s="74"/>
      <c r="P271" s="357">
        <f t="shared" si="20"/>
        <v>0</v>
      </c>
    </row>
    <row r="272" spans="1:16" hidden="1" x14ac:dyDescent="0.25">
      <c r="A272" s="592"/>
      <c r="B272" s="518"/>
      <c r="C272" s="518"/>
      <c r="D272" s="590"/>
      <c r="E272" s="590"/>
      <c r="F272" s="590"/>
      <c r="G272" s="591"/>
      <c r="H272" s="591"/>
      <c r="I272" s="590"/>
      <c r="J272" s="593"/>
      <c r="K272" s="74"/>
      <c r="L272" s="586"/>
      <c r="M272" s="74"/>
      <c r="N272" s="74"/>
      <c r="O272" s="74"/>
      <c r="P272" s="357">
        <f t="shared" si="20"/>
        <v>0</v>
      </c>
    </row>
    <row r="273" spans="1:16" hidden="1" x14ac:dyDescent="0.25">
      <c r="A273" s="592"/>
      <c r="B273" s="518"/>
      <c r="C273" s="518"/>
      <c r="D273" s="590"/>
      <c r="E273" s="590"/>
      <c r="F273" s="590"/>
      <c r="G273" s="591"/>
      <c r="H273" s="591"/>
      <c r="I273" s="590"/>
      <c r="J273" s="593"/>
      <c r="K273" s="74"/>
      <c r="L273" s="586"/>
      <c r="M273" s="74"/>
      <c r="N273" s="74"/>
      <c r="O273" s="74"/>
      <c r="P273" s="357">
        <f t="shared" si="20"/>
        <v>0</v>
      </c>
    </row>
    <row r="274" spans="1:16" hidden="1" x14ac:dyDescent="0.25">
      <c r="A274" s="592"/>
      <c r="B274" s="518"/>
      <c r="C274" s="518"/>
      <c r="D274" s="590"/>
      <c r="E274" s="590"/>
      <c r="F274" s="590"/>
      <c r="G274" s="591"/>
      <c r="H274" s="591"/>
      <c r="I274" s="590"/>
      <c r="J274" s="593"/>
      <c r="K274" s="74"/>
      <c r="L274" s="586"/>
      <c r="M274" s="74"/>
      <c r="N274" s="74"/>
      <c r="O274" s="74"/>
      <c r="P274" s="357">
        <f t="shared" si="20"/>
        <v>0</v>
      </c>
    </row>
    <row r="275" spans="1:16" hidden="1" x14ac:dyDescent="0.25">
      <c r="A275" s="592"/>
      <c r="B275" s="518"/>
      <c r="C275" s="518"/>
      <c r="D275" s="590"/>
      <c r="E275" s="590"/>
      <c r="F275" s="590"/>
      <c r="G275" s="591"/>
      <c r="H275" s="591"/>
      <c r="I275" s="590"/>
      <c r="J275" s="593"/>
      <c r="K275" s="74"/>
      <c r="L275" s="586"/>
      <c r="M275" s="74"/>
      <c r="N275" s="74"/>
      <c r="O275" s="74"/>
      <c r="P275" s="357">
        <f t="shared" si="20"/>
        <v>0</v>
      </c>
    </row>
    <row r="276" spans="1:16" hidden="1" x14ac:dyDescent="0.25">
      <c r="A276" s="592"/>
      <c r="B276" s="518"/>
      <c r="C276" s="518"/>
      <c r="D276" s="590"/>
      <c r="E276" s="590"/>
      <c r="F276" s="590"/>
      <c r="G276" s="591"/>
      <c r="H276" s="591"/>
      <c r="I276" s="590"/>
      <c r="J276" s="593"/>
      <c r="K276" s="74"/>
      <c r="L276" s="586"/>
      <c r="M276" s="74"/>
      <c r="N276" s="74"/>
      <c r="O276" s="74"/>
      <c r="P276" s="74">
        <f t="shared" ref="P276:P279" si="21">SUM(J276:O276)</f>
        <v>0</v>
      </c>
    </row>
    <row r="277" spans="1:16" hidden="1" x14ac:dyDescent="0.25">
      <c r="A277" s="592"/>
      <c r="B277" s="518"/>
      <c r="C277" s="518"/>
      <c r="D277" s="590"/>
      <c r="E277" s="590"/>
      <c r="F277" s="590"/>
      <c r="G277" s="591"/>
      <c r="H277" s="591"/>
      <c r="I277" s="590"/>
      <c r="J277" s="593"/>
      <c r="K277" s="74"/>
      <c r="L277" s="586"/>
      <c r="M277" s="74"/>
      <c r="N277" s="74"/>
      <c r="O277" s="74"/>
      <c r="P277" s="74">
        <f t="shared" si="21"/>
        <v>0</v>
      </c>
    </row>
    <row r="278" spans="1:16" hidden="1" x14ac:dyDescent="0.25">
      <c r="A278" s="592"/>
      <c r="B278" s="518"/>
      <c r="C278" s="518"/>
      <c r="D278" s="590"/>
      <c r="E278" s="590"/>
      <c r="F278" s="590"/>
      <c r="G278" s="591"/>
      <c r="H278" s="591"/>
      <c r="I278" s="590"/>
      <c r="J278" s="593"/>
      <c r="K278" s="74"/>
      <c r="L278" s="586"/>
      <c r="M278" s="74"/>
      <c r="N278" s="74"/>
      <c r="O278" s="74"/>
      <c r="P278" s="74">
        <f t="shared" si="21"/>
        <v>0</v>
      </c>
    </row>
    <row r="279" spans="1:16" ht="15.75" hidden="1" thickBot="1" x14ac:dyDescent="0.3">
      <c r="A279" s="592"/>
      <c r="B279" s="518"/>
      <c r="C279" s="518"/>
      <c r="D279" s="590"/>
      <c r="E279" s="590"/>
      <c r="F279" s="590"/>
      <c r="G279" s="591"/>
      <c r="H279" s="591"/>
      <c r="I279" s="590"/>
      <c r="J279" s="593"/>
      <c r="K279" s="74"/>
      <c r="L279" s="586"/>
      <c r="M279" s="74"/>
      <c r="N279" s="74"/>
      <c r="O279" s="74"/>
      <c r="P279" s="74">
        <f t="shared" si="21"/>
        <v>0</v>
      </c>
    </row>
    <row r="280" spans="1:16" ht="15.75" thickBot="1" x14ac:dyDescent="0.3">
      <c r="A280" s="109"/>
      <c r="B280" s="110"/>
      <c r="C280" s="110"/>
      <c r="D280" s="111">
        <f>COUNTA(D28:D279)</f>
        <v>143</v>
      </c>
      <c r="E280" s="112"/>
      <c r="F280" s="112"/>
      <c r="G280" s="113"/>
      <c r="H280" s="113"/>
      <c r="I280" s="112"/>
      <c r="J280" s="114">
        <f t="shared" ref="J280:P280" si="22">SUM(J28:J279)</f>
        <v>84900</v>
      </c>
      <c r="K280" s="115">
        <f t="shared" si="22"/>
        <v>30970</v>
      </c>
      <c r="L280" s="116">
        <f t="shared" si="22"/>
        <v>108929</v>
      </c>
      <c r="M280" s="115">
        <f t="shared" si="22"/>
        <v>5785</v>
      </c>
      <c r="N280" s="115">
        <f t="shared" si="22"/>
        <v>19901.5</v>
      </c>
      <c r="O280" s="115">
        <f t="shared" si="22"/>
        <v>75459</v>
      </c>
      <c r="P280" s="117">
        <f t="shared" si="22"/>
        <v>315244.5</v>
      </c>
    </row>
    <row r="281" spans="1:16" x14ac:dyDescent="0.25">
      <c r="A281" s="231">
        <v>6210</v>
      </c>
      <c r="B281" s="119" t="s">
        <v>28</v>
      </c>
      <c r="C281" s="120"/>
      <c r="D281" s="352">
        <f t="shared" ref="D281:D312" si="23">COUNTIFS($A$28:$A$279,$A281,$B$28:$B$279,$B281)</f>
        <v>0</v>
      </c>
      <c r="E281" s="121"/>
      <c r="F281" s="121"/>
      <c r="G281" s="121"/>
      <c r="H281" s="121"/>
      <c r="I281" s="121"/>
      <c r="J281" s="236">
        <f t="shared" ref="J281:P290" si="24">SUMIFS(J$28:J$279,$A$28:$A$279,$A281,$B$28:$B$279,$B281)</f>
        <v>0</v>
      </c>
      <c r="K281" s="236">
        <f t="shared" si="24"/>
        <v>0</v>
      </c>
      <c r="L281" s="236">
        <f t="shared" si="24"/>
        <v>0</v>
      </c>
      <c r="M281" s="236">
        <f t="shared" si="24"/>
        <v>0</v>
      </c>
      <c r="N281" s="236">
        <f t="shared" si="24"/>
        <v>0</v>
      </c>
      <c r="O281" s="236">
        <f t="shared" si="24"/>
        <v>0</v>
      </c>
      <c r="P281" s="237">
        <f t="shared" si="24"/>
        <v>0</v>
      </c>
    </row>
    <row r="282" spans="1:16" x14ac:dyDescent="0.25">
      <c r="A282" s="232">
        <v>6210</v>
      </c>
      <c r="B282" s="108" t="s">
        <v>27</v>
      </c>
      <c r="C282" s="123"/>
      <c r="D282" s="363">
        <f t="shared" si="23"/>
        <v>8</v>
      </c>
      <c r="E282" s="124"/>
      <c r="F282" s="124"/>
      <c r="G282" s="124"/>
      <c r="H282" s="124"/>
      <c r="I282" s="124"/>
      <c r="J282" s="234">
        <f t="shared" si="24"/>
        <v>0</v>
      </c>
      <c r="K282" s="234">
        <f t="shared" si="24"/>
        <v>0</v>
      </c>
      <c r="L282" s="234">
        <f t="shared" si="24"/>
        <v>2880</v>
      </c>
      <c r="M282" s="234">
        <f t="shared" si="24"/>
        <v>0</v>
      </c>
      <c r="N282" s="234">
        <f t="shared" si="24"/>
        <v>13464</v>
      </c>
      <c r="O282" s="234">
        <f t="shared" si="24"/>
        <v>2400</v>
      </c>
      <c r="P282" s="235">
        <f t="shared" si="24"/>
        <v>18744</v>
      </c>
    </row>
    <row r="283" spans="1:16" x14ac:dyDescent="0.25">
      <c r="A283" s="232">
        <v>6210</v>
      </c>
      <c r="B283" s="108" t="s">
        <v>32</v>
      </c>
      <c r="C283" s="123"/>
      <c r="D283" s="363">
        <f t="shared" si="23"/>
        <v>0</v>
      </c>
      <c r="E283" s="124"/>
      <c r="F283" s="124"/>
      <c r="G283" s="124"/>
      <c r="H283" s="124"/>
      <c r="I283" s="124"/>
      <c r="J283" s="234">
        <f t="shared" si="24"/>
        <v>0</v>
      </c>
      <c r="K283" s="234">
        <f t="shared" si="24"/>
        <v>0</v>
      </c>
      <c r="L283" s="234">
        <f t="shared" si="24"/>
        <v>0</v>
      </c>
      <c r="M283" s="234">
        <f t="shared" si="24"/>
        <v>0</v>
      </c>
      <c r="N283" s="234">
        <f t="shared" si="24"/>
        <v>0</v>
      </c>
      <c r="O283" s="234">
        <f t="shared" si="24"/>
        <v>0</v>
      </c>
      <c r="P283" s="235">
        <f t="shared" si="24"/>
        <v>0</v>
      </c>
    </row>
    <row r="284" spans="1:16" x14ac:dyDescent="0.25">
      <c r="A284" s="232">
        <v>6210</v>
      </c>
      <c r="B284" s="351" t="s">
        <v>685</v>
      </c>
      <c r="C284" s="123"/>
      <c r="D284" s="363">
        <f t="shared" si="23"/>
        <v>9</v>
      </c>
      <c r="E284" s="124"/>
      <c r="F284" s="124"/>
      <c r="G284" s="124"/>
      <c r="H284" s="124"/>
      <c r="I284" s="124"/>
      <c r="J284" s="234">
        <f t="shared" si="24"/>
        <v>0</v>
      </c>
      <c r="K284" s="234">
        <f t="shared" si="24"/>
        <v>0</v>
      </c>
      <c r="L284" s="234">
        <f t="shared" si="24"/>
        <v>17500</v>
      </c>
      <c r="M284" s="234">
        <f t="shared" si="24"/>
        <v>650</v>
      </c>
      <c r="N284" s="234">
        <f t="shared" si="24"/>
        <v>0</v>
      </c>
      <c r="O284" s="234">
        <f t="shared" si="24"/>
        <v>17000</v>
      </c>
      <c r="P284" s="235">
        <f t="shared" si="24"/>
        <v>35150</v>
      </c>
    </row>
    <row r="285" spans="1:16" x14ac:dyDescent="0.25">
      <c r="A285" s="232">
        <v>6210</v>
      </c>
      <c r="B285" s="108" t="s">
        <v>41</v>
      </c>
      <c r="C285" s="123"/>
      <c r="D285" s="363">
        <f t="shared" si="23"/>
        <v>0</v>
      </c>
      <c r="E285" s="124"/>
      <c r="F285" s="124"/>
      <c r="G285" s="124"/>
      <c r="H285" s="124"/>
      <c r="I285" s="124"/>
      <c r="J285" s="234">
        <f t="shared" si="24"/>
        <v>0</v>
      </c>
      <c r="K285" s="234">
        <f t="shared" si="24"/>
        <v>0</v>
      </c>
      <c r="L285" s="234">
        <f t="shared" si="24"/>
        <v>0</v>
      </c>
      <c r="M285" s="234">
        <f t="shared" si="24"/>
        <v>0</v>
      </c>
      <c r="N285" s="234">
        <f t="shared" si="24"/>
        <v>0</v>
      </c>
      <c r="O285" s="234">
        <f t="shared" si="24"/>
        <v>0</v>
      </c>
      <c r="P285" s="235">
        <f t="shared" si="24"/>
        <v>0</v>
      </c>
    </row>
    <row r="286" spans="1:16" x14ac:dyDescent="0.25">
      <c r="A286" s="232">
        <v>6210</v>
      </c>
      <c r="B286" s="108" t="s">
        <v>775</v>
      </c>
      <c r="C286" s="123"/>
      <c r="D286" s="363">
        <f t="shared" si="23"/>
        <v>4</v>
      </c>
      <c r="E286" s="124"/>
      <c r="F286" s="124"/>
      <c r="G286" s="124"/>
      <c r="H286" s="124"/>
      <c r="I286" s="124"/>
      <c r="J286" s="234">
        <f t="shared" si="24"/>
        <v>0</v>
      </c>
      <c r="K286" s="234">
        <f t="shared" si="24"/>
        <v>0</v>
      </c>
      <c r="L286" s="234">
        <f t="shared" si="24"/>
        <v>0</v>
      </c>
      <c r="M286" s="234">
        <f t="shared" si="24"/>
        <v>0</v>
      </c>
      <c r="N286" s="234">
        <f t="shared" si="24"/>
        <v>0</v>
      </c>
      <c r="O286" s="234">
        <f t="shared" si="24"/>
        <v>2000</v>
      </c>
      <c r="P286" s="235">
        <f t="shared" si="24"/>
        <v>2000</v>
      </c>
    </row>
    <row r="287" spans="1:16" x14ac:dyDescent="0.25">
      <c r="A287" s="232">
        <v>6210</v>
      </c>
      <c r="B287" s="108" t="s">
        <v>37</v>
      </c>
      <c r="C287" s="123"/>
      <c r="D287" s="363">
        <f t="shared" si="23"/>
        <v>2</v>
      </c>
      <c r="E287" s="124"/>
      <c r="F287" s="124"/>
      <c r="G287" s="124"/>
      <c r="H287" s="124"/>
      <c r="I287" s="124"/>
      <c r="J287" s="234">
        <f t="shared" si="24"/>
        <v>0</v>
      </c>
      <c r="K287" s="234">
        <f t="shared" si="24"/>
        <v>0</v>
      </c>
      <c r="L287" s="234">
        <f t="shared" si="24"/>
        <v>2772</v>
      </c>
      <c r="M287" s="234">
        <f t="shared" si="24"/>
        <v>0</v>
      </c>
      <c r="N287" s="234">
        <f t="shared" si="24"/>
        <v>0</v>
      </c>
      <c r="O287" s="234">
        <f t="shared" si="24"/>
        <v>9208</v>
      </c>
      <c r="P287" s="235">
        <f t="shared" si="24"/>
        <v>11980</v>
      </c>
    </row>
    <row r="288" spans="1:16" x14ac:dyDescent="0.25">
      <c r="A288" s="232">
        <v>6210</v>
      </c>
      <c r="B288" s="108" t="s">
        <v>29</v>
      </c>
      <c r="C288" s="123"/>
      <c r="D288" s="363">
        <f t="shared" si="23"/>
        <v>1</v>
      </c>
      <c r="E288" s="124"/>
      <c r="F288" s="124"/>
      <c r="G288" s="124"/>
      <c r="H288" s="124"/>
      <c r="I288" s="124"/>
      <c r="J288" s="234">
        <f t="shared" si="24"/>
        <v>0</v>
      </c>
      <c r="K288" s="234">
        <f t="shared" si="24"/>
        <v>0</v>
      </c>
      <c r="L288" s="234">
        <f t="shared" si="24"/>
        <v>0</v>
      </c>
      <c r="M288" s="234">
        <f t="shared" si="24"/>
        <v>200</v>
      </c>
      <c r="N288" s="234">
        <f t="shared" si="24"/>
        <v>0</v>
      </c>
      <c r="O288" s="234">
        <f t="shared" si="24"/>
        <v>800</v>
      </c>
      <c r="P288" s="235">
        <f t="shared" si="24"/>
        <v>1000</v>
      </c>
    </row>
    <row r="289" spans="1:16" x14ac:dyDescent="0.25">
      <c r="A289" s="232">
        <v>6210</v>
      </c>
      <c r="B289" s="108" t="s">
        <v>536</v>
      </c>
      <c r="C289" s="123"/>
      <c r="D289" s="363">
        <f t="shared" si="23"/>
        <v>0</v>
      </c>
      <c r="E289" s="124"/>
      <c r="F289" s="124"/>
      <c r="G289" s="124"/>
      <c r="H289" s="124"/>
      <c r="I289" s="124"/>
      <c r="J289" s="234">
        <f t="shared" si="24"/>
        <v>0</v>
      </c>
      <c r="K289" s="234">
        <f t="shared" si="24"/>
        <v>0</v>
      </c>
      <c r="L289" s="234">
        <f t="shared" si="24"/>
        <v>0</v>
      </c>
      <c r="M289" s="234">
        <f t="shared" si="24"/>
        <v>0</v>
      </c>
      <c r="N289" s="234">
        <f t="shared" si="24"/>
        <v>0</v>
      </c>
      <c r="O289" s="234">
        <f t="shared" si="24"/>
        <v>0</v>
      </c>
      <c r="P289" s="235">
        <f t="shared" si="24"/>
        <v>0</v>
      </c>
    </row>
    <row r="290" spans="1:16" x14ac:dyDescent="0.25">
      <c r="A290" s="232">
        <v>6210</v>
      </c>
      <c r="B290" s="108" t="s">
        <v>36</v>
      </c>
      <c r="C290" s="123"/>
      <c r="D290" s="363">
        <f t="shared" si="23"/>
        <v>0</v>
      </c>
      <c r="E290" s="124"/>
      <c r="F290" s="124"/>
      <c r="G290" s="124"/>
      <c r="H290" s="124"/>
      <c r="I290" s="124"/>
      <c r="J290" s="234">
        <f t="shared" si="24"/>
        <v>0</v>
      </c>
      <c r="K290" s="234">
        <f t="shared" si="24"/>
        <v>0</v>
      </c>
      <c r="L290" s="234">
        <f t="shared" si="24"/>
        <v>0</v>
      </c>
      <c r="M290" s="234">
        <f t="shared" si="24"/>
        <v>0</v>
      </c>
      <c r="N290" s="234">
        <f t="shared" si="24"/>
        <v>0</v>
      </c>
      <c r="O290" s="234">
        <f t="shared" si="24"/>
        <v>0</v>
      </c>
      <c r="P290" s="235">
        <f t="shared" si="24"/>
        <v>0</v>
      </c>
    </row>
    <row r="291" spans="1:16" x14ac:dyDescent="0.25">
      <c r="A291" s="232">
        <v>6210</v>
      </c>
      <c r="B291" s="85" t="s">
        <v>31</v>
      </c>
      <c r="C291" s="123"/>
      <c r="D291" s="363">
        <f t="shared" si="23"/>
        <v>0</v>
      </c>
      <c r="E291" s="124"/>
      <c r="F291" s="124"/>
      <c r="G291" s="124"/>
      <c r="H291" s="124"/>
      <c r="I291" s="124"/>
      <c r="J291" s="234">
        <f t="shared" ref="J291:P300" si="25">SUMIFS(J$28:J$279,$A$28:$A$279,$A291,$B$28:$B$279,$B291)</f>
        <v>0</v>
      </c>
      <c r="K291" s="234">
        <f t="shared" si="25"/>
        <v>0</v>
      </c>
      <c r="L291" s="234">
        <f t="shared" si="25"/>
        <v>0</v>
      </c>
      <c r="M291" s="234">
        <f t="shared" si="25"/>
        <v>0</v>
      </c>
      <c r="N291" s="234">
        <f t="shared" si="25"/>
        <v>0</v>
      </c>
      <c r="O291" s="234">
        <f t="shared" si="25"/>
        <v>0</v>
      </c>
      <c r="P291" s="235">
        <f t="shared" si="25"/>
        <v>0</v>
      </c>
    </row>
    <row r="292" spans="1:16" x14ac:dyDescent="0.25">
      <c r="A292" s="232">
        <v>6210</v>
      </c>
      <c r="B292" s="85" t="s">
        <v>30</v>
      </c>
      <c r="C292" s="123"/>
      <c r="D292" s="363">
        <f t="shared" si="23"/>
        <v>0</v>
      </c>
      <c r="E292" s="124"/>
      <c r="F292" s="124"/>
      <c r="G292" s="124"/>
      <c r="H292" s="124"/>
      <c r="I292" s="124"/>
      <c r="J292" s="234">
        <f t="shared" si="25"/>
        <v>0</v>
      </c>
      <c r="K292" s="234">
        <f t="shared" si="25"/>
        <v>0</v>
      </c>
      <c r="L292" s="234">
        <f t="shared" si="25"/>
        <v>0</v>
      </c>
      <c r="M292" s="234">
        <f t="shared" si="25"/>
        <v>0</v>
      </c>
      <c r="N292" s="234">
        <f t="shared" si="25"/>
        <v>0</v>
      </c>
      <c r="O292" s="234">
        <f t="shared" si="25"/>
        <v>0</v>
      </c>
      <c r="P292" s="235">
        <f t="shared" si="25"/>
        <v>0</v>
      </c>
    </row>
    <row r="293" spans="1:16" x14ac:dyDescent="0.25">
      <c r="A293" s="232">
        <v>6210</v>
      </c>
      <c r="B293" s="85" t="s">
        <v>38</v>
      </c>
      <c r="C293" s="123"/>
      <c r="D293" s="363">
        <f t="shared" si="23"/>
        <v>11</v>
      </c>
      <c r="E293" s="124"/>
      <c r="F293" s="124"/>
      <c r="G293" s="124"/>
      <c r="H293" s="124"/>
      <c r="I293" s="124"/>
      <c r="J293" s="234">
        <f t="shared" si="25"/>
        <v>0</v>
      </c>
      <c r="K293" s="234">
        <f t="shared" si="25"/>
        <v>0</v>
      </c>
      <c r="L293" s="234">
        <f t="shared" si="25"/>
        <v>9000</v>
      </c>
      <c r="M293" s="234">
        <f t="shared" si="25"/>
        <v>0</v>
      </c>
      <c r="N293" s="234">
        <f t="shared" si="25"/>
        <v>500</v>
      </c>
      <c r="O293" s="234">
        <f t="shared" si="25"/>
        <v>3000</v>
      </c>
      <c r="P293" s="235">
        <f t="shared" si="25"/>
        <v>12500</v>
      </c>
    </row>
    <row r="294" spans="1:16" x14ac:dyDescent="0.25">
      <c r="A294" s="232">
        <v>6210</v>
      </c>
      <c r="B294" s="85" t="s">
        <v>684</v>
      </c>
      <c r="C294" s="123"/>
      <c r="D294" s="363">
        <f t="shared" si="23"/>
        <v>0</v>
      </c>
      <c r="E294" s="124"/>
      <c r="F294" s="124"/>
      <c r="G294" s="124"/>
      <c r="H294" s="124"/>
      <c r="I294" s="124"/>
      <c r="J294" s="234">
        <f t="shared" si="25"/>
        <v>0</v>
      </c>
      <c r="K294" s="234">
        <f t="shared" si="25"/>
        <v>0</v>
      </c>
      <c r="L294" s="234">
        <f t="shared" si="25"/>
        <v>0</v>
      </c>
      <c r="M294" s="234">
        <f t="shared" si="25"/>
        <v>0</v>
      </c>
      <c r="N294" s="234">
        <f t="shared" si="25"/>
        <v>0</v>
      </c>
      <c r="O294" s="234">
        <f t="shared" si="25"/>
        <v>0</v>
      </c>
      <c r="P294" s="235">
        <f t="shared" si="25"/>
        <v>0</v>
      </c>
    </row>
    <row r="295" spans="1:16" x14ac:dyDescent="0.25">
      <c r="A295" s="232">
        <v>6210</v>
      </c>
      <c r="B295" s="85" t="s">
        <v>33</v>
      </c>
      <c r="C295" s="123"/>
      <c r="D295" s="363">
        <f t="shared" si="23"/>
        <v>1</v>
      </c>
      <c r="E295" s="124"/>
      <c r="F295" s="124"/>
      <c r="G295" s="124"/>
      <c r="H295" s="124"/>
      <c r="I295" s="124"/>
      <c r="J295" s="234">
        <f t="shared" si="25"/>
        <v>0</v>
      </c>
      <c r="K295" s="234">
        <f t="shared" si="25"/>
        <v>0</v>
      </c>
      <c r="L295" s="234">
        <f t="shared" si="25"/>
        <v>6040</v>
      </c>
      <c r="M295" s="234">
        <f t="shared" si="25"/>
        <v>0</v>
      </c>
      <c r="N295" s="234">
        <f t="shared" si="25"/>
        <v>0</v>
      </c>
      <c r="O295" s="234">
        <f t="shared" si="25"/>
        <v>3960</v>
      </c>
      <c r="P295" s="235">
        <f t="shared" si="25"/>
        <v>10000</v>
      </c>
    </row>
    <row r="296" spans="1:16" x14ac:dyDescent="0.25">
      <c r="A296" s="232">
        <v>6210</v>
      </c>
      <c r="B296" s="85" t="s">
        <v>35</v>
      </c>
      <c r="C296" s="123"/>
      <c r="D296" s="363">
        <f t="shared" si="23"/>
        <v>0</v>
      </c>
      <c r="E296" s="124"/>
      <c r="F296" s="124"/>
      <c r="G296" s="124"/>
      <c r="H296" s="124"/>
      <c r="I296" s="124"/>
      <c r="J296" s="234">
        <f t="shared" si="25"/>
        <v>0</v>
      </c>
      <c r="K296" s="234">
        <f t="shared" si="25"/>
        <v>0</v>
      </c>
      <c r="L296" s="234">
        <f t="shared" si="25"/>
        <v>0</v>
      </c>
      <c r="M296" s="234">
        <f t="shared" si="25"/>
        <v>0</v>
      </c>
      <c r="N296" s="234">
        <f t="shared" si="25"/>
        <v>0</v>
      </c>
      <c r="O296" s="234">
        <f t="shared" si="25"/>
        <v>0</v>
      </c>
      <c r="P296" s="235">
        <f t="shared" si="25"/>
        <v>0</v>
      </c>
    </row>
    <row r="297" spans="1:16" x14ac:dyDescent="0.25">
      <c r="A297" s="232">
        <v>6210</v>
      </c>
      <c r="B297" s="108" t="s">
        <v>39</v>
      </c>
      <c r="C297" s="123"/>
      <c r="D297" s="363">
        <f t="shared" si="23"/>
        <v>0</v>
      </c>
      <c r="E297" s="124"/>
      <c r="F297" s="124"/>
      <c r="G297" s="124"/>
      <c r="H297" s="124"/>
      <c r="I297" s="124"/>
      <c r="J297" s="234">
        <f t="shared" si="25"/>
        <v>0</v>
      </c>
      <c r="K297" s="234">
        <f t="shared" si="25"/>
        <v>0</v>
      </c>
      <c r="L297" s="234">
        <f t="shared" si="25"/>
        <v>0</v>
      </c>
      <c r="M297" s="234">
        <f t="shared" si="25"/>
        <v>0</v>
      </c>
      <c r="N297" s="234">
        <f t="shared" si="25"/>
        <v>0</v>
      </c>
      <c r="O297" s="234">
        <f t="shared" si="25"/>
        <v>0</v>
      </c>
      <c r="P297" s="235">
        <f t="shared" si="25"/>
        <v>0</v>
      </c>
    </row>
    <row r="298" spans="1:16" ht="15.75" thickBot="1" x14ac:dyDescent="0.3">
      <c r="A298" s="232">
        <v>6210</v>
      </c>
      <c r="B298" s="108" t="s">
        <v>34</v>
      </c>
      <c r="C298" s="123"/>
      <c r="D298" s="363">
        <f t="shared" si="23"/>
        <v>1</v>
      </c>
      <c r="E298" s="124"/>
      <c r="F298" s="124"/>
      <c r="G298" s="124"/>
      <c r="H298" s="124"/>
      <c r="I298" s="124"/>
      <c r="J298" s="234">
        <f t="shared" si="25"/>
        <v>0</v>
      </c>
      <c r="K298" s="234">
        <f t="shared" si="25"/>
        <v>0</v>
      </c>
      <c r="L298" s="234">
        <f t="shared" si="25"/>
        <v>3000</v>
      </c>
      <c r="M298" s="234">
        <f t="shared" si="25"/>
        <v>0</v>
      </c>
      <c r="N298" s="234">
        <f t="shared" si="25"/>
        <v>0</v>
      </c>
      <c r="O298" s="234">
        <f t="shared" si="25"/>
        <v>2000</v>
      </c>
      <c r="P298" s="235">
        <f t="shared" si="25"/>
        <v>5000</v>
      </c>
    </row>
    <row r="299" spans="1:16" x14ac:dyDescent="0.25">
      <c r="A299" s="231">
        <v>6212</v>
      </c>
      <c r="B299" s="119" t="s">
        <v>28</v>
      </c>
      <c r="C299" s="120"/>
      <c r="D299" s="352">
        <f t="shared" si="23"/>
        <v>31</v>
      </c>
      <c r="E299" s="121"/>
      <c r="F299" s="121"/>
      <c r="G299" s="121"/>
      <c r="H299" s="121"/>
      <c r="I299" s="121"/>
      <c r="J299" s="236">
        <f t="shared" si="25"/>
        <v>6250</v>
      </c>
      <c r="K299" s="236">
        <f t="shared" si="25"/>
        <v>0</v>
      </c>
      <c r="L299" s="236">
        <f t="shared" si="25"/>
        <v>0</v>
      </c>
      <c r="M299" s="236">
        <f t="shared" si="25"/>
        <v>180</v>
      </c>
      <c r="N299" s="236">
        <f t="shared" si="25"/>
        <v>0</v>
      </c>
      <c r="O299" s="236">
        <f t="shared" si="25"/>
        <v>0</v>
      </c>
      <c r="P299" s="237">
        <f t="shared" si="25"/>
        <v>6430</v>
      </c>
    </row>
    <row r="300" spans="1:16" x14ac:dyDescent="0.25">
      <c r="A300" s="232">
        <v>6212</v>
      </c>
      <c r="B300" s="108" t="s">
        <v>27</v>
      </c>
      <c r="C300" s="123"/>
      <c r="D300" s="363">
        <f t="shared" si="23"/>
        <v>1</v>
      </c>
      <c r="E300" s="124"/>
      <c r="F300" s="124"/>
      <c r="G300" s="124"/>
      <c r="H300" s="124"/>
      <c r="I300" s="124"/>
      <c r="J300" s="234">
        <f t="shared" si="25"/>
        <v>0</v>
      </c>
      <c r="K300" s="234">
        <f t="shared" si="25"/>
        <v>0</v>
      </c>
      <c r="L300" s="234">
        <f t="shared" si="25"/>
        <v>0</v>
      </c>
      <c r="M300" s="234">
        <f t="shared" si="25"/>
        <v>0</v>
      </c>
      <c r="N300" s="234">
        <f t="shared" si="25"/>
        <v>0</v>
      </c>
      <c r="O300" s="234">
        <f t="shared" si="25"/>
        <v>5000</v>
      </c>
      <c r="P300" s="235">
        <f t="shared" si="25"/>
        <v>5000</v>
      </c>
    </row>
    <row r="301" spans="1:16" x14ac:dyDescent="0.25">
      <c r="A301" s="232">
        <v>6212</v>
      </c>
      <c r="B301" s="108" t="s">
        <v>32</v>
      </c>
      <c r="C301" s="123"/>
      <c r="D301" s="363">
        <f t="shared" si="23"/>
        <v>3</v>
      </c>
      <c r="E301" s="124"/>
      <c r="F301" s="124"/>
      <c r="G301" s="124"/>
      <c r="H301" s="124"/>
      <c r="I301" s="124"/>
      <c r="J301" s="234">
        <f t="shared" ref="J301:P310" si="26">SUMIFS(J$28:J$279,$A$28:$A$279,$A301,$B$28:$B$279,$B301)</f>
        <v>2880</v>
      </c>
      <c r="K301" s="234">
        <f t="shared" si="26"/>
        <v>0</v>
      </c>
      <c r="L301" s="234">
        <f t="shared" si="26"/>
        <v>0</v>
      </c>
      <c r="M301" s="234">
        <f t="shared" si="26"/>
        <v>0</v>
      </c>
      <c r="N301" s="234">
        <f t="shared" si="26"/>
        <v>0</v>
      </c>
      <c r="O301" s="234">
        <f t="shared" si="26"/>
        <v>0</v>
      </c>
      <c r="P301" s="235">
        <f t="shared" si="26"/>
        <v>2880</v>
      </c>
    </row>
    <row r="302" spans="1:16" x14ac:dyDescent="0.25">
      <c r="A302" s="232">
        <v>6212</v>
      </c>
      <c r="B302" s="351" t="s">
        <v>685</v>
      </c>
      <c r="C302" s="123"/>
      <c r="D302" s="363">
        <f t="shared" si="23"/>
        <v>2</v>
      </c>
      <c r="E302" s="124"/>
      <c r="F302" s="124"/>
      <c r="G302" s="124"/>
      <c r="H302" s="124"/>
      <c r="I302" s="124"/>
      <c r="J302" s="234">
        <f t="shared" si="26"/>
        <v>1200</v>
      </c>
      <c r="K302" s="234">
        <f t="shared" si="26"/>
        <v>0</v>
      </c>
      <c r="L302" s="234">
        <f t="shared" si="26"/>
        <v>300</v>
      </c>
      <c r="M302" s="234">
        <f t="shared" si="26"/>
        <v>0</v>
      </c>
      <c r="N302" s="234">
        <f t="shared" si="26"/>
        <v>0</v>
      </c>
      <c r="O302" s="234">
        <f t="shared" si="26"/>
        <v>1485</v>
      </c>
      <c r="P302" s="235">
        <f t="shared" si="26"/>
        <v>2985</v>
      </c>
    </row>
    <row r="303" spans="1:16" x14ac:dyDescent="0.25">
      <c r="A303" s="232">
        <v>6212</v>
      </c>
      <c r="B303" s="108" t="s">
        <v>41</v>
      </c>
      <c r="C303" s="123"/>
      <c r="D303" s="363">
        <f t="shared" si="23"/>
        <v>1</v>
      </c>
      <c r="E303" s="124"/>
      <c r="F303" s="124"/>
      <c r="G303" s="124"/>
      <c r="H303" s="124"/>
      <c r="I303" s="124"/>
      <c r="J303" s="234">
        <f t="shared" si="26"/>
        <v>300</v>
      </c>
      <c r="K303" s="234">
        <f t="shared" si="26"/>
        <v>0</v>
      </c>
      <c r="L303" s="234">
        <f t="shared" si="26"/>
        <v>0</v>
      </c>
      <c r="M303" s="234">
        <f t="shared" si="26"/>
        <v>0</v>
      </c>
      <c r="N303" s="234">
        <f t="shared" si="26"/>
        <v>0</v>
      </c>
      <c r="O303" s="234">
        <f t="shared" si="26"/>
        <v>0</v>
      </c>
      <c r="P303" s="235">
        <f t="shared" si="26"/>
        <v>300</v>
      </c>
    </row>
    <row r="304" spans="1:16" x14ac:dyDescent="0.25">
      <c r="A304" s="232">
        <v>6212</v>
      </c>
      <c r="B304" s="108" t="s">
        <v>775</v>
      </c>
      <c r="C304" s="123"/>
      <c r="D304" s="363">
        <f t="shared" si="23"/>
        <v>4</v>
      </c>
      <c r="E304" s="124"/>
      <c r="F304" s="124"/>
      <c r="G304" s="124"/>
      <c r="H304" s="124"/>
      <c r="I304" s="124"/>
      <c r="J304" s="234">
        <f t="shared" si="26"/>
        <v>0</v>
      </c>
      <c r="K304" s="234">
        <f t="shared" si="26"/>
        <v>0</v>
      </c>
      <c r="L304" s="234">
        <f t="shared" si="26"/>
        <v>0</v>
      </c>
      <c r="M304" s="234">
        <f t="shared" si="26"/>
        <v>0</v>
      </c>
      <c r="N304" s="234">
        <f t="shared" si="26"/>
        <v>0</v>
      </c>
      <c r="O304" s="234">
        <f t="shared" si="26"/>
        <v>3000</v>
      </c>
      <c r="P304" s="235">
        <f t="shared" si="26"/>
        <v>3000</v>
      </c>
    </row>
    <row r="305" spans="1:16" x14ac:dyDescent="0.25">
      <c r="A305" s="232">
        <v>6212</v>
      </c>
      <c r="B305" s="108" t="s">
        <v>37</v>
      </c>
      <c r="C305" s="123"/>
      <c r="D305" s="363">
        <f t="shared" si="23"/>
        <v>0</v>
      </c>
      <c r="E305" s="124"/>
      <c r="F305" s="124"/>
      <c r="G305" s="124"/>
      <c r="H305" s="124"/>
      <c r="I305" s="124"/>
      <c r="J305" s="234">
        <f t="shared" si="26"/>
        <v>0</v>
      </c>
      <c r="K305" s="234">
        <f t="shared" si="26"/>
        <v>0</v>
      </c>
      <c r="L305" s="234">
        <f t="shared" si="26"/>
        <v>0</v>
      </c>
      <c r="M305" s="234">
        <f t="shared" si="26"/>
        <v>0</v>
      </c>
      <c r="N305" s="234">
        <f t="shared" si="26"/>
        <v>0</v>
      </c>
      <c r="O305" s="234">
        <f t="shared" si="26"/>
        <v>0</v>
      </c>
      <c r="P305" s="235">
        <f t="shared" si="26"/>
        <v>0</v>
      </c>
    </row>
    <row r="306" spans="1:16" x14ac:dyDescent="0.25">
      <c r="A306" s="232">
        <v>6212</v>
      </c>
      <c r="B306" s="108" t="s">
        <v>29</v>
      </c>
      <c r="C306" s="123"/>
      <c r="D306" s="363">
        <f t="shared" si="23"/>
        <v>2</v>
      </c>
      <c r="E306" s="124"/>
      <c r="F306" s="124"/>
      <c r="G306" s="124"/>
      <c r="H306" s="124"/>
      <c r="I306" s="124"/>
      <c r="J306" s="234">
        <f t="shared" si="26"/>
        <v>3500</v>
      </c>
      <c r="K306" s="234">
        <f t="shared" si="26"/>
        <v>500</v>
      </c>
      <c r="L306" s="234">
        <f t="shared" si="26"/>
        <v>0</v>
      </c>
      <c r="M306" s="234">
        <f t="shared" si="26"/>
        <v>250</v>
      </c>
      <c r="N306" s="234">
        <f t="shared" si="26"/>
        <v>550</v>
      </c>
      <c r="O306" s="234">
        <f t="shared" si="26"/>
        <v>1200</v>
      </c>
      <c r="P306" s="235">
        <f t="shared" si="26"/>
        <v>6000</v>
      </c>
    </row>
    <row r="307" spans="1:16" x14ac:dyDescent="0.25">
      <c r="A307" s="232">
        <v>6212</v>
      </c>
      <c r="B307" s="108" t="s">
        <v>536</v>
      </c>
      <c r="C307" s="123"/>
      <c r="D307" s="363">
        <f t="shared" si="23"/>
        <v>4</v>
      </c>
      <c r="E307" s="124"/>
      <c r="F307" s="124"/>
      <c r="G307" s="124"/>
      <c r="H307" s="124"/>
      <c r="I307" s="124"/>
      <c r="J307" s="234">
        <f t="shared" si="26"/>
        <v>1000</v>
      </c>
      <c r="K307" s="234">
        <f t="shared" si="26"/>
        <v>0</v>
      </c>
      <c r="L307" s="234">
        <f t="shared" si="26"/>
        <v>0</v>
      </c>
      <c r="M307" s="234">
        <f t="shared" si="26"/>
        <v>0</v>
      </c>
      <c r="N307" s="234">
        <f t="shared" si="26"/>
        <v>0</v>
      </c>
      <c r="O307" s="234">
        <f t="shared" si="26"/>
        <v>0</v>
      </c>
      <c r="P307" s="235">
        <f t="shared" si="26"/>
        <v>1000</v>
      </c>
    </row>
    <row r="308" spans="1:16" x14ac:dyDescent="0.25">
      <c r="A308" s="232">
        <v>6212</v>
      </c>
      <c r="B308" s="108" t="s">
        <v>36</v>
      </c>
      <c r="C308" s="123"/>
      <c r="D308" s="363">
        <f t="shared" si="23"/>
        <v>7</v>
      </c>
      <c r="E308" s="124"/>
      <c r="F308" s="124"/>
      <c r="G308" s="124"/>
      <c r="H308" s="124"/>
      <c r="I308" s="124"/>
      <c r="J308" s="234">
        <f t="shared" si="26"/>
        <v>30000</v>
      </c>
      <c r="K308" s="234">
        <f t="shared" si="26"/>
        <v>0</v>
      </c>
      <c r="L308" s="234">
        <f t="shared" si="26"/>
        <v>0</v>
      </c>
      <c r="M308" s="234">
        <f t="shared" si="26"/>
        <v>0</v>
      </c>
      <c r="N308" s="234">
        <f t="shared" si="26"/>
        <v>0</v>
      </c>
      <c r="O308" s="234">
        <f t="shared" si="26"/>
        <v>0</v>
      </c>
      <c r="P308" s="235">
        <f t="shared" si="26"/>
        <v>30000</v>
      </c>
    </row>
    <row r="309" spans="1:16" x14ac:dyDescent="0.25">
      <c r="A309" s="232">
        <v>6212</v>
      </c>
      <c r="B309" s="85" t="s">
        <v>31</v>
      </c>
      <c r="C309" s="123"/>
      <c r="D309" s="363">
        <f t="shared" si="23"/>
        <v>1</v>
      </c>
      <c r="E309" s="124"/>
      <c r="F309" s="124"/>
      <c r="G309" s="124"/>
      <c r="H309" s="124"/>
      <c r="I309" s="124"/>
      <c r="J309" s="234">
        <f t="shared" si="26"/>
        <v>1500</v>
      </c>
      <c r="K309" s="234">
        <f t="shared" si="26"/>
        <v>0</v>
      </c>
      <c r="L309" s="234">
        <f t="shared" si="26"/>
        <v>0</v>
      </c>
      <c r="M309" s="234">
        <f t="shared" si="26"/>
        <v>0</v>
      </c>
      <c r="N309" s="234">
        <f t="shared" si="26"/>
        <v>0</v>
      </c>
      <c r="O309" s="234">
        <f t="shared" si="26"/>
        <v>0</v>
      </c>
      <c r="P309" s="235">
        <f t="shared" si="26"/>
        <v>1500</v>
      </c>
    </row>
    <row r="310" spans="1:16" x14ac:dyDescent="0.25">
      <c r="A310" s="232">
        <v>6212</v>
      </c>
      <c r="B310" s="85" t="s">
        <v>30</v>
      </c>
      <c r="C310" s="123"/>
      <c r="D310" s="363">
        <f t="shared" si="23"/>
        <v>0</v>
      </c>
      <c r="E310" s="124"/>
      <c r="F310" s="124"/>
      <c r="G310" s="124"/>
      <c r="H310" s="124"/>
      <c r="I310" s="124"/>
      <c r="J310" s="234">
        <f t="shared" si="26"/>
        <v>0</v>
      </c>
      <c r="K310" s="234">
        <f t="shared" si="26"/>
        <v>0</v>
      </c>
      <c r="L310" s="234">
        <f t="shared" si="26"/>
        <v>0</v>
      </c>
      <c r="M310" s="234">
        <f t="shared" si="26"/>
        <v>0</v>
      </c>
      <c r="N310" s="234">
        <f t="shared" si="26"/>
        <v>0</v>
      </c>
      <c r="O310" s="234">
        <f t="shared" si="26"/>
        <v>0</v>
      </c>
      <c r="P310" s="235">
        <f t="shared" si="26"/>
        <v>0</v>
      </c>
    </row>
    <row r="311" spans="1:16" x14ac:dyDescent="0.25">
      <c r="A311" s="232">
        <v>6212</v>
      </c>
      <c r="B311" s="85" t="s">
        <v>38</v>
      </c>
      <c r="C311" s="123"/>
      <c r="D311" s="363">
        <f t="shared" si="23"/>
        <v>1</v>
      </c>
      <c r="E311" s="124"/>
      <c r="F311" s="124"/>
      <c r="G311" s="124"/>
      <c r="H311" s="124"/>
      <c r="I311" s="124"/>
      <c r="J311" s="234">
        <f t="shared" ref="J311:P320" si="27">SUMIFS(J$28:J$279,$A$28:$A$279,$A311,$B$28:$B$279,$B311)</f>
        <v>500</v>
      </c>
      <c r="K311" s="234">
        <f t="shared" si="27"/>
        <v>0</v>
      </c>
      <c r="L311" s="234">
        <f t="shared" si="27"/>
        <v>0</v>
      </c>
      <c r="M311" s="234">
        <f t="shared" si="27"/>
        <v>100</v>
      </c>
      <c r="N311" s="234">
        <f t="shared" si="27"/>
        <v>150</v>
      </c>
      <c r="O311" s="234">
        <f t="shared" si="27"/>
        <v>250</v>
      </c>
      <c r="P311" s="235">
        <f t="shared" si="27"/>
        <v>0</v>
      </c>
    </row>
    <row r="312" spans="1:16" x14ac:dyDescent="0.25">
      <c r="A312" s="232">
        <v>6212</v>
      </c>
      <c r="B312" s="85" t="s">
        <v>684</v>
      </c>
      <c r="C312" s="123"/>
      <c r="D312" s="363">
        <f t="shared" si="23"/>
        <v>1</v>
      </c>
      <c r="E312" s="124"/>
      <c r="F312" s="124"/>
      <c r="G312" s="124"/>
      <c r="H312" s="124"/>
      <c r="I312" s="124"/>
      <c r="J312" s="234">
        <f t="shared" si="27"/>
        <v>5000</v>
      </c>
      <c r="K312" s="234">
        <f t="shared" si="27"/>
        <v>0</v>
      </c>
      <c r="L312" s="234">
        <f t="shared" si="27"/>
        <v>0</v>
      </c>
      <c r="M312" s="234">
        <f t="shared" si="27"/>
        <v>0</v>
      </c>
      <c r="N312" s="234">
        <f t="shared" si="27"/>
        <v>0</v>
      </c>
      <c r="O312" s="234">
        <f t="shared" si="27"/>
        <v>0</v>
      </c>
      <c r="P312" s="235">
        <f t="shared" si="27"/>
        <v>5000</v>
      </c>
    </row>
    <row r="313" spans="1:16" x14ac:dyDescent="0.25">
      <c r="A313" s="232">
        <v>6212</v>
      </c>
      <c r="B313" s="85" t="s">
        <v>33</v>
      </c>
      <c r="C313" s="123"/>
      <c r="D313" s="363">
        <f t="shared" ref="D313:D344" si="28">COUNTIFS($A$28:$A$279,$A313,$B$28:$B$279,$B313)</f>
        <v>0</v>
      </c>
      <c r="E313" s="124"/>
      <c r="F313" s="124"/>
      <c r="G313" s="124"/>
      <c r="H313" s="124"/>
      <c r="I313" s="124"/>
      <c r="J313" s="234">
        <f t="shared" si="27"/>
        <v>0</v>
      </c>
      <c r="K313" s="234">
        <f t="shared" si="27"/>
        <v>0</v>
      </c>
      <c r="L313" s="234">
        <f t="shared" si="27"/>
        <v>0</v>
      </c>
      <c r="M313" s="234">
        <f t="shared" si="27"/>
        <v>0</v>
      </c>
      <c r="N313" s="234">
        <f t="shared" si="27"/>
        <v>0</v>
      </c>
      <c r="O313" s="234">
        <f t="shared" si="27"/>
        <v>0</v>
      </c>
      <c r="P313" s="235">
        <f t="shared" si="27"/>
        <v>0</v>
      </c>
    </row>
    <row r="314" spans="1:16" x14ac:dyDescent="0.25">
      <c r="A314" s="232">
        <v>6212</v>
      </c>
      <c r="B314" s="85" t="s">
        <v>35</v>
      </c>
      <c r="C314" s="123"/>
      <c r="D314" s="363">
        <f t="shared" si="28"/>
        <v>0</v>
      </c>
      <c r="E314" s="124"/>
      <c r="F314" s="124"/>
      <c r="G314" s="124"/>
      <c r="H314" s="124"/>
      <c r="I314" s="124"/>
      <c r="J314" s="234">
        <f t="shared" si="27"/>
        <v>0</v>
      </c>
      <c r="K314" s="234">
        <f t="shared" si="27"/>
        <v>0</v>
      </c>
      <c r="L314" s="234">
        <f t="shared" si="27"/>
        <v>0</v>
      </c>
      <c r="M314" s="234">
        <f t="shared" si="27"/>
        <v>0</v>
      </c>
      <c r="N314" s="234">
        <f t="shared" si="27"/>
        <v>0</v>
      </c>
      <c r="O314" s="234">
        <f t="shared" si="27"/>
        <v>0</v>
      </c>
      <c r="P314" s="235">
        <f t="shared" si="27"/>
        <v>0</v>
      </c>
    </row>
    <row r="315" spans="1:16" x14ac:dyDescent="0.25">
      <c r="A315" s="232">
        <v>6212</v>
      </c>
      <c r="B315" s="108" t="s">
        <v>39</v>
      </c>
      <c r="C315" s="123"/>
      <c r="D315" s="363">
        <f t="shared" si="28"/>
        <v>0</v>
      </c>
      <c r="E315" s="124"/>
      <c r="F315" s="124"/>
      <c r="G315" s="124"/>
      <c r="H315" s="124"/>
      <c r="I315" s="124"/>
      <c r="J315" s="234">
        <f t="shared" si="27"/>
        <v>0</v>
      </c>
      <c r="K315" s="234">
        <f t="shared" si="27"/>
        <v>0</v>
      </c>
      <c r="L315" s="234">
        <f t="shared" si="27"/>
        <v>0</v>
      </c>
      <c r="M315" s="234">
        <f t="shared" si="27"/>
        <v>0</v>
      </c>
      <c r="N315" s="234">
        <f t="shared" si="27"/>
        <v>0</v>
      </c>
      <c r="O315" s="234">
        <f t="shared" si="27"/>
        <v>0</v>
      </c>
      <c r="P315" s="235">
        <f t="shared" si="27"/>
        <v>0</v>
      </c>
    </row>
    <row r="316" spans="1:16" ht="15.75" thickBot="1" x14ac:dyDescent="0.3">
      <c r="A316" s="232">
        <v>6212</v>
      </c>
      <c r="B316" s="108" t="s">
        <v>34</v>
      </c>
      <c r="C316" s="123"/>
      <c r="D316" s="363">
        <f t="shared" si="28"/>
        <v>0</v>
      </c>
      <c r="E316" s="124"/>
      <c r="F316" s="124"/>
      <c r="G316" s="124"/>
      <c r="H316" s="124"/>
      <c r="I316" s="124"/>
      <c r="J316" s="234">
        <f t="shared" si="27"/>
        <v>0</v>
      </c>
      <c r="K316" s="234">
        <f t="shared" si="27"/>
        <v>0</v>
      </c>
      <c r="L316" s="234">
        <f t="shared" si="27"/>
        <v>0</v>
      </c>
      <c r="M316" s="234">
        <f t="shared" si="27"/>
        <v>0</v>
      </c>
      <c r="N316" s="234">
        <f t="shared" si="27"/>
        <v>0</v>
      </c>
      <c r="O316" s="234">
        <f t="shared" si="27"/>
        <v>0</v>
      </c>
      <c r="P316" s="235">
        <f t="shared" si="27"/>
        <v>0</v>
      </c>
    </row>
    <row r="317" spans="1:16" x14ac:dyDescent="0.25">
      <c r="A317" s="233">
        <v>6215</v>
      </c>
      <c r="B317" s="119" t="s">
        <v>28</v>
      </c>
      <c r="C317" s="120"/>
      <c r="D317" s="352">
        <f t="shared" si="28"/>
        <v>0</v>
      </c>
      <c r="E317" s="121"/>
      <c r="F317" s="121"/>
      <c r="G317" s="121"/>
      <c r="H317" s="121"/>
      <c r="I317" s="121"/>
      <c r="J317" s="236">
        <f t="shared" si="27"/>
        <v>0</v>
      </c>
      <c r="K317" s="236">
        <f t="shared" si="27"/>
        <v>0</v>
      </c>
      <c r="L317" s="236">
        <f t="shared" si="27"/>
        <v>0</v>
      </c>
      <c r="M317" s="236">
        <f t="shared" si="27"/>
        <v>0</v>
      </c>
      <c r="N317" s="236">
        <f t="shared" si="27"/>
        <v>0</v>
      </c>
      <c r="O317" s="236">
        <f t="shared" si="27"/>
        <v>0</v>
      </c>
      <c r="P317" s="237">
        <f t="shared" si="27"/>
        <v>0</v>
      </c>
    </row>
    <row r="318" spans="1:16" x14ac:dyDescent="0.25">
      <c r="A318" s="232">
        <v>6215</v>
      </c>
      <c r="B318" s="108" t="s">
        <v>27</v>
      </c>
      <c r="C318" s="123"/>
      <c r="D318" s="363">
        <f t="shared" si="28"/>
        <v>0</v>
      </c>
      <c r="E318" s="124"/>
      <c r="F318" s="124"/>
      <c r="G318" s="124"/>
      <c r="H318" s="124"/>
      <c r="I318" s="124"/>
      <c r="J318" s="234">
        <f t="shared" si="27"/>
        <v>0</v>
      </c>
      <c r="K318" s="234">
        <f t="shared" si="27"/>
        <v>0</v>
      </c>
      <c r="L318" s="234">
        <f t="shared" si="27"/>
        <v>0</v>
      </c>
      <c r="M318" s="234">
        <f t="shared" si="27"/>
        <v>0</v>
      </c>
      <c r="N318" s="234">
        <f t="shared" si="27"/>
        <v>0</v>
      </c>
      <c r="O318" s="234">
        <f t="shared" si="27"/>
        <v>0</v>
      </c>
      <c r="P318" s="235">
        <f t="shared" si="27"/>
        <v>0</v>
      </c>
    </row>
    <row r="319" spans="1:16" x14ac:dyDescent="0.25">
      <c r="A319" s="232">
        <v>6215</v>
      </c>
      <c r="B319" s="108" t="s">
        <v>32</v>
      </c>
      <c r="C319" s="123"/>
      <c r="D319" s="363">
        <f t="shared" si="28"/>
        <v>0</v>
      </c>
      <c r="E319" s="124"/>
      <c r="F319" s="124"/>
      <c r="G319" s="124"/>
      <c r="H319" s="124"/>
      <c r="I319" s="124"/>
      <c r="J319" s="234">
        <f t="shared" si="27"/>
        <v>0</v>
      </c>
      <c r="K319" s="234">
        <f t="shared" si="27"/>
        <v>0</v>
      </c>
      <c r="L319" s="234">
        <f t="shared" si="27"/>
        <v>0</v>
      </c>
      <c r="M319" s="234">
        <f t="shared" si="27"/>
        <v>0</v>
      </c>
      <c r="N319" s="234">
        <f t="shared" si="27"/>
        <v>0</v>
      </c>
      <c r="O319" s="234">
        <f t="shared" si="27"/>
        <v>0</v>
      </c>
      <c r="P319" s="235">
        <f t="shared" si="27"/>
        <v>0</v>
      </c>
    </row>
    <row r="320" spans="1:16" x14ac:dyDescent="0.25">
      <c r="A320" s="232">
        <v>6215</v>
      </c>
      <c r="B320" s="351" t="s">
        <v>685</v>
      </c>
      <c r="C320" s="123"/>
      <c r="D320" s="363">
        <f t="shared" si="28"/>
        <v>0</v>
      </c>
      <c r="E320" s="124"/>
      <c r="F320" s="124"/>
      <c r="G320" s="124"/>
      <c r="H320" s="124"/>
      <c r="I320" s="124"/>
      <c r="J320" s="234">
        <f t="shared" si="27"/>
        <v>0</v>
      </c>
      <c r="K320" s="234">
        <f t="shared" si="27"/>
        <v>0</v>
      </c>
      <c r="L320" s="234">
        <f t="shared" si="27"/>
        <v>0</v>
      </c>
      <c r="M320" s="234">
        <f t="shared" si="27"/>
        <v>0</v>
      </c>
      <c r="N320" s="234">
        <f t="shared" si="27"/>
        <v>0</v>
      </c>
      <c r="O320" s="234">
        <f t="shared" si="27"/>
        <v>0</v>
      </c>
      <c r="P320" s="235">
        <f t="shared" si="27"/>
        <v>0</v>
      </c>
    </row>
    <row r="321" spans="1:16" x14ac:dyDescent="0.25">
      <c r="A321" s="232">
        <v>6215</v>
      </c>
      <c r="B321" s="108" t="s">
        <v>41</v>
      </c>
      <c r="C321" s="123"/>
      <c r="D321" s="363">
        <f t="shared" si="28"/>
        <v>0</v>
      </c>
      <c r="E321" s="124"/>
      <c r="F321" s="124"/>
      <c r="G321" s="124"/>
      <c r="H321" s="124"/>
      <c r="I321" s="124"/>
      <c r="J321" s="234">
        <f t="shared" ref="J321:P330" si="29">SUMIFS(J$28:J$279,$A$28:$A$279,$A321,$B$28:$B$279,$B321)</f>
        <v>0</v>
      </c>
      <c r="K321" s="234">
        <f t="shared" si="29"/>
        <v>0</v>
      </c>
      <c r="L321" s="234">
        <f t="shared" si="29"/>
        <v>0</v>
      </c>
      <c r="M321" s="234">
        <f t="shared" si="29"/>
        <v>0</v>
      </c>
      <c r="N321" s="234">
        <f t="shared" si="29"/>
        <v>0</v>
      </c>
      <c r="O321" s="234">
        <f t="shared" si="29"/>
        <v>0</v>
      </c>
      <c r="P321" s="235">
        <f t="shared" si="29"/>
        <v>0</v>
      </c>
    </row>
    <row r="322" spans="1:16" x14ac:dyDescent="0.25">
      <c r="A322" s="232">
        <v>6215</v>
      </c>
      <c r="B322" s="108" t="s">
        <v>775</v>
      </c>
      <c r="C322" s="123"/>
      <c r="D322" s="363">
        <f t="shared" si="28"/>
        <v>0</v>
      </c>
      <c r="E322" s="124"/>
      <c r="F322" s="124"/>
      <c r="G322" s="124"/>
      <c r="H322" s="124"/>
      <c r="I322" s="124"/>
      <c r="J322" s="234">
        <f t="shared" si="29"/>
        <v>0</v>
      </c>
      <c r="K322" s="234">
        <f t="shared" si="29"/>
        <v>0</v>
      </c>
      <c r="L322" s="234">
        <f t="shared" si="29"/>
        <v>0</v>
      </c>
      <c r="M322" s="234">
        <f t="shared" si="29"/>
        <v>0</v>
      </c>
      <c r="N322" s="234">
        <f t="shared" si="29"/>
        <v>0</v>
      </c>
      <c r="O322" s="234">
        <f t="shared" si="29"/>
        <v>0</v>
      </c>
      <c r="P322" s="235">
        <f t="shared" si="29"/>
        <v>0</v>
      </c>
    </row>
    <row r="323" spans="1:16" x14ac:dyDescent="0.25">
      <c r="A323" s="232">
        <v>6215</v>
      </c>
      <c r="B323" s="108" t="s">
        <v>37</v>
      </c>
      <c r="C323" s="123"/>
      <c r="D323" s="363">
        <f t="shared" si="28"/>
        <v>0</v>
      </c>
      <c r="E323" s="124"/>
      <c r="F323" s="124"/>
      <c r="G323" s="124"/>
      <c r="H323" s="124"/>
      <c r="I323" s="124"/>
      <c r="J323" s="234">
        <f t="shared" si="29"/>
        <v>0</v>
      </c>
      <c r="K323" s="234">
        <f t="shared" si="29"/>
        <v>0</v>
      </c>
      <c r="L323" s="234">
        <f t="shared" si="29"/>
        <v>0</v>
      </c>
      <c r="M323" s="234">
        <f t="shared" si="29"/>
        <v>0</v>
      </c>
      <c r="N323" s="234">
        <f t="shared" si="29"/>
        <v>0</v>
      </c>
      <c r="O323" s="234">
        <f t="shared" si="29"/>
        <v>0</v>
      </c>
      <c r="P323" s="235">
        <f t="shared" si="29"/>
        <v>0</v>
      </c>
    </row>
    <row r="324" spans="1:16" x14ac:dyDescent="0.25">
      <c r="A324" s="232">
        <v>6215</v>
      </c>
      <c r="B324" s="108" t="s">
        <v>29</v>
      </c>
      <c r="C324" s="123"/>
      <c r="D324" s="363">
        <f t="shared" si="28"/>
        <v>0</v>
      </c>
      <c r="E324" s="124"/>
      <c r="F324" s="124"/>
      <c r="G324" s="124"/>
      <c r="H324" s="124"/>
      <c r="I324" s="124"/>
      <c r="J324" s="234">
        <f t="shared" si="29"/>
        <v>0</v>
      </c>
      <c r="K324" s="234">
        <f t="shared" si="29"/>
        <v>0</v>
      </c>
      <c r="L324" s="234">
        <f t="shared" si="29"/>
        <v>0</v>
      </c>
      <c r="M324" s="234">
        <f t="shared" si="29"/>
        <v>0</v>
      </c>
      <c r="N324" s="234">
        <f t="shared" si="29"/>
        <v>0</v>
      </c>
      <c r="O324" s="234">
        <f t="shared" si="29"/>
        <v>0</v>
      </c>
      <c r="P324" s="235">
        <f t="shared" si="29"/>
        <v>0</v>
      </c>
    </row>
    <row r="325" spans="1:16" x14ac:dyDescent="0.25">
      <c r="A325" s="232">
        <v>6215</v>
      </c>
      <c r="B325" s="108" t="s">
        <v>536</v>
      </c>
      <c r="C325" s="123"/>
      <c r="D325" s="363">
        <f t="shared" si="28"/>
        <v>0</v>
      </c>
      <c r="E325" s="124"/>
      <c r="F325" s="124"/>
      <c r="G325" s="124"/>
      <c r="H325" s="124"/>
      <c r="I325" s="124"/>
      <c r="J325" s="234">
        <f t="shared" si="29"/>
        <v>0</v>
      </c>
      <c r="K325" s="234">
        <f t="shared" si="29"/>
        <v>0</v>
      </c>
      <c r="L325" s="234">
        <f t="shared" si="29"/>
        <v>0</v>
      </c>
      <c r="M325" s="234">
        <f t="shared" si="29"/>
        <v>0</v>
      </c>
      <c r="N325" s="234">
        <f t="shared" si="29"/>
        <v>0</v>
      </c>
      <c r="O325" s="234">
        <f t="shared" si="29"/>
        <v>0</v>
      </c>
      <c r="P325" s="235">
        <f t="shared" si="29"/>
        <v>0</v>
      </c>
    </row>
    <row r="326" spans="1:16" x14ac:dyDescent="0.25">
      <c r="A326" s="232">
        <v>6215</v>
      </c>
      <c r="B326" s="108" t="s">
        <v>36</v>
      </c>
      <c r="C326" s="123"/>
      <c r="D326" s="363">
        <f t="shared" si="28"/>
        <v>0</v>
      </c>
      <c r="E326" s="124"/>
      <c r="F326" s="124"/>
      <c r="G326" s="124"/>
      <c r="H326" s="124"/>
      <c r="I326" s="124"/>
      <c r="J326" s="234">
        <f t="shared" si="29"/>
        <v>0</v>
      </c>
      <c r="K326" s="234">
        <f t="shared" si="29"/>
        <v>0</v>
      </c>
      <c r="L326" s="234">
        <f t="shared" si="29"/>
        <v>0</v>
      </c>
      <c r="M326" s="234">
        <f t="shared" si="29"/>
        <v>0</v>
      </c>
      <c r="N326" s="234">
        <f t="shared" si="29"/>
        <v>0</v>
      </c>
      <c r="O326" s="234">
        <f t="shared" si="29"/>
        <v>0</v>
      </c>
      <c r="P326" s="235">
        <f t="shared" si="29"/>
        <v>0</v>
      </c>
    </row>
    <row r="327" spans="1:16" x14ac:dyDescent="0.25">
      <c r="A327" s="232">
        <v>6215</v>
      </c>
      <c r="B327" s="85" t="s">
        <v>31</v>
      </c>
      <c r="C327" s="123"/>
      <c r="D327" s="363">
        <f t="shared" si="28"/>
        <v>0</v>
      </c>
      <c r="E327" s="124"/>
      <c r="F327" s="124"/>
      <c r="G327" s="124"/>
      <c r="H327" s="124"/>
      <c r="I327" s="124"/>
      <c r="J327" s="234">
        <f t="shared" si="29"/>
        <v>0</v>
      </c>
      <c r="K327" s="234">
        <f t="shared" si="29"/>
        <v>0</v>
      </c>
      <c r="L327" s="234">
        <f t="shared" si="29"/>
        <v>0</v>
      </c>
      <c r="M327" s="234">
        <f t="shared" si="29"/>
        <v>0</v>
      </c>
      <c r="N327" s="234">
        <f t="shared" si="29"/>
        <v>0</v>
      </c>
      <c r="O327" s="234">
        <f t="shared" si="29"/>
        <v>0</v>
      </c>
      <c r="P327" s="235">
        <f t="shared" si="29"/>
        <v>0</v>
      </c>
    </row>
    <row r="328" spans="1:16" x14ac:dyDescent="0.25">
      <c r="A328" s="232">
        <v>6215</v>
      </c>
      <c r="B328" s="85" t="s">
        <v>30</v>
      </c>
      <c r="C328" s="123"/>
      <c r="D328" s="363">
        <f t="shared" si="28"/>
        <v>0</v>
      </c>
      <c r="E328" s="124"/>
      <c r="F328" s="124"/>
      <c r="G328" s="124"/>
      <c r="H328" s="124"/>
      <c r="I328" s="124"/>
      <c r="J328" s="234">
        <f t="shared" si="29"/>
        <v>0</v>
      </c>
      <c r="K328" s="234">
        <f t="shared" si="29"/>
        <v>0</v>
      </c>
      <c r="L328" s="234">
        <f t="shared" si="29"/>
        <v>0</v>
      </c>
      <c r="M328" s="234">
        <f t="shared" si="29"/>
        <v>0</v>
      </c>
      <c r="N328" s="234">
        <f t="shared" si="29"/>
        <v>0</v>
      </c>
      <c r="O328" s="234">
        <f t="shared" si="29"/>
        <v>0</v>
      </c>
      <c r="P328" s="235">
        <f t="shared" si="29"/>
        <v>0</v>
      </c>
    </row>
    <row r="329" spans="1:16" x14ac:dyDescent="0.25">
      <c r="A329" s="232">
        <v>6215</v>
      </c>
      <c r="B329" s="85" t="s">
        <v>38</v>
      </c>
      <c r="C329" s="123"/>
      <c r="D329" s="363">
        <f t="shared" si="28"/>
        <v>0</v>
      </c>
      <c r="E329" s="124"/>
      <c r="F329" s="124"/>
      <c r="G329" s="124"/>
      <c r="H329" s="124"/>
      <c r="I329" s="124"/>
      <c r="J329" s="234">
        <f t="shared" si="29"/>
        <v>0</v>
      </c>
      <c r="K329" s="234">
        <f t="shared" si="29"/>
        <v>0</v>
      </c>
      <c r="L329" s="234">
        <f t="shared" si="29"/>
        <v>0</v>
      </c>
      <c r="M329" s="234">
        <f t="shared" si="29"/>
        <v>0</v>
      </c>
      <c r="N329" s="234">
        <f t="shared" si="29"/>
        <v>0</v>
      </c>
      <c r="O329" s="234">
        <f t="shared" si="29"/>
        <v>0</v>
      </c>
      <c r="P329" s="235">
        <f t="shared" si="29"/>
        <v>0</v>
      </c>
    </row>
    <row r="330" spans="1:16" x14ac:dyDescent="0.25">
      <c r="A330" s="232">
        <v>6215</v>
      </c>
      <c r="B330" s="85" t="s">
        <v>684</v>
      </c>
      <c r="C330" s="123"/>
      <c r="D330" s="363">
        <f t="shared" si="28"/>
        <v>0</v>
      </c>
      <c r="E330" s="124"/>
      <c r="F330" s="124"/>
      <c r="G330" s="124"/>
      <c r="H330" s="124"/>
      <c r="I330" s="124"/>
      <c r="J330" s="234">
        <f t="shared" si="29"/>
        <v>0</v>
      </c>
      <c r="K330" s="234">
        <f t="shared" si="29"/>
        <v>0</v>
      </c>
      <c r="L330" s="234">
        <f t="shared" si="29"/>
        <v>0</v>
      </c>
      <c r="M330" s="234">
        <f t="shared" si="29"/>
        <v>0</v>
      </c>
      <c r="N330" s="234">
        <f t="shared" si="29"/>
        <v>0</v>
      </c>
      <c r="O330" s="234">
        <f t="shared" si="29"/>
        <v>0</v>
      </c>
      <c r="P330" s="235">
        <f t="shared" si="29"/>
        <v>0</v>
      </c>
    </row>
    <row r="331" spans="1:16" x14ac:dyDescent="0.25">
      <c r="A331" s="232">
        <v>6215</v>
      </c>
      <c r="B331" s="85" t="s">
        <v>33</v>
      </c>
      <c r="C331" s="123"/>
      <c r="D331" s="363">
        <f t="shared" si="28"/>
        <v>0</v>
      </c>
      <c r="E331" s="124"/>
      <c r="F331" s="124"/>
      <c r="G331" s="124"/>
      <c r="H331" s="124"/>
      <c r="I331" s="124"/>
      <c r="J331" s="234">
        <f t="shared" ref="J331:P340" si="30">SUMIFS(J$28:J$279,$A$28:$A$279,$A331,$B$28:$B$279,$B331)</f>
        <v>0</v>
      </c>
      <c r="K331" s="234">
        <f t="shared" si="30"/>
        <v>0</v>
      </c>
      <c r="L331" s="234">
        <f t="shared" si="30"/>
        <v>0</v>
      </c>
      <c r="M331" s="234">
        <f t="shared" si="30"/>
        <v>0</v>
      </c>
      <c r="N331" s="234">
        <f t="shared" si="30"/>
        <v>0</v>
      </c>
      <c r="O331" s="234">
        <f t="shared" si="30"/>
        <v>0</v>
      </c>
      <c r="P331" s="235">
        <f t="shared" si="30"/>
        <v>0</v>
      </c>
    </row>
    <row r="332" spans="1:16" x14ac:dyDescent="0.25">
      <c r="A332" s="232">
        <v>6215</v>
      </c>
      <c r="B332" s="85" t="s">
        <v>35</v>
      </c>
      <c r="C332" s="123"/>
      <c r="D332" s="363">
        <f t="shared" si="28"/>
        <v>0</v>
      </c>
      <c r="E332" s="124"/>
      <c r="F332" s="124"/>
      <c r="G332" s="124"/>
      <c r="H332" s="124"/>
      <c r="I332" s="124"/>
      <c r="J332" s="234">
        <f t="shared" si="30"/>
        <v>0</v>
      </c>
      <c r="K332" s="234">
        <f t="shared" si="30"/>
        <v>0</v>
      </c>
      <c r="L332" s="234">
        <f t="shared" si="30"/>
        <v>0</v>
      </c>
      <c r="M332" s="234">
        <f t="shared" si="30"/>
        <v>0</v>
      </c>
      <c r="N332" s="234">
        <f t="shared" si="30"/>
        <v>0</v>
      </c>
      <c r="O332" s="234">
        <f t="shared" si="30"/>
        <v>0</v>
      </c>
      <c r="P332" s="235">
        <f t="shared" si="30"/>
        <v>0</v>
      </c>
    </row>
    <row r="333" spans="1:16" x14ac:dyDescent="0.25">
      <c r="A333" s="232">
        <v>6215</v>
      </c>
      <c r="B333" s="108" t="s">
        <v>39</v>
      </c>
      <c r="C333" s="123"/>
      <c r="D333" s="363">
        <f t="shared" si="28"/>
        <v>0</v>
      </c>
      <c r="E333" s="124"/>
      <c r="F333" s="124"/>
      <c r="G333" s="124"/>
      <c r="H333" s="124"/>
      <c r="I333" s="124"/>
      <c r="J333" s="234">
        <f t="shared" si="30"/>
        <v>0</v>
      </c>
      <c r="K333" s="234">
        <f t="shared" si="30"/>
        <v>0</v>
      </c>
      <c r="L333" s="234">
        <f t="shared" si="30"/>
        <v>0</v>
      </c>
      <c r="M333" s="234">
        <f t="shared" si="30"/>
        <v>0</v>
      </c>
      <c r="N333" s="234">
        <f t="shared" si="30"/>
        <v>0</v>
      </c>
      <c r="O333" s="234">
        <f t="shared" si="30"/>
        <v>0</v>
      </c>
      <c r="P333" s="235">
        <f t="shared" si="30"/>
        <v>0</v>
      </c>
    </row>
    <row r="334" spans="1:16" ht="15.75" thickBot="1" x14ac:dyDescent="0.3">
      <c r="A334" s="232">
        <v>6215</v>
      </c>
      <c r="B334" s="108" t="s">
        <v>34</v>
      </c>
      <c r="C334" s="123"/>
      <c r="D334" s="363">
        <f t="shared" si="28"/>
        <v>0</v>
      </c>
      <c r="E334" s="124"/>
      <c r="F334" s="124"/>
      <c r="G334" s="124"/>
      <c r="H334" s="124"/>
      <c r="I334" s="124"/>
      <c r="J334" s="234">
        <f t="shared" si="30"/>
        <v>0</v>
      </c>
      <c r="K334" s="234">
        <f t="shared" si="30"/>
        <v>0</v>
      </c>
      <c r="L334" s="234">
        <f t="shared" si="30"/>
        <v>0</v>
      </c>
      <c r="M334" s="234">
        <f t="shared" si="30"/>
        <v>0</v>
      </c>
      <c r="N334" s="234">
        <f t="shared" si="30"/>
        <v>0</v>
      </c>
      <c r="O334" s="234">
        <f t="shared" si="30"/>
        <v>0</v>
      </c>
      <c r="P334" s="235">
        <f t="shared" si="30"/>
        <v>0</v>
      </c>
    </row>
    <row r="335" spans="1:16" x14ac:dyDescent="0.25">
      <c r="A335" s="231">
        <v>6220</v>
      </c>
      <c r="B335" s="119" t="s">
        <v>28</v>
      </c>
      <c r="C335" s="120"/>
      <c r="D335" s="352">
        <f t="shared" si="28"/>
        <v>0</v>
      </c>
      <c r="E335" s="121"/>
      <c r="F335" s="121"/>
      <c r="G335" s="121"/>
      <c r="H335" s="121"/>
      <c r="I335" s="121"/>
      <c r="J335" s="236">
        <f t="shared" si="30"/>
        <v>0</v>
      </c>
      <c r="K335" s="236">
        <f t="shared" si="30"/>
        <v>0</v>
      </c>
      <c r="L335" s="236">
        <f t="shared" si="30"/>
        <v>0</v>
      </c>
      <c r="M335" s="236">
        <f t="shared" si="30"/>
        <v>0</v>
      </c>
      <c r="N335" s="236">
        <f t="shared" si="30"/>
        <v>0</v>
      </c>
      <c r="O335" s="236">
        <f t="shared" si="30"/>
        <v>0</v>
      </c>
      <c r="P335" s="237">
        <f t="shared" si="30"/>
        <v>0</v>
      </c>
    </row>
    <row r="336" spans="1:16" x14ac:dyDescent="0.25">
      <c r="A336" s="232">
        <v>6220</v>
      </c>
      <c r="B336" s="108" t="s">
        <v>27</v>
      </c>
      <c r="C336" s="123"/>
      <c r="D336" s="363">
        <f t="shared" si="28"/>
        <v>0</v>
      </c>
      <c r="E336" s="124"/>
      <c r="F336" s="124"/>
      <c r="G336" s="124"/>
      <c r="H336" s="124"/>
      <c r="I336" s="124"/>
      <c r="J336" s="234">
        <f t="shared" si="30"/>
        <v>0</v>
      </c>
      <c r="K336" s="234">
        <f t="shared" si="30"/>
        <v>0</v>
      </c>
      <c r="L336" s="234">
        <f t="shared" si="30"/>
        <v>0</v>
      </c>
      <c r="M336" s="234">
        <f t="shared" si="30"/>
        <v>0</v>
      </c>
      <c r="N336" s="234">
        <f t="shared" si="30"/>
        <v>0</v>
      </c>
      <c r="O336" s="234">
        <f t="shared" si="30"/>
        <v>0</v>
      </c>
      <c r="P336" s="235">
        <f t="shared" si="30"/>
        <v>0</v>
      </c>
    </row>
    <row r="337" spans="1:16" x14ac:dyDescent="0.25">
      <c r="A337" s="232">
        <v>6220</v>
      </c>
      <c r="B337" s="108" t="s">
        <v>32</v>
      </c>
      <c r="C337" s="123"/>
      <c r="D337" s="363">
        <f t="shared" si="28"/>
        <v>0</v>
      </c>
      <c r="E337" s="124"/>
      <c r="F337" s="124"/>
      <c r="G337" s="124"/>
      <c r="H337" s="124"/>
      <c r="I337" s="124"/>
      <c r="J337" s="234">
        <f t="shared" si="30"/>
        <v>0</v>
      </c>
      <c r="K337" s="234">
        <f t="shared" si="30"/>
        <v>0</v>
      </c>
      <c r="L337" s="234">
        <f t="shared" si="30"/>
        <v>0</v>
      </c>
      <c r="M337" s="234">
        <f t="shared" si="30"/>
        <v>0</v>
      </c>
      <c r="N337" s="234">
        <f t="shared" si="30"/>
        <v>0</v>
      </c>
      <c r="O337" s="234">
        <f t="shared" si="30"/>
        <v>0</v>
      </c>
      <c r="P337" s="235">
        <f t="shared" si="30"/>
        <v>0</v>
      </c>
    </row>
    <row r="338" spans="1:16" x14ac:dyDescent="0.25">
      <c r="A338" s="232">
        <v>6220</v>
      </c>
      <c r="B338" s="351" t="s">
        <v>685</v>
      </c>
      <c r="C338" s="123"/>
      <c r="D338" s="363">
        <f t="shared" si="28"/>
        <v>0</v>
      </c>
      <c r="E338" s="124"/>
      <c r="F338" s="124"/>
      <c r="G338" s="124"/>
      <c r="H338" s="124"/>
      <c r="I338" s="124"/>
      <c r="J338" s="234">
        <f t="shared" si="30"/>
        <v>0</v>
      </c>
      <c r="K338" s="234">
        <f t="shared" si="30"/>
        <v>0</v>
      </c>
      <c r="L338" s="234">
        <f t="shared" si="30"/>
        <v>0</v>
      </c>
      <c r="M338" s="234">
        <f t="shared" si="30"/>
        <v>0</v>
      </c>
      <c r="N338" s="234">
        <f t="shared" si="30"/>
        <v>0</v>
      </c>
      <c r="O338" s="234">
        <f t="shared" si="30"/>
        <v>0</v>
      </c>
      <c r="P338" s="235">
        <f t="shared" si="30"/>
        <v>0</v>
      </c>
    </row>
    <row r="339" spans="1:16" x14ac:dyDescent="0.25">
      <c r="A339" s="232">
        <v>6220</v>
      </c>
      <c r="B339" s="108" t="s">
        <v>41</v>
      </c>
      <c r="C339" s="123"/>
      <c r="D339" s="363">
        <f t="shared" si="28"/>
        <v>0</v>
      </c>
      <c r="E339" s="124"/>
      <c r="F339" s="124"/>
      <c r="G339" s="124"/>
      <c r="H339" s="124"/>
      <c r="I339" s="124"/>
      <c r="J339" s="234">
        <f t="shared" si="30"/>
        <v>0</v>
      </c>
      <c r="K339" s="234">
        <f t="shared" si="30"/>
        <v>0</v>
      </c>
      <c r="L339" s="234">
        <f t="shared" si="30"/>
        <v>0</v>
      </c>
      <c r="M339" s="234">
        <f t="shared" si="30"/>
        <v>0</v>
      </c>
      <c r="N339" s="234">
        <f t="shared" si="30"/>
        <v>0</v>
      </c>
      <c r="O339" s="234">
        <f t="shared" si="30"/>
        <v>0</v>
      </c>
      <c r="P339" s="235">
        <f t="shared" si="30"/>
        <v>0</v>
      </c>
    </row>
    <row r="340" spans="1:16" x14ac:dyDescent="0.25">
      <c r="A340" s="232">
        <v>6220</v>
      </c>
      <c r="B340" s="108" t="s">
        <v>775</v>
      </c>
      <c r="C340" s="123"/>
      <c r="D340" s="363">
        <f t="shared" si="28"/>
        <v>0</v>
      </c>
      <c r="E340" s="124"/>
      <c r="F340" s="124"/>
      <c r="G340" s="124"/>
      <c r="H340" s="124"/>
      <c r="I340" s="124"/>
      <c r="J340" s="234">
        <f t="shared" si="30"/>
        <v>0</v>
      </c>
      <c r="K340" s="234">
        <f t="shared" si="30"/>
        <v>0</v>
      </c>
      <c r="L340" s="234">
        <f t="shared" si="30"/>
        <v>0</v>
      </c>
      <c r="M340" s="234">
        <f t="shared" si="30"/>
        <v>0</v>
      </c>
      <c r="N340" s="234">
        <f t="shared" si="30"/>
        <v>0</v>
      </c>
      <c r="O340" s="234">
        <f t="shared" si="30"/>
        <v>0</v>
      </c>
      <c r="P340" s="235">
        <f t="shared" si="30"/>
        <v>0</v>
      </c>
    </row>
    <row r="341" spans="1:16" x14ac:dyDescent="0.25">
      <c r="A341" s="232">
        <v>6220</v>
      </c>
      <c r="B341" s="108" t="s">
        <v>37</v>
      </c>
      <c r="C341" s="123"/>
      <c r="D341" s="363">
        <f t="shared" si="28"/>
        <v>0</v>
      </c>
      <c r="E341" s="124"/>
      <c r="F341" s="124"/>
      <c r="G341" s="124"/>
      <c r="H341" s="124"/>
      <c r="I341" s="124"/>
      <c r="J341" s="234">
        <f t="shared" ref="J341:P350" si="31">SUMIFS(J$28:J$279,$A$28:$A$279,$A341,$B$28:$B$279,$B341)</f>
        <v>0</v>
      </c>
      <c r="K341" s="234">
        <f t="shared" si="31"/>
        <v>0</v>
      </c>
      <c r="L341" s="234">
        <f t="shared" si="31"/>
        <v>0</v>
      </c>
      <c r="M341" s="234">
        <f t="shared" si="31"/>
        <v>0</v>
      </c>
      <c r="N341" s="234">
        <f t="shared" si="31"/>
        <v>0</v>
      </c>
      <c r="O341" s="234">
        <f t="shared" si="31"/>
        <v>0</v>
      </c>
      <c r="P341" s="235">
        <f t="shared" si="31"/>
        <v>0</v>
      </c>
    </row>
    <row r="342" spans="1:16" x14ac:dyDescent="0.25">
      <c r="A342" s="232">
        <v>6220</v>
      </c>
      <c r="B342" s="108" t="s">
        <v>29</v>
      </c>
      <c r="C342" s="123"/>
      <c r="D342" s="363">
        <f t="shared" si="28"/>
        <v>1</v>
      </c>
      <c r="E342" s="124"/>
      <c r="F342" s="124"/>
      <c r="G342" s="124"/>
      <c r="H342" s="124"/>
      <c r="I342" s="124"/>
      <c r="J342" s="234">
        <f t="shared" si="31"/>
        <v>0</v>
      </c>
      <c r="K342" s="234">
        <f t="shared" si="31"/>
        <v>1000</v>
      </c>
      <c r="L342" s="234">
        <f t="shared" si="31"/>
        <v>3000</v>
      </c>
      <c r="M342" s="234">
        <f t="shared" si="31"/>
        <v>500</v>
      </c>
      <c r="N342" s="234">
        <f t="shared" si="31"/>
        <v>255</v>
      </c>
      <c r="O342" s="234">
        <f t="shared" si="31"/>
        <v>2500</v>
      </c>
      <c r="P342" s="235">
        <f t="shared" si="31"/>
        <v>7255</v>
      </c>
    </row>
    <row r="343" spans="1:16" x14ac:dyDescent="0.25">
      <c r="A343" s="232">
        <v>6220</v>
      </c>
      <c r="B343" s="108" t="s">
        <v>536</v>
      </c>
      <c r="C343" s="123"/>
      <c r="D343" s="363">
        <f t="shared" si="28"/>
        <v>0</v>
      </c>
      <c r="E343" s="124"/>
      <c r="F343" s="124"/>
      <c r="G343" s="124"/>
      <c r="H343" s="124"/>
      <c r="I343" s="124"/>
      <c r="J343" s="234">
        <f t="shared" si="31"/>
        <v>0</v>
      </c>
      <c r="K343" s="234">
        <f t="shared" si="31"/>
        <v>0</v>
      </c>
      <c r="L343" s="234">
        <f t="shared" si="31"/>
        <v>0</v>
      </c>
      <c r="M343" s="234">
        <f t="shared" si="31"/>
        <v>0</v>
      </c>
      <c r="N343" s="234">
        <f t="shared" si="31"/>
        <v>0</v>
      </c>
      <c r="O343" s="234">
        <f t="shared" si="31"/>
        <v>0</v>
      </c>
      <c r="P343" s="235">
        <f t="shared" si="31"/>
        <v>0</v>
      </c>
    </row>
    <row r="344" spans="1:16" x14ac:dyDescent="0.25">
      <c r="A344" s="232">
        <v>6220</v>
      </c>
      <c r="B344" s="108" t="s">
        <v>36</v>
      </c>
      <c r="C344" s="123"/>
      <c r="D344" s="363">
        <f t="shared" si="28"/>
        <v>0</v>
      </c>
      <c r="E344" s="124"/>
      <c r="F344" s="124"/>
      <c r="G344" s="124"/>
      <c r="H344" s="124"/>
      <c r="I344" s="124"/>
      <c r="J344" s="234">
        <f t="shared" si="31"/>
        <v>0</v>
      </c>
      <c r="K344" s="234">
        <f t="shared" si="31"/>
        <v>0</v>
      </c>
      <c r="L344" s="234">
        <f t="shared" si="31"/>
        <v>0</v>
      </c>
      <c r="M344" s="234">
        <f t="shared" si="31"/>
        <v>0</v>
      </c>
      <c r="N344" s="234">
        <f t="shared" si="31"/>
        <v>0</v>
      </c>
      <c r="O344" s="234">
        <f t="shared" si="31"/>
        <v>0</v>
      </c>
      <c r="P344" s="235">
        <f t="shared" si="31"/>
        <v>0</v>
      </c>
    </row>
    <row r="345" spans="1:16" x14ac:dyDescent="0.25">
      <c r="A345" s="232">
        <v>6220</v>
      </c>
      <c r="B345" s="85" t="s">
        <v>31</v>
      </c>
      <c r="C345" s="123"/>
      <c r="D345" s="363">
        <f t="shared" ref="D345:D376" si="32">COUNTIFS($A$28:$A$279,$A345,$B$28:$B$279,$B345)</f>
        <v>0</v>
      </c>
      <c r="E345" s="124"/>
      <c r="F345" s="124"/>
      <c r="G345" s="124"/>
      <c r="H345" s="124"/>
      <c r="I345" s="124"/>
      <c r="J345" s="234">
        <f t="shared" si="31"/>
        <v>0</v>
      </c>
      <c r="K345" s="234">
        <f t="shared" si="31"/>
        <v>0</v>
      </c>
      <c r="L345" s="234">
        <f t="shared" si="31"/>
        <v>0</v>
      </c>
      <c r="M345" s="234">
        <f t="shared" si="31"/>
        <v>0</v>
      </c>
      <c r="N345" s="234">
        <f t="shared" si="31"/>
        <v>0</v>
      </c>
      <c r="O345" s="234">
        <f t="shared" si="31"/>
        <v>0</v>
      </c>
      <c r="P345" s="235">
        <f t="shared" si="31"/>
        <v>0</v>
      </c>
    </row>
    <row r="346" spans="1:16" x14ac:dyDescent="0.25">
      <c r="A346" s="232">
        <v>6220</v>
      </c>
      <c r="B346" s="85" t="s">
        <v>30</v>
      </c>
      <c r="C346" s="123"/>
      <c r="D346" s="363">
        <f t="shared" si="32"/>
        <v>0</v>
      </c>
      <c r="E346" s="124"/>
      <c r="F346" s="124"/>
      <c r="G346" s="124"/>
      <c r="H346" s="124"/>
      <c r="I346" s="124"/>
      <c r="J346" s="234">
        <f t="shared" si="31"/>
        <v>0</v>
      </c>
      <c r="K346" s="234">
        <f t="shared" si="31"/>
        <v>0</v>
      </c>
      <c r="L346" s="234">
        <f t="shared" si="31"/>
        <v>0</v>
      </c>
      <c r="M346" s="234">
        <f t="shared" si="31"/>
        <v>0</v>
      </c>
      <c r="N346" s="234">
        <f t="shared" si="31"/>
        <v>0</v>
      </c>
      <c r="O346" s="234">
        <f t="shared" si="31"/>
        <v>0</v>
      </c>
      <c r="P346" s="235">
        <f t="shared" si="31"/>
        <v>0</v>
      </c>
    </row>
    <row r="347" spans="1:16" x14ac:dyDescent="0.25">
      <c r="A347" s="232">
        <v>6220</v>
      </c>
      <c r="B347" s="85" t="s">
        <v>38</v>
      </c>
      <c r="C347" s="123"/>
      <c r="D347" s="363">
        <f t="shared" si="32"/>
        <v>0</v>
      </c>
      <c r="E347" s="124"/>
      <c r="F347" s="124"/>
      <c r="G347" s="124"/>
      <c r="H347" s="124"/>
      <c r="I347" s="124"/>
      <c r="J347" s="234">
        <f t="shared" si="31"/>
        <v>0</v>
      </c>
      <c r="K347" s="234">
        <f t="shared" si="31"/>
        <v>0</v>
      </c>
      <c r="L347" s="234">
        <f t="shared" si="31"/>
        <v>0</v>
      </c>
      <c r="M347" s="234">
        <f t="shared" si="31"/>
        <v>0</v>
      </c>
      <c r="N347" s="234">
        <f t="shared" si="31"/>
        <v>0</v>
      </c>
      <c r="O347" s="234">
        <f t="shared" si="31"/>
        <v>0</v>
      </c>
      <c r="P347" s="235">
        <f t="shared" si="31"/>
        <v>0</v>
      </c>
    </row>
    <row r="348" spans="1:16" x14ac:dyDescent="0.25">
      <c r="A348" s="232">
        <v>6220</v>
      </c>
      <c r="B348" s="85" t="s">
        <v>684</v>
      </c>
      <c r="C348" s="123"/>
      <c r="D348" s="363">
        <f t="shared" si="32"/>
        <v>0</v>
      </c>
      <c r="E348" s="124"/>
      <c r="F348" s="124"/>
      <c r="G348" s="124"/>
      <c r="H348" s="124"/>
      <c r="I348" s="124"/>
      <c r="J348" s="234">
        <f t="shared" si="31"/>
        <v>0</v>
      </c>
      <c r="K348" s="234">
        <f t="shared" si="31"/>
        <v>0</v>
      </c>
      <c r="L348" s="234">
        <f t="shared" si="31"/>
        <v>0</v>
      </c>
      <c r="M348" s="234">
        <f t="shared" si="31"/>
        <v>0</v>
      </c>
      <c r="N348" s="234">
        <f t="shared" si="31"/>
        <v>0</v>
      </c>
      <c r="O348" s="234">
        <f t="shared" si="31"/>
        <v>0</v>
      </c>
      <c r="P348" s="235">
        <f t="shared" si="31"/>
        <v>0</v>
      </c>
    </row>
    <row r="349" spans="1:16" x14ac:dyDescent="0.25">
      <c r="A349" s="232">
        <v>6220</v>
      </c>
      <c r="B349" s="85" t="s">
        <v>33</v>
      </c>
      <c r="C349" s="123"/>
      <c r="D349" s="363">
        <f t="shared" si="32"/>
        <v>0</v>
      </c>
      <c r="E349" s="124"/>
      <c r="F349" s="124"/>
      <c r="G349" s="124"/>
      <c r="H349" s="124"/>
      <c r="I349" s="124"/>
      <c r="J349" s="234">
        <f t="shared" si="31"/>
        <v>0</v>
      </c>
      <c r="K349" s="234">
        <f t="shared" si="31"/>
        <v>0</v>
      </c>
      <c r="L349" s="234">
        <f t="shared" si="31"/>
        <v>0</v>
      </c>
      <c r="M349" s="234">
        <f t="shared" si="31"/>
        <v>0</v>
      </c>
      <c r="N349" s="234">
        <f t="shared" si="31"/>
        <v>0</v>
      </c>
      <c r="O349" s="234">
        <f t="shared" si="31"/>
        <v>0</v>
      </c>
      <c r="P349" s="235">
        <f t="shared" si="31"/>
        <v>0</v>
      </c>
    </row>
    <row r="350" spans="1:16" x14ac:dyDescent="0.25">
      <c r="A350" s="232">
        <v>6220</v>
      </c>
      <c r="B350" s="85" t="s">
        <v>35</v>
      </c>
      <c r="C350" s="123"/>
      <c r="D350" s="363">
        <f t="shared" si="32"/>
        <v>0</v>
      </c>
      <c r="E350" s="124"/>
      <c r="F350" s="124"/>
      <c r="G350" s="124"/>
      <c r="H350" s="124"/>
      <c r="I350" s="124"/>
      <c r="J350" s="234">
        <f t="shared" si="31"/>
        <v>0</v>
      </c>
      <c r="K350" s="234">
        <f t="shared" si="31"/>
        <v>0</v>
      </c>
      <c r="L350" s="234">
        <f t="shared" si="31"/>
        <v>0</v>
      </c>
      <c r="M350" s="234">
        <f t="shared" si="31"/>
        <v>0</v>
      </c>
      <c r="N350" s="234">
        <f t="shared" si="31"/>
        <v>0</v>
      </c>
      <c r="O350" s="234">
        <f t="shared" si="31"/>
        <v>0</v>
      </c>
      <c r="P350" s="235">
        <f t="shared" si="31"/>
        <v>0</v>
      </c>
    </row>
    <row r="351" spans="1:16" x14ac:dyDescent="0.25">
      <c r="A351" s="232">
        <v>6220</v>
      </c>
      <c r="B351" s="108" t="s">
        <v>39</v>
      </c>
      <c r="C351" s="123"/>
      <c r="D351" s="363">
        <f t="shared" si="32"/>
        <v>0</v>
      </c>
      <c r="E351" s="124"/>
      <c r="F351" s="124"/>
      <c r="G351" s="124"/>
      <c r="H351" s="124"/>
      <c r="I351" s="124"/>
      <c r="J351" s="234">
        <f t="shared" ref="J351:P360" si="33">SUMIFS(J$28:J$279,$A$28:$A$279,$A351,$B$28:$B$279,$B351)</f>
        <v>0</v>
      </c>
      <c r="K351" s="234">
        <f t="shared" si="33"/>
        <v>0</v>
      </c>
      <c r="L351" s="234">
        <f t="shared" si="33"/>
        <v>0</v>
      </c>
      <c r="M351" s="234">
        <f t="shared" si="33"/>
        <v>0</v>
      </c>
      <c r="N351" s="234">
        <f t="shared" si="33"/>
        <v>0</v>
      </c>
      <c r="O351" s="234">
        <f t="shared" si="33"/>
        <v>0</v>
      </c>
      <c r="P351" s="235">
        <f t="shared" si="33"/>
        <v>0</v>
      </c>
    </row>
    <row r="352" spans="1:16" ht="15.75" thickBot="1" x14ac:dyDescent="0.3">
      <c r="A352" s="232">
        <v>6220</v>
      </c>
      <c r="B352" s="108" t="s">
        <v>34</v>
      </c>
      <c r="C352" s="123"/>
      <c r="D352" s="363">
        <f t="shared" si="32"/>
        <v>0</v>
      </c>
      <c r="E352" s="124"/>
      <c r="F352" s="124"/>
      <c r="G352" s="124"/>
      <c r="H352" s="124"/>
      <c r="I352" s="124"/>
      <c r="J352" s="234">
        <f t="shared" si="33"/>
        <v>0</v>
      </c>
      <c r="K352" s="234">
        <f t="shared" si="33"/>
        <v>0</v>
      </c>
      <c r="L352" s="234">
        <f t="shared" si="33"/>
        <v>0</v>
      </c>
      <c r="M352" s="234">
        <f t="shared" si="33"/>
        <v>0</v>
      </c>
      <c r="N352" s="234">
        <f t="shared" si="33"/>
        <v>0</v>
      </c>
      <c r="O352" s="234">
        <f t="shared" si="33"/>
        <v>0</v>
      </c>
      <c r="P352" s="235">
        <f t="shared" si="33"/>
        <v>0</v>
      </c>
    </row>
    <row r="353" spans="1:16" x14ac:dyDescent="0.25">
      <c r="A353" s="231">
        <v>6222</v>
      </c>
      <c r="B353" s="119" t="s">
        <v>28</v>
      </c>
      <c r="C353" s="120"/>
      <c r="D353" s="352">
        <f t="shared" si="32"/>
        <v>0</v>
      </c>
      <c r="E353" s="121"/>
      <c r="F353" s="121"/>
      <c r="G353" s="121"/>
      <c r="H353" s="121"/>
      <c r="I353" s="121"/>
      <c r="J353" s="236">
        <f t="shared" si="33"/>
        <v>0</v>
      </c>
      <c r="K353" s="236">
        <f t="shared" si="33"/>
        <v>0</v>
      </c>
      <c r="L353" s="236">
        <f t="shared" si="33"/>
        <v>0</v>
      </c>
      <c r="M353" s="236">
        <f t="shared" si="33"/>
        <v>0</v>
      </c>
      <c r="N353" s="236">
        <f t="shared" si="33"/>
        <v>0</v>
      </c>
      <c r="O353" s="236">
        <f t="shared" si="33"/>
        <v>0</v>
      </c>
      <c r="P353" s="237">
        <f t="shared" si="33"/>
        <v>0</v>
      </c>
    </row>
    <row r="354" spans="1:16" x14ac:dyDescent="0.25">
      <c r="A354" s="232">
        <v>6222</v>
      </c>
      <c r="B354" s="108" t="s">
        <v>27</v>
      </c>
      <c r="C354" s="123"/>
      <c r="D354" s="363">
        <f t="shared" si="32"/>
        <v>0</v>
      </c>
      <c r="E354" s="124"/>
      <c r="F354" s="124"/>
      <c r="G354" s="124"/>
      <c r="H354" s="124"/>
      <c r="I354" s="124"/>
      <c r="J354" s="234">
        <f t="shared" si="33"/>
        <v>0</v>
      </c>
      <c r="K354" s="234">
        <f t="shared" si="33"/>
        <v>0</v>
      </c>
      <c r="L354" s="234">
        <f t="shared" si="33"/>
        <v>0</v>
      </c>
      <c r="M354" s="234">
        <f t="shared" si="33"/>
        <v>0</v>
      </c>
      <c r="N354" s="234">
        <f t="shared" si="33"/>
        <v>0</v>
      </c>
      <c r="O354" s="234">
        <f t="shared" si="33"/>
        <v>0</v>
      </c>
      <c r="P354" s="235">
        <f t="shared" si="33"/>
        <v>0</v>
      </c>
    </row>
    <row r="355" spans="1:16" x14ac:dyDescent="0.25">
      <c r="A355" s="232">
        <v>6222</v>
      </c>
      <c r="B355" s="108" t="s">
        <v>32</v>
      </c>
      <c r="C355" s="123"/>
      <c r="D355" s="363">
        <f t="shared" si="32"/>
        <v>1</v>
      </c>
      <c r="E355" s="124"/>
      <c r="F355" s="124"/>
      <c r="G355" s="124"/>
      <c r="H355" s="124"/>
      <c r="I355" s="124"/>
      <c r="J355" s="234">
        <f t="shared" si="33"/>
        <v>500</v>
      </c>
      <c r="K355" s="234">
        <f t="shared" si="33"/>
        <v>500</v>
      </c>
      <c r="L355" s="234">
        <f t="shared" si="33"/>
        <v>750</v>
      </c>
      <c r="M355" s="234">
        <f t="shared" si="33"/>
        <v>0</v>
      </c>
      <c r="N355" s="234">
        <f t="shared" si="33"/>
        <v>0</v>
      </c>
      <c r="O355" s="234">
        <f t="shared" si="33"/>
        <v>250</v>
      </c>
      <c r="P355" s="235">
        <f t="shared" si="33"/>
        <v>2000</v>
      </c>
    </row>
    <row r="356" spans="1:16" x14ac:dyDescent="0.25">
      <c r="A356" s="232">
        <v>6222</v>
      </c>
      <c r="B356" s="351" t="s">
        <v>685</v>
      </c>
      <c r="C356" s="123"/>
      <c r="D356" s="363">
        <f t="shared" si="32"/>
        <v>3</v>
      </c>
      <c r="E356" s="124"/>
      <c r="F356" s="124"/>
      <c r="G356" s="124"/>
      <c r="H356" s="124"/>
      <c r="I356" s="124"/>
      <c r="J356" s="234">
        <f t="shared" si="33"/>
        <v>1200</v>
      </c>
      <c r="K356" s="234">
        <f t="shared" si="33"/>
        <v>1100</v>
      </c>
      <c r="L356" s="234">
        <f t="shared" si="33"/>
        <v>1450</v>
      </c>
      <c r="M356" s="234">
        <f t="shared" si="33"/>
        <v>180</v>
      </c>
      <c r="N356" s="234">
        <f t="shared" si="33"/>
        <v>0</v>
      </c>
      <c r="O356" s="234">
        <f t="shared" si="33"/>
        <v>1500</v>
      </c>
      <c r="P356" s="235">
        <f t="shared" si="33"/>
        <v>5430</v>
      </c>
    </row>
    <row r="357" spans="1:16" x14ac:dyDescent="0.25">
      <c r="A357" s="232">
        <v>6222</v>
      </c>
      <c r="B357" s="108" t="s">
        <v>41</v>
      </c>
      <c r="C357" s="123"/>
      <c r="D357" s="363">
        <f t="shared" si="32"/>
        <v>3</v>
      </c>
      <c r="E357" s="124"/>
      <c r="F357" s="124"/>
      <c r="G357" s="124"/>
      <c r="H357" s="124"/>
      <c r="I357" s="124"/>
      <c r="J357" s="234">
        <f t="shared" si="33"/>
        <v>1620</v>
      </c>
      <c r="K357" s="234">
        <f t="shared" si="33"/>
        <v>1000</v>
      </c>
      <c r="L357" s="234">
        <f t="shared" si="33"/>
        <v>1500</v>
      </c>
      <c r="M357" s="234">
        <f t="shared" si="33"/>
        <v>0</v>
      </c>
      <c r="N357" s="234">
        <f t="shared" si="33"/>
        <v>0</v>
      </c>
      <c r="O357" s="234">
        <f t="shared" si="33"/>
        <v>1000</v>
      </c>
      <c r="P357" s="235">
        <f t="shared" si="33"/>
        <v>5120</v>
      </c>
    </row>
    <row r="358" spans="1:16" x14ac:dyDescent="0.25">
      <c r="A358" s="232">
        <v>6222</v>
      </c>
      <c r="B358" s="108" t="s">
        <v>775</v>
      </c>
      <c r="C358" s="123"/>
      <c r="D358" s="363">
        <f t="shared" si="32"/>
        <v>2</v>
      </c>
      <c r="E358" s="124"/>
      <c r="F358" s="124"/>
      <c r="G358" s="124"/>
      <c r="H358" s="124"/>
      <c r="I358" s="124"/>
      <c r="J358" s="234">
        <f t="shared" si="33"/>
        <v>500</v>
      </c>
      <c r="K358" s="234">
        <f t="shared" si="33"/>
        <v>500</v>
      </c>
      <c r="L358" s="234">
        <f t="shared" si="33"/>
        <v>1000</v>
      </c>
      <c r="M358" s="234">
        <f t="shared" si="33"/>
        <v>0</v>
      </c>
      <c r="N358" s="234">
        <f t="shared" si="33"/>
        <v>0</v>
      </c>
      <c r="O358" s="234">
        <f t="shared" si="33"/>
        <v>1000</v>
      </c>
      <c r="P358" s="235">
        <f t="shared" si="33"/>
        <v>3000</v>
      </c>
    </row>
    <row r="359" spans="1:16" x14ac:dyDescent="0.25">
      <c r="A359" s="232">
        <v>6222</v>
      </c>
      <c r="B359" s="108" t="s">
        <v>37</v>
      </c>
      <c r="C359" s="123"/>
      <c r="D359" s="363">
        <f t="shared" si="32"/>
        <v>4</v>
      </c>
      <c r="E359" s="124"/>
      <c r="F359" s="124"/>
      <c r="G359" s="124"/>
      <c r="H359" s="124"/>
      <c r="I359" s="124"/>
      <c r="J359" s="234">
        <f t="shared" si="33"/>
        <v>2600</v>
      </c>
      <c r="K359" s="234">
        <f t="shared" si="33"/>
        <v>2720</v>
      </c>
      <c r="L359" s="234">
        <f t="shared" si="33"/>
        <v>6960</v>
      </c>
      <c r="M359" s="234">
        <f t="shared" si="33"/>
        <v>0</v>
      </c>
      <c r="N359" s="234">
        <f t="shared" si="33"/>
        <v>0</v>
      </c>
      <c r="O359" s="234">
        <f t="shared" si="33"/>
        <v>2560</v>
      </c>
      <c r="P359" s="235">
        <f t="shared" si="33"/>
        <v>14840</v>
      </c>
    </row>
    <row r="360" spans="1:16" x14ac:dyDescent="0.25">
      <c r="A360" s="232">
        <v>6222</v>
      </c>
      <c r="B360" s="108" t="s">
        <v>29</v>
      </c>
      <c r="C360" s="123"/>
      <c r="D360" s="363">
        <f t="shared" si="32"/>
        <v>1</v>
      </c>
      <c r="E360" s="124"/>
      <c r="F360" s="124"/>
      <c r="G360" s="124"/>
      <c r="H360" s="124"/>
      <c r="I360" s="124"/>
      <c r="J360" s="234">
        <f t="shared" si="33"/>
        <v>3000</v>
      </c>
      <c r="K360" s="234">
        <f t="shared" si="33"/>
        <v>3600</v>
      </c>
      <c r="L360" s="234">
        <f t="shared" si="33"/>
        <v>7500</v>
      </c>
      <c r="M360" s="234">
        <f t="shared" si="33"/>
        <v>1250</v>
      </c>
      <c r="N360" s="234">
        <f t="shared" si="33"/>
        <v>637.5</v>
      </c>
      <c r="O360" s="234">
        <f t="shared" si="33"/>
        <v>3250</v>
      </c>
      <c r="P360" s="235">
        <f t="shared" si="33"/>
        <v>19237.5</v>
      </c>
    </row>
    <row r="361" spans="1:16" x14ac:dyDescent="0.25">
      <c r="A361" s="232">
        <v>6222</v>
      </c>
      <c r="B361" s="108" t="s">
        <v>536</v>
      </c>
      <c r="C361" s="123"/>
      <c r="D361" s="363">
        <f t="shared" si="32"/>
        <v>0</v>
      </c>
      <c r="E361" s="124"/>
      <c r="F361" s="124"/>
      <c r="G361" s="124"/>
      <c r="H361" s="124"/>
      <c r="I361" s="124"/>
      <c r="J361" s="234">
        <f t="shared" ref="J361:P370" si="34">SUMIFS(J$28:J$279,$A$28:$A$279,$A361,$B$28:$B$279,$B361)</f>
        <v>0</v>
      </c>
      <c r="K361" s="234">
        <f t="shared" si="34"/>
        <v>0</v>
      </c>
      <c r="L361" s="234">
        <f t="shared" si="34"/>
        <v>0</v>
      </c>
      <c r="M361" s="234">
        <f t="shared" si="34"/>
        <v>0</v>
      </c>
      <c r="N361" s="234">
        <f t="shared" si="34"/>
        <v>0</v>
      </c>
      <c r="O361" s="234">
        <f t="shared" si="34"/>
        <v>0</v>
      </c>
      <c r="P361" s="235">
        <f t="shared" si="34"/>
        <v>0</v>
      </c>
    </row>
    <row r="362" spans="1:16" x14ac:dyDescent="0.25">
      <c r="A362" s="232">
        <v>6222</v>
      </c>
      <c r="B362" s="108" t="s">
        <v>36</v>
      </c>
      <c r="C362" s="123"/>
      <c r="D362" s="363">
        <f t="shared" si="32"/>
        <v>0</v>
      </c>
      <c r="E362" s="124"/>
      <c r="F362" s="124"/>
      <c r="G362" s="124"/>
      <c r="H362" s="124"/>
      <c r="I362" s="124"/>
      <c r="J362" s="234">
        <f t="shared" si="34"/>
        <v>0</v>
      </c>
      <c r="K362" s="234">
        <f t="shared" si="34"/>
        <v>0</v>
      </c>
      <c r="L362" s="234">
        <f t="shared" si="34"/>
        <v>0</v>
      </c>
      <c r="M362" s="234">
        <f t="shared" si="34"/>
        <v>0</v>
      </c>
      <c r="N362" s="234">
        <f t="shared" si="34"/>
        <v>0</v>
      </c>
      <c r="O362" s="234">
        <f t="shared" si="34"/>
        <v>0</v>
      </c>
      <c r="P362" s="235">
        <f t="shared" si="34"/>
        <v>0</v>
      </c>
    </row>
    <row r="363" spans="1:16" x14ac:dyDescent="0.25">
      <c r="A363" s="232">
        <v>6222</v>
      </c>
      <c r="B363" s="85" t="s">
        <v>31</v>
      </c>
      <c r="C363" s="123"/>
      <c r="D363" s="363">
        <f t="shared" si="32"/>
        <v>2</v>
      </c>
      <c r="E363" s="124"/>
      <c r="F363" s="124"/>
      <c r="G363" s="124"/>
      <c r="H363" s="124"/>
      <c r="I363" s="124"/>
      <c r="J363" s="234">
        <f t="shared" si="34"/>
        <v>3400</v>
      </c>
      <c r="K363" s="234">
        <f t="shared" si="34"/>
        <v>0</v>
      </c>
      <c r="L363" s="234">
        <f t="shared" si="34"/>
        <v>2000</v>
      </c>
      <c r="M363" s="234">
        <f t="shared" si="34"/>
        <v>0</v>
      </c>
      <c r="N363" s="234">
        <f t="shared" si="34"/>
        <v>0</v>
      </c>
      <c r="O363" s="234">
        <f t="shared" si="34"/>
        <v>1200</v>
      </c>
      <c r="P363" s="235">
        <f t="shared" si="34"/>
        <v>0</v>
      </c>
    </row>
    <row r="364" spans="1:16" x14ac:dyDescent="0.25">
      <c r="A364" s="232">
        <v>6222</v>
      </c>
      <c r="B364" s="85" t="s">
        <v>30</v>
      </c>
      <c r="C364" s="123"/>
      <c r="D364" s="363">
        <f t="shared" si="32"/>
        <v>4</v>
      </c>
      <c r="E364" s="124"/>
      <c r="F364" s="124"/>
      <c r="G364" s="124"/>
      <c r="H364" s="124"/>
      <c r="I364" s="124"/>
      <c r="J364" s="234">
        <f t="shared" si="34"/>
        <v>4500</v>
      </c>
      <c r="K364" s="234">
        <f t="shared" si="34"/>
        <v>3000</v>
      </c>
      <c r="L364" s="234">
        <f t="shared" si="34"/>
        <v>3000</v>
      </c>
      <c r="M364" s="234">
        <f t="shared" si="34"/>
        <v>150</v>
      </c>
      <c r="N364" s="234">
        <f t="shared" si="34"/>
        <v>0</v>
      </c>
      <c r="O364" s="234">
        <f t="shared" si="34"/>
        <v>750</v>
      </c>
      <c r="P364" s="235">
        <f t="shared" si="34"/>
        <v>11400</v>
      </c>
    </row>
    <row r="365" spans="1:16" x14ac:dyDescent="0.25">
      <c r="A365" s="232">
        <v>6222</v>
      </c>
      <c r="B365" s="85" t="s">
        <v>38</v>
      </c>
      <c r="C365" s="123"/>
      <c r="D365" s="363">
        <f t="shared" si="32"/>
        <v>7</v>
      </c>
      <c r="E365" s="124"/>
      <c r="F365" s="124"/>
      <c r="G365" s="124"/>
      <c r="H365" s="124"/>
      <c r="I365" s="124"/>
      <c r="J365" s="234">
        <f t="shared" si="34"/>
        <v>2300</v>
      </c>
      <c r="K365" s="234">
        <f t="shared" si="34"/>
        <v>3900</v>
      </c>
      <c r="L365" s="234">
        <f t="shared" si="34"/>
        <v>11700</v>
      </c>
      <c r="M365" s="234">
        <f t="shared" si="34"/>
        <v>600</v>
      </c>
      <c r="N365" s="234">
        <f t="shared" si="34"/>
        <v>675</v>
      </c>
      <c r="O365" s="234">
        <f t="shared" si="34"/>
        <v>1850</v>
      </c>
      <c r="P365" s="235">
        <f t="shared" si="34"/>
        <v>17925</v>
      </c>
    </row>
    <row r="366" spans="1:16" x14ac:dyDescent="0.25">
      <c r="A366" s="232">
        <v>6222</v>
      </c>
      <c r="B366" s="85" t="s">
        <v>684</v>
      </c>
      <c r="C366" s="123"/>
      <c r="D366" s="363">
        <f t="shared" si="32"/>
        <v>1</v>
      </c>
      <c r="E366" s="124"/>
      <c r="F366" s="124"/>
      <c r="G366" s="124"/>
      <c r="H366" s="124"/>
      <c r="I366" s="124"/>
      <c r="J366" s="234">
        <f t="shared" si="34"/>
        <v>0</v>
      </c>
      <c r="K366" s="234">
        <f t="shared" si="34"/>
        <v>0</v>
      </c>
      <c r="L366" s="234">
        <f t="shared" si="34"/>
        <v>0</v>
      </c>
      <c r="M366" s="234">
        <f t="shared" si="34"/>
        <v>0</v>
      </c>
      <c r="N366" s="234">
        <f t="shared" si="34"/>
        <v>0</v>
      </c>
      <c r="O366" s="234">
        <f t="shared" si="34"/>
        <v>0</v>
      </c>
      <c r="P366" s="235">
        <f t="shared" si="34"/>
        <v>0</v>
      </c>
    </row>
    <row r="367" spans="1:16" x14ac:dyDescent="0.25">
      <c r="A367" s="232">
        <v>6222</v>
      </c>
      <c r="B367" s="85" t="s">
        <v>33</v>
      </c>
      <c r="C367" s="123"/>
      <c r="D367" s="363">
        <f t="shared" si="32"/>
        <v>0</v>
      </c>
      <c r="E367" s="124"/>
      <c r="F367" s="124"/>
      <c r="G367" s="124"/>
      <c r="H367" s="124"/>
      <c r="I367" s="124"/>
      <c r="J367" s="234">
        <f t="shared" si="34"/>
        <v>0</v>
      </c>
      <c r="K367" s="234">
        <f t="shared" si="34"/>
        <v>0</v>
      </c>
      <c r="L367" s="234">
        <f t="shared" si="34"/>
        <v>0</v>
      </c>
      <c r="M367" s="234">
        <f t="shared" si="34"/>
        <v>0</v>
      </c>
      <c r="N367" s="234">
        <f t="shared" si="34"/>
        <v>0</v>
      </c>
      <c r="O367" s="234">
        <f t="shared" si="34"/>
        <v>0</v>
      </c>
      <c r="P367" s="235">
        <f t="shared" si="34"/>
        <v>0</v>
      </c>
    </row>
    <row r="368" spans="1:16" x14ac:dyDescent="0.25">
      <c r="A368" s="232">
        <v>6222</v>
      </c>
      <c r="B368" s="85" t="s">
        <v>35</v>
      </c>
      <c r="C368" s="123"/>
      <c r="D368" s="363">
        <f t="shared" si="32"/>
        <v>1</v>
      </c>
      <c r="E368" s="124"/>
      <c r="F368" s="124"/>
      <c r="G368" s="124"/>
      <c r="H368" s="124"/>
      <c r="I368" s="124"/>
      <c r="J368" s="234">
        <f t="shared" si="34"/>
        <v>0</v>
      </c>
      <c r="K368" s="234">
        <f t="shared" si="34"/>
        <v>0</v>
      </c>
      <c r="L368" s="234">
        <f t="shared" si="34"/>
        <v>0</v>
      </c>
      <c r="M368" s="234">
        <f t="shared" si="34"/>
        <v>0</v>
      </c>
      <c r="N368" s="234">
        <f t="shared" si="34"/>
        <v>0</v>
      </c>
      <c r="O368" s="234">
        <f t="shared" si="34"/>
        <v>0</v>
      </c>
      <c r="P368" s="235">
        <f t="shared" si="34"/>
        <v>0</v>
      </c>
    </row>
    <row r="369" spans="1:16" x14ac:dyDescent="0.25">
      <c r="A369" s="232">
        <v>6222</v>
      </c>
      <c r="B369" s="108" t="s">
        <v>39</v>
      </c>
      <c r="C369" s="123"/>
      <c r="D369" s="363">
        <f t="shared" si="32"/>
        <v>2</v>
      </c>
      <c r="E369" s="124"/>
      <c r="F369" s="124"/>
      <c r="G369" s="124"/>
      <c r="H369" s="124"/>
      <c r="I369" s="124"/>
      <c r="J369" s="234">
        <f t="shared" si="34"/>
        <v>0</v>
      </c>
      <c r="K369" s="234">
        <f t="shared" si="34"/>
        <v>900</v>
      </c>
      <c r="L369" s="234">
        <f t="shared" si="34"/>
        <v>777</v>
      </c>
      <c r="M369" s="234">
        <f t="shared" si="34"/>
        <v>25</v>
      </c>
      <c r="N369" s="234">
        <f t="shared" si="34"/>
        <v>0</v>
      </c>
      <c r="O369" s="234">
        <f t="shared" si="34"/>
        <v>298</v>
      </c>
      <c r="P369" s="235">
        <f t="shared" si="34"/>
        <v>2000</v>
      </c>
    </row>
    <row r="370" spans="1:16" ht="15.75" thickBot="1" x14ac:dyDescent="0.3">
      <c r="A370" s="232">
        <v>6222</v>
      </c>
      <c r="B370" s="108" t="s">
        <v>34</v>
      </c>
      <c r="C370" s="123"/>
      <c r="D370" s="363">
        <f t="shared" si="32"/>
        <v>0</v>
      </c>
      <c r="E370" s="124"/>
      <c r="F370" s="124"/>
      <c r="G370" s="124"/>
      <c r="H370" s="124"/>
      <c r="I370" s="124"/>
      <c r="J370" s="234">
        <f t="shared" si="34"/>
        <v>0</v>
      </c>
      <c r="K370" s="234">
        <f t="shared" si="34"/>
        <v>0</v>
      </c>
      <c r="L370" s="234">
        <f t="shared" si="34"/>
        <v>0</v>
      </c>
      <c r="M370" s="234">
        <f t="shared" si="34"/>
        <v>0</v>
      </c>
      <c r="N370" s="234">
        <f t="shared" si="34"/>
        <v>0</v>
      </c>
      <c r="O370" s="234">
        <f t="shared" si="34"/>
        <v>0</v>
      </c>
      <c r="P370" s="235">
        <f t="shared" si="34"/>
        <v>0</v>
      </c>
    </row>
    <row r="371" spans="1:16" x14ac:dyDescent="0.25">
      <c r="A371" s="231">
        <v>6235</v>
      </c>
      <c r="B371" s="119" t="s">
        <v>28</v>
      </c>
      <c r="C371" s="120"/>
      <c r="D371" s="352">
        <f t="shared" si="32"/>
        <v>2</v>
      </c>
      <c r="E371" s="121"/>
      <c r="F371" s="121"/>
      <c r="G371" s="121"/>
      <c r="H371" s="121"/>
      <c r="I371" s="121"/>
      <c r="J371" s="236">
        <f t="shared" ref="J371:P380" si="35">SUMIFS(J$28:J$279,$A$28:$A$279,$A371,$B$28:$B$279,$B371)</f>
        <v>1250</v>
      </c>
      <c r="K371" s="236">
        <f t="shared" si="35"/>
        <v>1200</v>
      </c>
      <c r="L371" s="236">
        <f t="shared" si="35"/>
        <v>4200</v>
      </c>
      <c r="M371" s="236">
        <f t="shared" si="35"/>
        <v>200</v>
      </c>
      <c r="N371" s="236">
        <f t="shared" si="35"/>
        <v>100</v>
      </c>
      <c r="O371" s="236">
        <f t="shared" si="35"/>
        <v>520</v>
      </c>
      <c r="P371" s="237">
        <f t="shared" si="35"/>
        <v>7470</v>
      </c>
    </row>
    <row r="372" spans="1:16" x14ac:dyDescent="0.25">
      <c r="A372" s="232">
        <v>6235</v>
      </c>
      <c r="B372" s="108" t="s">
        <v>27</v>
      </c>
      <c r="C372" s="123"/>
      <c r="D372" s="363">
        <f t="shared" si="32"/>
        <v>13</v>
      </c>
      <c r="E372" s="124"/>
      <c r="F372" s="124"/>
      <c r="G372" s="124"/>
      <c r="H372" s="124"/>
      <c r="I372" s="124"/>
      <c r="J372" s="234">
        <f t="shared" si="35"/>
        <v>8900</v>
      </c>
      <c r="K372" s="234">
        <f t="shared" si="35"/>
        <v>7800</v>
      </c>
      <c r="L372" s="234">
        <f t="shared" si="35"/>
        <v>19500</v>
      </c>
      <c r="M372" s="234">
        <f t="shared" si="35"/>
        <v>1300</v>
      </c>
      <c r="N372" s="234">
        <f t="shared" si="35"/>
        <v>3315</v>
      </c>
      <c r="O372" s="234">
        <f t="shared" si="35"/>
        <v>5806</v>
      </c>
      <c r="P372" s="235">
        <f t="shared" si="35"/>
        <v>46621</v>
      </c>
    </row>
    <row r="373" spans="1:16" x14ac:dyDescent="0.25">
      <c r="A373" s="232">
        <v>6235</v>
      </c>
      <c r="B373" s="108" t="s">
        <v>32</v>
      </c>
      <c r="C373" s="123"/>
      <c r="D373" s="363">
        <f t="shared" si="32"/>
        <v>0</v>
      </c>
      <c r="E373" s="124"/>
      <c r="F373" s="124"/>
      <c r="G373" s="124"/>
      <c r="H373" s="124"/>
      <c r="I373" s="124"/>
      <c r="J373" s="234">
        <f t="shared" si="35"/>
        <v>0</v>
      </c>
      <c r="K373" s="234">
        <f t="shared" si="35"/>
        <v>0</v>
      </c>
      <c r="L373" s="234">
        <f t="shared" si="35"/>
        <v>0</v>
      </c>
      <c r="M373" s="234">
        <f t="shared" si="35"/>
        <v>0</v>
      </c>
      <c r="N373" s="234">
        <f t="shared" si="35"/>
        <v>0</v>
      </c>
      <c r="O373" s="234">
        <f t="shared" si="35"/>
        <v>0</v>
      </c>
      <c r="P373" s="235">
        <f t="shared" si="35"/>
        <v>0</v>
      </c>
    </row>
    <row r="374" spans="1:16" x14ac:dyDescent="0.25">
      <c r="A374" s="232">
        <v>6235</v>
      </c>
      <c r="B374" s="351" t="s">
        <v>685</v>
      </c>
      <c r="C374" s="123"/>
      <c r="D374" s="363">
        <f t="shared" si="32"/>
        <v>0</v>
      </c>
      <c r="E374" s="124"/>
      <c r="F374" s="124"/>
      <c r="G374" s="124"/>
      <c r="H374" s="124"/>
      <c r="I374" s="124"/>
      <c r="J374" s="234">
        <f t="shared" si="35"/>
        <v>0</v>
      </c>
      <c r="K374" s="234">
        <f t="shared" si="35"/>
        <v>0</v>
      </c>
      <c r="L374" s="234">
        <f t="shared" si="35"/>
        <v>0</v>
      </c>
      <c r="M374" s="234">
        <f t="shared" si="35"/>
        <v>0</v>
      </c>
      <c r="N374" s="234">
        <f t="shared" si="35"/>
        <v>0</v>
      </c>
      <c r="O374" s="234">
        <f t="shared" si="35"/>
        <v>0</v>
      </c>
      <c r="P374" s="235">
        <f t="shared" si="35"/>
        <v>0</v>
      </c>
    </row>
    <row r="375" spans="1:16" x14ac:dyDescent="0.25">
      <c r="A375" s="232">
        <v>6235</v>
      </c>
      <c r="B375" s="108" t="s">
        <v>41</v>
      </c>
      <c r="C375" s="123"/>
      <c r="D375" s="363">
        <f t="shared" si="32"/>
        <v>0</v>
      </c>
      <c r="E375" s="124"/>
      <c r="F375" s="124"/>
      <c r="G375" s="124"/>
      <c r="H375" s="124"/>
      <c r="I375" s="124"/>
      <c r="J375" s="234">
        <f t="shared" si="35"/>
        <v>0</v>
      </c>
      <c r="K375" s="234">
        <f t="shared" si="35"/>
        <v>0</v>
      </c>
      <c r="L375" s="234">
        <f t="shared" si="35"/>
        <v>0</v>
      </c>
      <c r="M375" s="234">
        <f t="shared" si="35"/>
        <v>0</v>
      </c>
      <c r="N375" s="234">
        <f t="shared" si="35"/>
        <v>0</v>
      </c>
      <c r="O375" s="234">
        <f t="shared" si="35"/>
        <v>0</v>
      </c>
      <c r="P375" s="235">
        <f t="shared" si="35"/>
        <v>0</v>
      </c>
    </row>
    <row r="376" spans="1:16" x14ac:dyDescent="0.25">
      <c r="A376" s="232">
        <v>6235</v>
      </c>
      <c r="B376" s="108" t="s">
        <v>775</v>
      </c>
      <c r="C376" s="123"/>
      <c r="D376" s="363">
        <f t="shared" si="32"/>
        <v>0</v>
      </c>
      <c r="E376" s="124"/>
      <c r="F376" s="124"/>
      <c r="G376" s="124"/>
      <c r="H376" s="124"/>
      <c r="I376" s="124"/>
      <c r="J376" s="234">
        <f t="shared" si="35"/>
        <v>0</v>
      </c>
      <c r="K376" s="234">
        <f t="shared" si="35"/>
        <v>0</v>
      </c>
      <c r="L376" s="234">
        <f t="shared" si="35"/>
        <v>0</v>
      </c>
      <c r="M376" s="234">
        <f t="shared" si="35"/>
        <v>0</v>
      </c>
      <c r="N376" s="234">
        <f t="shared" si="35"/>
        <v>0</v>
      </c>
      <c r="O376" s="234">
        <f t="shared" si="35"/>
        <v>0</v>
      </c>
      <c r="P376" s="235">
        <f t="shared" si="35"/>
        <v>0</v>
      </c>
    </row>
    <row r="377" spans="1:16" x14ac:dyDescent="0.25">
      <c r="A377" s="232">
        <v>6235</v>
      </c>
      <c r="B377" s="108" t="s">
        <v>37</v>
      </c>
      <c r="C377" s="123"/>
      <c r="D377" s="363">
        <f t="shared" ref="D377:D388" si="36">COUNTIFS($A$28:$A$279,$A377,$B$28:$B$279,$B377)</f>
        <v>0</v>
      </c>
      <c r="E377" s="124"/>
      <c r="F377" s="124"/>
      <c r="G377" s="124"/>
      <c r="H377" s="124"/>
      <c r="I377" s="124"/>
      <c r="J377" s="234">
        <f t="shared" si="35"/>
        <v>0</v>
      </c>
      <c r="K377" s="234">
        <f t="shared" si="35"/>
        <v>0</v>
      </c>
      <c r="L377" s="234">
        <f t="shared" si="35"/>
        <v>0</v>
      </c>
      <c r="M377" s="234">
        <f t="shared" si="35"/>
        <v>0</v>
      </c>
      <c r="N377" s="234">
        <f t="shared" si="35"/>
        <v>0</v>
      </c>
      <c r="O377" s="234">
        <f t="shared" si="35"/>
        <v>0</v>
      </c>
      <c r="P377" s="235">
        <f t="shared" si="35"/>
        <v>0</v>
      </c>
    </row>
    <row r="378" spans="1:16" x14ac:dyDescent="0.25">
      <c r="A378" s="232">
        <v>6235</v>
      </c>
      <c r="B378" s="108" t="s">
        <v>29</v>
      </c>
      <c r="C378" s="123"/>
      <c r="D378" s="363">
        <f t="shared" si="36"/>
        <v>1</v>
      </c>
      <c r="E378" s="124"/>
      <c r="F378" s="124"/>
      <c r="G378" s="124"/>
      <c r="H378" s="124"/>
      <c r="I378" s="124"/>
      <c r="J378" s="234">
        <f t="shared" si="35"/>
        <v>1800</v>
      </c>
      <c r="K378" s="234">
        <f t="shared" si="35"/>
        <v>650</v>
      </c>
      <c r="L378" s="234">
        <f t="shared" si="35"/>
        <v>1500</v>
      </c>
      <c r="M378" s="234">
        <f t="shared" si="35"/>
        <v>200</v>
      </c>
      <c r="N378" s="234">
        <f t="shared" si="35"/>
        <v>255</v>
      </c>
      <c r="O378" s="234">
        <f t="shared" si="35"/>
        <v>672</v>
      </c>
      <c r="P378" s="235">
        <f t="shared" si="35"/>
        <v>5077</v>
      </c>
    </row>
    <row r="379" spans="1:16" x14ac:dyDescent="0.25">
      <c r="A379" s="232">
        <v>6235</v>
      </c>
      <c r="B379" s="108" t="s">
        <v>536</v>
      </c>
      <c r="C379" s="123"/>
      <c r="D379" s="363">
        <f t="shared" si="36"/>
        <v>0</v>
      </c>
      <c r="E379" s="124"/>
      <c r="F379" s="124"/>
      <c r="G379" s="124"/>
      <c r="H379" s="124"/>
      <c r="I379" s="124"/>
      <c r="J379" s="234">
        <f t="shared" si="35"/>
        <v>0</v>
      </c>
      <c r="K379" s="234">
        <f t="shared" si="35"/>
        <v>0</v>
      </c>
      <c r="L379" s="234">
        <f t="shared" si="35"/>
        <v>0</v>
      </c>
      <c r="M379" s="234">
        <f t="shared" si="35"/>
        <v>0</v>
      </c>
      <c r="N379" s="234">
        <f t="shared" si="35"/>
        <v>0</v>
      </c>
      <c r="O379" s="234">
        <f t="shared" si="35"/>
        <v>0</v>
      </c>
      <c r="P379" s="235">
        <f t="shared" si="35"/>
        <v>0</v>
      </c>
    </row>
    <row r="380" spans="1:16" x14ac:dyDescent="0.25">
      <c r="A380" s="232">
        <v>6235</v>
      </c>
      <c r="B380" s="108" t="s">
        <v>36</v>
      </c>
      <c r="C380" s="123"/>
      <c r="D380" s="363">
        <f t="shared" si="36"/>
        <v>0</v>
      </c>
      <c r="E380" s="124"/>
      <c r="F380" s="124"/>
      <c r="G380" s="124"/>
      <c r="H380" s="124"/>
      <c r="I380" s="124"/>
      <c r="J380" s="234">
        <f t="shared" si="35"/>
        <v>0</v>
      </c>
      <c r="K380" s="234">
        <f t="shared" si="35"/>
        <v>0</v>
      </c>
      <c r="L380" s="234">
        <f t="shared" si="35"/>
        <v>0</v>
      </c>
      <c r="M380" s="234">
        <f t="shared" si="35"/>
        <v>0</v>
      </c>
      <c r="N380" s="234">
        <f t="shared" si="35"/>
        <v>0</v>
      </c>
      <c r="O380" s="234">
        <f t="shared" si="35"/>
        <v>0</v>
      </c>
      <c r="P380" s="235">
        <f t="shared" si="35"/>
        <v>0</v>
      </c>
    </row>
    <row r="381" spans="1:16" x14ac:dyDescent="0.25">
      <c r="A381" s="232">
        <v>6235</v>
      </c>
      <c r="B381" s="85" t="s">
        <v>31</v>
      </c>
      <c r="C381" s="123"/>
      <c r="D381" s="363">
        <f t="shared" si="36"/>
        <v>1</v>
      </c>
      <c r="E381" s="124"/>
      <c r="F381" s="124"/>
      <c r="G381" s="124"/>
      <c r="H381" s="124"/>
      <c r="I381" s="124"/>
      <c r="J381" s="234">
        <f t="shared" ref="J381:P388" si="37">SUMIFS(J$28:J$279,$A$28:$A$279,$A381,$B$28:$B$279,$B381)</f>
        <v>0</v>
      </c>
      <c r="K381" s="234">
        <f t="shared" si="37"/>
        <v>0</v>
      </c>
      <c r="L381" s="234">
        <f t="shared" si="37"/>
        <v>0</v>
      </c>
      <c r="M381" s="234">
        <f t="shared" si="37"/>
        <v>0</v>
      </c>
      <c r="N381" s="234">
        <f t="shared" si="37"/>
        <v>0</v>
      </c>
      <c r="O381" s="234">
        <f t="shared" si="37"/>
        <v>0</v>
      </c>
      <c r="P381" s="235">
        <f t="shared" si="37"/>
        <v>0</v>
      </c>
    </row>
    <row r="382" spans="1:16" x14ac:dyDescent="0.25">
      <c r="A382" s="232">
        <v>6235</v>
      </c>
      <c r="B382" s="85" t="s">
        <v>30</v>
      </c>
      <c r="C382" s="123"/>
      <c r="D382" s="363">
        <f t="shared" si="36"/>
        <v>0</v>
      </c>
      <c r="E382" s="124"/>
      <c r="F382" s="124"/>
      <c r="G382" s="124"/>
      <c r="H382" s="124"/>
      <c r="I382" s="124"/>
      <c r="J382" s="234">
        <f t="shared" si="37"/>
        <v>0</v>
      </c>
      <c r="K382" s="234">
        <f t="shared" si="37"/>
        <v>0</v>
      </c>
      <c r="L382" s="234">
        <f t="shared" si="37"/>
        <v>0</v>
      </c>
      <c r="M382" s="234">
        <f t="shared" si="37"/>
        <v>0</v>
      </c>
      <c r="N382" s="234">
        <f t="shared" si="37"/>
        <v>0</v>
      </c>
      <c r="O382" s="234">
        <f t="shared" si="37"/>
        <v>0</v>
      </c>
      <c r="P382" s="235">
        <f t="shared" si="37"/>
        <v>0</v>
      </c>
    </row>
    <row r="383" spans="1:16" x14ac:dyDescent="0.25">
      <c r="A383" s="232">
        <v>6235</v>
      </c>
      <c r="B383" s="85" t="s">
        <v>38</v>
      </c>
      <c r="C383" s="123"/>
      <c r="D383" s="363">
        <f t="shared" si="36"/>
        <v>0</v>
      </c>
      <c r="E383" s="124"/>
      <c r="F383" s="124"/>
      <c r="G383" s="124"/>
      <c r="H383" s="124"/>
      <c r="I383" s="124"/>
      <c r="J383" s="234">
        <f t="shared" si="37"/>
        <v>0</v>
      </c>
      <c r="K383" s="234">
        <f t="shared" si="37"/>
        <v>0</v>
      </c>
      <c r="L383" s="234">
        <f t="shared" si="37"/>
        <v>0</v>
      </c>
      <c r="M383" s="234">
        <f t="shared" si="37"/>
        <v>0</v>
      </c>
      <c r="N383" s="234">
        <f t="shared" si="37"/>
        <v>0</v>
      </c>
      <c r="O383" s="234">
        <f t="shared" si="37"/>
        <v>0</v>
      </c>
      <c r="P383" s="235">
        <f t="shared" si="37"/>
        <v>0</v>
      </c>
    </row>
    <row r="384" spans="1:16" x14ac:dyDescent="0.25">
      <c r="A384" s="232">
        <v>6235</v>
      </c>
      <c r="B384" s="85" t="s">
        <v>684</v>
      </c>
      <c r="C384" s="123"/>
      <c r="D384" s="363">
        <f t="shared" si="36"/>
        <v>0</v>
      </c>
      <c r="E384" s="124"/>
      <c r="F384" s="124"/>
      <c r="G384" s="124"/>
      <c r="H384" s="124"/>
      <c r="I384" s="124"/>
      <c r="J384" s="234">
        <f t="shared" si="37"/>
        <v>0</v>
      </c>
      <c r="K384" s="234">
        <f t="shared" si="37"/>
        <v>0</v>
      </c>
      <c r="L384" s="234">
        <f t="shared" si="37"/>
        <v>0</v>
      </c>
      <c r="M384" s="234">
        <f t="shared" si="37"/>
        <v>0</v>
      </c>
      <c r="N384" s="234">
        <f t="shared" si="37"/>
        <v>0</v>
      </c>
      <c r="O384" s="234">
        <f t="shared" si="37"/>
        <v>0</v>
      </c>
      <c r="P384" s="235">
        <f t="shared" si="37"/>
        <v>0</v>
      </c>
    </row>
    <row r="385" spans="1:16" x14ac:dyDescent="0.25">
      <c r="A385" s="232">
        <v>6235</v>
      </c>
      <c r="B385" s="85" t="s">
        <v>33</v>
      </c>
      <c r="C385" s="123"/>
      <c r="D385" s="363">
        <f t="shared" si="36"/>
        <v>2</v>
      </c>
      <c r="E385" s="124"/>
      <c r="F385" s="124"/>
      <c r="G385" s="124"/>
      <c r="H385" s="124"/>
      <c r="I385" s="124"/>
      <c r="J385" s="234">
        <f t="shared" si="37"/>
        <v>1200</v>
      </c>
      <c r="K385" s="234">
        <f t="shared" si="37"/>
        <v>1000</v>
      </c>
      <c r="L385" s="234">
        <f t="shared" si="37"/>
        <v>1000</v>
      </c>
      <c r="M385" s="234">
        <f t="shared" si="37"/>
        <v>0</v>
      </c>
      <c r="N385" s="234">
        <f t="shared" si="37"/>
        <v>0</v>
      </c>
      <c r="O385" s="234">
        <f t="shared" si="37"/>
        <v>200</v>
      </c>
      <c r="P385" s="235">
        <f t="shared" si="37"/>
        <v>3400</v>
      </c>
    </row>
    <row r="386" spans="1:16" x14ac:dyDescent="0.25">
      <c r="A386" s="232">
        <v>6235</v>
      </c>
      <c r="B386" s="85" t="s">
        <v>35</v>
      </c>
      <c r="C386" s="123"/>
      <c r="D386" s="363">
        <f t="shared" si="36"/>
        <v>1</v>
      </c>
      <c r="E386" s="124"/>
      <c r="F386" s="124"/>
      <c r="G386" s="124"/>
      <c r="H386" s="124"/>
      <c r="I386" s="124"/>
      <c r="J386" s="234">
        <f t="shared" si="37"/>
        <v>0</v>
      </c>
      <c r="K386" s="234">
        <f t="shared" si="37"/>
        <v>0</v>
      </c>
      <c r="L386" s="234">
        <f t="shared" si="37"/>
        <v>0</v>
      </c>
      <c r="M386" s="234">
        <f t="shared" si="37"/>
        <v>0</v>
      </c>
      <c r="N386" s="234">
        <f t="shared" si="37"/>
        <v>0</v>
      </c>
      <c r="O386" s="234">
        <f t="shared" si="37"/>
        <v>0</v>
      </c>
      <c r="P386" s="235">
        <f t="shared" si="37"/>
        <v>0</v>
      </c>
    </row>
    <row r="387" spans="1:16" x14ac:dyDescent="0.25">
      <c r="A387" s="232">
        <v>6235</v>
      </c>
      <c r="B387" s="108" t="s">
        <v>39</v>
      </c>
      <c r="C387" s="123"/>
      <c r="D387" s="363">
        <f t="shared" si="36"/>
        <v>5</v>
      </c>
      <c r="E387" s="124"/>
      <c r="F387" s="124"/>
      <c r="G387" s="124"/>
      <c r="H387" s="124"/>
      <c r="I387" s="124"/>
      <c r="J387" s="234">
        <f t="shared" si="37"/>
        <v>0</v>
      </c>
      <c r="K387" s="234">
        <f t="shared" si="37"/>
        <v>1475</v>
      </c>
      <c r="L387" s="234">
        <f t="shared" si="37"/>
        <v>1475</v>
      </c>
      <c r="M387" s="234">
        <f t="shared" si="37"/>
        <v>0</v>
      </c>
      <c r="N387" s="234">
        <f t="shared" si="37"/>
        <v>0</v>
      </c>
      <c r="O387" s="234">
        <f t="shared" si="37"/>
        <v>600</v>
      </c>
      <c r="P387" s="235">
        <f t="shared" si="37"/>
        <v>3550</v>
      </c>
    </row>
    <row r="388" spans="1:16" x14ac:dyDescent="0.25">
      <c r="A388" s="232">
        <v>6235</v>
      </c>
      <c r="B388" s="108" t="s">
        <v>34</v>
      </c>
      <c r="C388" s="123"/>
      <c r="D388" s="363">
        <f t="shared" si="36"/>
        <v>1</v>
      </c>
      <c r="E388" s="124"/>
      <c r="F388" s="124"/>
      <c r="G388" s="124"/>
      <c r="H388" s="124"/>
      <c r="I388" s="124"/>
      <c r="J388" s="234">
        <f t="shared" si="37"/>
        <v>0</v>
      </c>
      <c r="K388" s="234">
        <f t="shared" si="37"/>
        <v>125</v>
      </c>
      <c r="L388" s="234">
        <f t="shared" si="37"/>
        <v>125</v>
      </c>
      <c r="M388" s="234">
        <f t="shared" si="37"/>
        <v>0</v>
      </c>
      <c r="N388" s="234">
        <f t="shared" si="37"/>
        <v>0</v>
      </c>
      <c r="O388" s="234">
        <f t="shared" si="37"/>
        <v>200</v>
      </c>
      <c r="P388" s="235">
        <f t="shared" si="37"/>
        <v>450</v>
      </c>
    </row>
    <row r="389" spans="1:16" ht="15.75" thickBot="1" x14ac:dyDescent="0.3"/>
    <row r="390" spans="1:16" ht="15.75" thickBot="1" x14ac:dyDescent="0.3">
      <c r="A390" s="361"/>
      <c r="B390" s="362"/>
      <c r="C390" s="362"/>
      <c r="D390" s="364">
        <f>D280-SUM(D281:D388)</f>
        <v>-10</v>
      </c>
      <c r="E390" s="361"/>
      <c r="F390" s="361"/>
      <c r="G390" s="361"/>
      <c r="H390" s="361"/>
      <c r="I390" s="361"/>
      <c r="J390" s="360">
        <f t="shared" ref="J390:P390" si="38">J280-SUM(J281:J388)</f>
        <v>0</v>
      </c>
      <c r="K390" s="360">
        <f t="shared" si="38"/>
        <v>0</v>
      </c>
      <c r="L390" s="360">
        <f t="shared" si="38"/>
        <v>0</v>
      </c>
      <c r="M390" s="360">
        <f t="shared" si="38"/>
        <v>0</v>
      </c>
      <c r="N390" s="360">
        <f t="shared" si="38"/>
        <v>0</v>
      </c>
      <c r="O390" s="360">
        <f t="shared" si="38"/>
        <v>0</v>
      </c>
      <c r="P390" s="360">
        <f t="shared" si="38"/>
        <v>0</v>
      </c>
    </row>
    <row r="392" spans="1:16" customFormat="1" ht="12.75" x14ac:dyDescent="0.2">
      <c r="A392" s="36" t="s">
        <v>376</v>
      </c>
      <c r="B392" s="36"/>
      <c r="E392" s="36"/>
    </row>
    <row r="393" spans="1:16" customFormat="1" ht="12.75" x14ac:dyDescent="0.2"/>
    <row r="394" spans="1:16" customFormat="1" ht="12.75" x14ac:dyDescent="0.2">
      <c r="A394" s="1" t="s">
        <v>377</v>
      </c>
      <c r="B394" s="1"/>
      <c r="E394" s="1"/>
    </row>
    <row r="395" spans="1:16" customFormat="1" ht="12.75" x14ac:dyDescent="0.2">
      <c r="A395" s="1" t="s">
        <v>378</v>
      </c>
      <c r="B395" s="1"/>
      <c r="E395" s="1"/>
    </row>
    <row r="396" spans="1:16" customFormat="1" ht="12.75" x14ac:dyDescent="0.2"/>
    <row r="397" spans="1:16" customFormat="1" ht="12.75" x14ac:dyDescent="0.2"/>
    <row r="398" spans="1:16" customFormat="1" ht="12.75" x14ac:dyDescent="0.2"/>
    <row r="399" spans="1:16" customFormat="1" ht="12.75" x14ac:dyDescent="0.2"/>
    <row r="400" spans="1:16" customFormat="1" ht="12.75" x14ac:dyDescent="0.2"/>
    <row r="401" spans="1:14" customFormat="1" ht="12.75" x14ac:dyDescent="0.2"/>
    <row r="402" spans="1:14" customFormat="1" ht="12.75" x14ac:dyDescent="0.2">
      <c r="A402" s="36" t="s">
        <v>380</v>
      </c>
      <c r="D402" s="39" t="s">
        <v>381</v>
      </c>
      <c r="F402" s="39" t="s">
        <v>382</v>
      </c>
      <c r="J402" s="39"/>
      <c r="K402" s="39"/>
      <c r="L402" s="39"/>
      <c r="M402" s="39"/>
      <c r="N402" s="39"/>
    </row>
    <row r="403" spans="1:14" customFormat="1" ht="12.75" x14ac:dyDescent="0.2">
      <c r="A403" s="1" t="s">
        <v>377</v>
      </c>
    </row>
    <row r="404" spans="1:14" customFormat="1" ht="12.75" x14ac:dyDescent="0.2">
      <c r="A404" s="1" t="s">
        <v>378</v>
      </c>
    </row>
    <row r="405" spans="1:14" customFormat="1" ht="12.75" x14ac:dyDescent="0.2"/>
    <row r="420" spans="1:16" ht="12.75" x14ac:dyDescent="0.2">
      <c r="A420" s="232"/>
      <c r="B420" s="108"/>
      <c r="C420" s="85" t="s">
        <v>62</v>
      </c>
      <c r="D420" s="124"/>
      <c r="E420" s="124"/>
      <c r="F420" s="124"/>
      <c r="G420" s="124"/>
      <c r="H420" s="124"/>
      <c r="I420" s="124"/>
      <c r="J420" s="354">
        <f t="shared" ref="J420:P430" si="39">SUMIF($C$28:$C$279,$C420,J$28:J$279)</f>
        <v>24580</v>
      </c>
      <c r="K420" s="354">
        <f t="shared" si="39"/>
        <v>13550</v>
      </c>
      <c r="L420" s="354">
        <f t="shared" si="39"/>
        <v>35130</v>
      </c>
      <c r="M420" s="354">
        <f t="shared" si="39"/>
        <v>3650</v>
      </c>
      <c r="N420" s="354">
        <f t="shared" si="39"/>
        <v>18426.5</v>
      </c>
      <c r="O420" s="354">
        <f t="shared" si="39"/>
        <v>21478</v>
      </c>
      <c r="P420" s="235">
        <f t="shared" si="39"/>
        <v>116814.5</v>
      </c>
    </row>
    <row r="421" spans="1:16" ht="12.75" x14ac:dyDescent="0.2">
      <c r="A421" s="232"/>
      <c r="B421" s="108"/>
      <c r="C421" s="85" t="s">
        <v>118</v>
      </c>
      <c r="D421" s="124"/>
      <c r="E421" s="124"/>
      <c r="F421" s="124"/>
      <c r="G421" s="124"/>
      <c r="H421" s="124"/>
      <c r="I421" s="124"/>
      <c r="J421" s="354">
        <f t="shared" si="39"/>
        <v>0</v>
      </c>
      <c r="K421" s="354">
        <f t="shared" si="39"/>
        <v>0</v>
      </c>
      <c r="L421" s="354">
        <f t="shared" si="39"/>
        <v>0</v>
      </c>
      <c r="M421" s="354">
        <f t="shared" si="39"/>
        <v>0</v>
      </c>
      <c r="N421" s="354">
        <f t="shared" si="39"/>
        <v>0</v>
      </c>
      <c r="O421" s="354">
        <f t="shared" si="39"/>
        <v>0</v>
      </c>
      <c r="P421" s="235">
        <f t="shared" si="39"/>
        <v>0</v>
      </c>
    </row>
    <row r="422" spans="1:16" ht="12.75" x14ac:dyDescent="0.2">
      <c r="A422" s="232"/>
      <c r="B422" s="108"/>
      <c r="C422" s="85" t="s">
        <v>119</v>
      </c>
      <c r="D422" s="124"/>
      <c r="E422" s="124"/>
      <c r="F422" s="124"/>
      <c r="G422" s="124"/>
      <c r="H422" s="124"/>
      <c r="I422" s="124"/>
      <c r="J422" s="354">
        <f t="shared" si="39"/>
        <v>0</v>
      </c>
      <c r="K422" s="354">
        <f t="shared" si="39"/>
        <v>0</v>
      </c>
      <c r="L422" s="354">
        <f t="shared" si="39"/>
        <v>0</v>
      </c>
      <c r="M422" s="354">
        <f t="shared" si="39"/>
        <v>0</v>
      </c>
      <c r="N422" s="354">
        <f t="shared" si="39"/>
        <v>0</v>
      </c>
      <c r="O422" s="354">
        <f t="shared" si="39"/>
        <v>0</v>
      </c>
      <c r="P422" s="235">
        <f t="shared" si="39"/>
        <v>0</v>
      </c>
    </row>
    <row r="423" spans="1:16" ht="12.75" x14ac:dyDescent="0.2">
      <c r="A423" s="232"/>
      <c r="B423" s="108"/>
      <c r="C423" s="85" t="s">
        <v>142</v>
      </c>
      <c r="D423" s="124"/>
      <c r="E423" s="124"/>
      <c r="F423" s="124"/>
      <c r="G423" s="124"/>
      <c r="H423" s="124"/>
      <c r="I423" s="124"/>
      <c r="J423" s="354">
        <f t="shared" si="39"/>
        <v>0</v>
      </c>
      <c r="K423" s="354">
        <f t="shared" si="39"/>
        <v>0</v>
      </c>
      <c r="L423" s="354">
        <f t="shared" si="39"/>
        <v>0</v>
      </c>
      <c r="M423" s="354">
        <f t="shared" si="39"/>
        <v>0</v>
      </c>
      <c r="N423" s="354">
        <f t="shared" si="39"/>
        <v>0</v>
      </c>
      <c r="O423" s="354">
        <f t="shared" si="39"/>
        <v>0</v>
      </c>
      <c r="P423" s="235">
        <f t="shared" si="39"/>
        <v>0</v>
      </c>
    </row>
    <row r="424" spans="1:16" ht="12.75" x14ac:dyDescent="0.2">
      <c r="A424" s="232"/>
      <c r="B424" s="108"/>
      <c r="C424" s="85" t="s">
        <v>161</v>
      </c>
      <c r="D424" s="124"/>
      <c r="E424" s="124"/>
      <c r="F424" s="124"/>
      <c r="G424" s="124"/>
      <c r="H424" s="124"/>
      <c r="I424" s="124"/>
      <c r="J424" s="354">
        <f t="shared" si="39"/>
        <v>0</v>
      </c>
      <c r="K424" s="354">
        <f t="shared" si="39"/>
        <v>0</v>
      </c>
      <c r="L424" s="354">
        <f t="shared" si="39"/>
        <v>0</v>
      </c>
      <c r="M424" s="354">
        <f t="shared" si="39"/>
        <v>0</v>
      </c>
      <c r="N424" s="354">
        <f t="shared" si="39"/>
        <v>0</v>
      </c>
      <c r="O424" s="354">
        <f t="shared" si="39"/>
        <v>0</v>
      </c>
      <c r="P424" s="235">
        <f t="shared" si="39"/>
        <v>0</v>
      </c>
    </row>
    <row r="425" spans="1:16" ht="12.75" x14ac:dyDescent="0.2">
      <c r="A425" s="232"/>
      <c r="B425" s="108"/>
      <c r="C425" s="85" t="s">
        <v>1136</v>
      </c>
      <c r="D425" s="124"/>
      <c r="E425" s="124"/>
      <c r="F425" s="124"/>
      <c r="G425" s="124"/>
      <c r="H425" s="124"/>
      <c r="I425" s="124"/>
      <c r="J425" s="354">
        <f t="shared" si="39"/>
        <v>0</v>
      </c>
      <c r="K425" s="354">
        <f t="shared" si="39"/>
        <v>0</v>
      </c>
      <c r="L425" s="354">
        <f t="shared" si="39"/>
        <v>1500</v>
      </c>
      <c r="M425" s="354">
        <f t="shared" si="39"/>
        <v>0</v>
      </c>
      <c r="N425" s="354">
        <f t="shared" si="39"/>
        <v>0</v>
      </c>
      <c r="O425" s="354">
        <f t="shared" si="39"/>
        <v>500</v>
      </c>
      <c r="P425" s="235">
        <f t="shared" si="39"/>
        <v>2000</v>
      </c>
    </row>
    <row r="426" spans="1:16" s="514" customFormat="1" ht="12.75" x14ac:dyDescent="0.2">
      <c r="A426" s="232"/>
      <c r="B426" s="108"/>
      <c r="C426" s="669" t="s">
        <v>1475</v>
      </c>
      <c r="D426" s="124"/>
      <c r="E426" s="124"/>
      <c r="F426" s="124"/>
      <c r="G426" s="124"/>
      <c r="H426" s="124"/>
      <c r="I426" s="124"/>
      <c r="J426" s="354">
        <f t="shared" si="39"/>
        <v>0</v>
      </c>
      <c r="K426" s="354">
        <f t="shared" si="39"/>
        <v>0</v>
      </c>
      <c r="L426" s="354">
        <f t="shared" si="39"/>
        <v>0</v>
      </c>
      <c r="M426" s="354">
        <f t="shared" si="39"/>
        <v>0</v>
      </c>
      <c r="N426" s="354">
        <f t="shared" si="39"/>
        <v>0</v>
      </c>
      <c r="O426" s="354">
        <f t="shared" si="39"/>
        <v>0</v>
      </c>
      <c r="P426" s="235">
        <f t="shared" si="39"/>
        <v>0</v>
      </c>
    </row>
    <row r="427" spans="1:16" ht="12.75" x14ac:dyDescent="0.2">
      <c r="A427" s="232"/>
      <c r="B427" s="108"/>
      <c r="C427" s="85" t="s">
        <v>133</v>
      </c>
      <c r="D427" s="124"/>
      <c r="E427" s="124"/>
      <c r="F427" s="124"/>
      <c r="G427" s="124"/>
      <c r="H427" s="124"/>
      <c r="I427" s="124"/>
      <c r="J427" s="354">
        <f t="shared" si="39"/>
        <v>0</v>
      </c>
      <c r="K427" s="354">
        <f t="shared" si="39"/>
        <v>0</v>
      </c>
      <c r="L427" s="354">
        <f t="shared" si="39"/>
        <v>1500</v>
      </c>
      <c r="M427" s="354">
        <f t="shared" si="39"/>
        <v>0</v>
      </c>
      <c r="N427" s="354">
        <f t="shared" si="39"/>
        <v>0</v>
      </c>
      <c r="O427" s="354">
        <f t="shared" si="39"/>
        <v>500</v>
      </c>
      <c r="P427" s="235">
        <f t="shared" si="39"/>
        <v>2000</v>
      </c>
    </row>
    <row r="428" spans="1:16" ht="12.75" x14ac:dyDescent="0.2">
      <c r="A428" s="232"/>
      <c r="B428" s="108"/>
      <c r="C428" s="85" t="s">
        <v>136</v>
      </c>
      <c r="D428" s="124"/>
      <c r="E428" s="124"/>
      <c r="F428" s="124"/>
      <c r="G428" s="124"/>
      <c r="H428" s="124"/>
      <c r="I428" s="124"/>
      <c r="J428" s="354">
        <f t="shared" si="39"/>
        <v>0</v>
      </c>
      <c r="K428" s="354">
        <f t="shared" si="39"/>
        <v>0</v>
      </c>
      <c r="L428" s="354">
        <f t="shared" si="39"/>
        <v>0</v>
      </c>
      <c r="M428" s="354">
        <f t="shared" si="39"/>
        <v>0</v>
      </c>
      <c r="N428" s="354">
        <f t="shared" si="39"/>
        <v>0</v>
      </c>
      <c r="O428" s="354">
        <f t="shared" si="39"/>
        <v>0</v>
      </c>
      <c r="P428" s="235">
        <f t="shared" si="39"/>
        <v>0</v>
      </c>
    </row>
    <row r="429" spans="1:16" ht="12.75" x14ac:dyDescent="0.2">
      <c r="A429" s="232"/>
      <c r="B429" s="108"/>
      <c r="C429" s="85" t="s">
        <v>134</v>
      </c>
      <c r="D429" s="124"/>
      <c r="E429" s="124"/>
      <c r="F429" s="124"/>
      <c r="G429" s="124"/>
      <c r="H429" s="124"/>
      <c r="I429" s="124"/>
      <c r="J429" s="354">
        <f t="shared" si="39"/>
        <v>0</v>
      </c>
      <c r="K429" s="354">
        <f t="shared" si="39"/>
        <v>0</v>
      </c>
      <c r="L429" s="354">
        <f t="shared" si="39"/>
        <v>0</v>
      </c>
      <c r="M429" s="354">
        <f t="shared" si="39"/>
        <v>0</v>
      </c>
      <c r="N429" s="354">
        <f t="shared" si="39"/>
        <v>0</v>
      </c>
      <c r="O429" s="354">
        <f t="shared" si="39"/>
        <v>500</v>
      </c>
      <c r="P429" s="235">
        <f t="shared" si="39"/>
        <v>500</v>
      </c>
    </row>
    <row r="430" spans="1:16" ht="12.75" x14ac:dyDescent="0.2">
      <c r="A430" s="232"/>
      <c r="B430" s="108"/>
      <c r="C430" s="85" t="s">
        <v>131</v>
      </c>
      <c r="D430" s="124"/>
      <c r="E430" s="124"/>
      <c r="F430" s="124"/>
      <c r="G430" s="124"/>
      <c r="H430" s="124"/>
      <c r="I430" s="124"/>
      <c r="J430" s="354">
        <f t="shared" si="39"/>
        <v>0</v>
      </c>
      <c r="K430" s="354">
        <f t="shared" si="39"/>
        <v>0</v>
      </c>
      <c r="L430" s="354">
        <f t="shared" si="39"/>
        <v>0</v>
      </c>
      <c r="M430" s="354">
        <f t="shared" si="39"/>
        <v>0</v>
      </c>
      <c r="N430" s="354">
        <f t="shared" si="39"/>
        <v>0</v>
      </c>
      <c r="O430" s="354">
        <f t="shared" si="39"/>
        <v>0</v>
      </c>
      <c r="P430" s="235">
        <f t="shared" si="39"/>
        <v>0</v>
      </c>
    </row>
    <row r="431" spans="1:16" ht="12.75" x14ac:dyDescent="0.2">
      <c r="A431" s="232"/>
      <c r="B431" s="108"/>
      <c r="C431" s="85" t="s">
        <v>137</v>
      </c>
      <c r="D431" s="124"/>
      <c r="E431" s="124"/>
      <c r="F431" s="124"/>
      <c r="G431" s="124"/>
      <c r="H431" s="124"/>
      <c r="I431" s="124"/>
      <c r="J431" s="354">
        <f t="shared" ref="J431:P440" si="40">SUMIF($C$28:$C$279,$C431,J$28:J$279)</f>
        <v>500</v>
      </c>
      <c r="K431" s="354">
        <f t="shared" si="40"/>
        <v>500</v>
      </c>
      <c r="L431" s="354">
        <f t="shared" si="40"/>
        <v>1000</v>
      </c>
      <c r="M431" s="354">
        <f t="shared" si="40"/>
        <v>0</v>
      </c>
      <c r="N431" s="354">
        <f t="shared" si="40"/>
        <v>0</v>
      </c>
      <c r="O431" s="354">
        <f t="shared" si="40"/>
        <v>1000</v>
      </c>
      <c r="P431" s="235">
        <f t="shared" si="40"/>
        <v>3000</v>
      </c>
    </row>
    <row r="432" spans="1:16" ht="12.75" x14ac:dyDescent="0.2">
      <c r="A432" s="232"/>
      <c r="B432" s="108"/>
      <c r="C432" s="85" t="s">
        <v>132</v>
      </c>
      <c r="D432" s="124"/>
      <c r="E432" s="124"/>
      <c r="F432" s="124"/>
      <c r="G432" s="124"/>
      <c r="H432" s="124"/>
      <c r="I432" s="124"/>
      <c r="J432" s="354">
        <f t="shared" si="40"/>
        <v>0</v>
      </c>
      <c r="K432" s="354">
        <f t="shared" si="40"/>
        <v>0</v>
      </c>
      <c r="L432" s="354">
        <f t="shared" si="40"/>
        <v>0</v>
      </c>
      <c r="M432" s="354">
        <f t="shared" si="40"/>
        <v>0</v>
      </c>
      <c r="N432" s="354">
        <f t="shared" si="40"/>
        <v>0</v>
      </c>
      <c r="O432" s="354">
        <f t="shared" si="40"/>
        <v>0</v>
      </c>
      <c r="P432" s="235">
        <f t="shared" si="40"/>
        <v>0</v>
      </c>
    </row>
    <row r="433" spans="1:16" ht="12.75" x14ac:dyDescent="0.2">
      <c r="A433" s="232"/>
      <c r="B433" s="108"/>
      <c r="C433" s="85" t="s">
        <v>160</v>
      </c>
      <c r="D433" s="124"/>
      <c r="E433" s="124"/>
      <c r="F433" s="124"/>
      <c r="G433" s="124"/>
      <c r="H433" s="124"/>
      <c r="I433" s="124"/>
      <c r="J433" s="354">
        <f t="shared" si="40"/>
        <v>0</v>
      </c>
      <c r="K433" s="354">
        <f t="shared" si="40"/>
        <v>0</v>
      </c>
      <c r="L433" s="354">
        <f t="shared" si="40"/>
        <v>0</v>
      </c>
      <c r="M433" s="354">
        <f t="shared" si="40"/>
        <v>0</v>
      </c>
      <c r="N433" s="354">
        <f t="shared" si="40"/>
        <v>0</v>
      </c>
      <c r="O433" s="354">
        <f t="shared" si="40"/>
        <v>0</v>
      </c>
      <c r="P433" s="235">
        <f t="shared" si="40"/>
        <v>0</v>
      </c>
    </row>
    <row r="434" spans="1:16" ht="12.75" x14ac:dyDescent="0.2">
      <c r="A434" s="232"/>
      <c r="B434" s="108"/>
      <c r="C434" s="85" t="s">
        <v>135</v>
      </c>
      <c r="D434" s="124"/>
      <c r="E434" s="124"/>
      <c r="F434" s="124"/>
      <c r="G434" s="124"/>
      <c r="H434" s="124"/>
      <c r="I434" s="124"/>
      <c r="J434" s="354">
        <f t="shared" si="40"/>
        <v>0</v>
      </c>
      <c r="K434" s="354">
        <f t="shared" si="40"/>
        <v>0</v>
      </c>
      <c r="L434" s="354">
        <f t="shared" si="40"/>
        <v>0</v>
      </c>
      <c r="M434" s="354">
        <f t="shared" si="40"/>
        <v>0</v>
      </c>
      <c r="N434" s="354">
        <f t="shared" si="40"/>
        <v>0</v>
      </c>
      <c r="O434" s="354">
        <f t="shared" si="40"/>
        <v>0</v>
      </c>
      <c r="P434" s="235">
        <f t="shared" si="40"/>
        <v>0</v>
      </c>
    </row>
    <row r="435" spans="1:16" ht="12.75" x14ac:dyDescent="0.2">
      <c r="A435" s="232"/>
      <c r="B435" s="108"/>
      <c r="C435" s="85" t="s">
        <v>114</v>
      </c>
      <c r="D435" s="124"/>
      <c r="E435" s="124"/>
      <c r="F435" s="124"/>
      <c r="G435" s="124"/>
      <c r="H435" s="124"/>
      <c r="I435" s="124"/>
      <c r="J435" s="354">
        <f t="shared" si="40"/>
        <v>1800</v>
      </c>
      <c r="K435" s="354">
        <f t="shared" si="40"/>
        <v>1250</v>
      </c>
      <c r="L435" s="354">
        <f t="shared" si="40"/>
        <v>1575</v>
      </c>
      <c r="M435" s="354">
        <f t="shared" si="40"/>
        <v>180</v>
      </c>
      <c r="N435" s="354">
        <f t="shared" si="40"/>
        <v>0</v>
      </c>
      <c r="O435" s="354">
        <f t="shared" si="40"/>
        <v>2000</v>
      </c>
      <c r="P435" s="235">
        <f t="shared" si="40"/>
        <v>6805</v>
      </c>
    </row>
    <row r="436" spans="1:16" ht="12.75" x14ac:dyDescent="0.2">
      <c r="A436" s="232"/>
      <c r="B436" s="108"/>
      <c r="C436" s="85" t="s">
        <v>140</v>
      </c>
      <c r="D436" s="124"/>
      <c r="E436" s="124"/>
      <c r="F436" s="124"/>
      <c r="G436" s="124"/>
      <c r="H436" s="124"/>
      <c r="I436" s="124"/>
      <c r="J436" s="354">
        <f t="shared" si="40"/>
        <v>0</v>
      </c>
      <c r="K436" s="354">
        <f t="shared" si="40"/>
        <v>0</v>
      </c>
      <c r="L436" s="354">
        <f t="shared" si="40"/>
        <v>0</v>
      </c>
      <c r="M436" s="354">
        <f t="shared" si="40"/>
        <v>0</v>
      </c>
      <c r="N436" s="354">
        <f t="shared" si="40"/>
        <v>0</v>
      </c>
      <c r="O436" s="354">
        <f t="shared" si="40"/>
        <v>0</v>
      </c>
      <c r="P436" s="235">
        <f t="shared" si="40"/>
        <v>0</v>
      </c>
    </row>
    <row r="437" spans="1:16" ht="12.75" x14ac:dyDescent="0.2">
      <c r="A437" s="232"/>
      <c r="B437" s="108"/>
      <c r="C437" s="85" t="s">
        <v>166</v>
      </c>
      <c r="D437" s="124"/>
      <c r="E437" s="124"/>
      <c r="F437" s="124"/>
      <c r="G437" s="124"/>
      <c r="H437" s="124"/>
      <c r="I437" s="124"/>
      <c r="J437" s="354">
        <f t="shared" si="40"/>
        <v>0</v>
      </c>
      <c r="K437" s="354">
        <f t="shared" si="40"/>
        <v>0</v>
      </c>
      <c r="L437" s="354">
        <f t="shared" si="40"/>
        <v>0</v>
      </c>
      <c r="M437" s="354">
        <f t="shared" si="40"/>
        <v>0</v>
      </c>
      <c r="N437" s="354">
        <f t="shared" si="40"/>
        <v>0</v>
      </c>
      <c r="O437" s="354">
        <f t="shared" si="40"/>
        <v>0</v>
      </c>
      <c r="P437" s="235">
        <f t="shared" si="40"/>
        <v>0</v>
      </c>
    </row>
    <row r="438" spans="1:16" ht="12.75" x14ac:dyDescent="0.2">
      <c r="A438" s="232"/>
      <c r="B438" s="108"/>
      <c r="C438" s="85" t="s">
        <v>63</v>
      </c>
      <c r="D438" s="124"/>
      <c r="E438" s="124"/>
      <c r="F438" s="124"/>
      <c r="G438" s="124"/>
      <c r="H438" s="124"/>
      <c r="I438" s="124"/>
      <c r="J438" s="354">
        <f t="shared" si="40"/>
        <v>0</v>
      </c>
      <c r="K438" s="354">
        <f t="shared" si="40"/>
        <v>0</v>
      </c>
      <c r="L438" s="354">
        <f t="shared" si="40"/>
        <v>0</v>
      </c>
      <c r="M438" s="354">
        <f t="shared" si="40"/>
        <v>0</v>
      </c>
      <c r="N438" s="354">
        <f t="shared" si="40"/>
        <v>0</v>
      </c>
      <c r="O438" s="354">
        <f t="shared" si="40"/>
        <v>0</v>
      </c>
      <c r="P438" s="235">
        <f t="shared" si="40"/>
        <v>0</v>
      </c>
    </row>
    <row r="439" spans="1:16" ht="12.75" x14ac:dyDescent="0.2">
      <c r="A439" s="232"/>
      <c r="B439" s="108"/>
      <c r="C439" s="85" t="s">
        <v>64</v>
      </c>
      <c r="D439" s="124"/>
      <c r="E439" s="124"/>
      <c r="F439" s="124"/>
      <c r="G439" s="124"/>
      <c r="H439" s="124"/>
      <c r="I439" s="124"/>
      <c r="J439" s="354">
        <f t="shared" si="40"/>
        <v>0</v>
      </c>
      <c r="K439" s="354">
        <f t="shared" si="40"/>
        <v>0</v>
      </c>
      <c r="L439" s="354">
        <f t="shared" si="40"/>
        <v>0</v>
      </c>
      <c r="M439" s="354">
        <f t="shared" si="40"/>
        <v>0</v>
      </c>
      <c r="N439" s="354">
        <f t="shared" si="40"/>
        <v>0</v>
      </c>
      <c r="O439" s="354">
        <f t="shared" si="40"/>
        <v>0</v>
      </c>
      <c r="P439" s="235">
        <f t="shared" si="40"/>
        <v>0</v>
      </c>
    </row>
    <row r="440" spans="1:16" ht="12.75" x14ac:dyDescent="0.2">
      <c r="A440" s="232"/>
      <c r="B440" s="108"/>
      <c r="C440" s="85" t="s">
        <v>796</v>
      </c>
      <c r="D440" s="124"/>
      <c r="E440" s="124"/>
      <c r="F440" s="124"/>
      <c r="G440" s="124"/>
      <c r="H440" s="124"/>
      <c r="I440" s="124"/>
      <c r="J440" s="354">
        <f t="shared" si="40"/>
        <v>0</v>
      </c>
      <c r="K440" s="354">
        <f t="shared" si="40"/>
        <v>0</v>
      </c>
      <c r="L440" s="354">
        <f t="shared" si="40"/>
        <v>0</v>
      </c>
      <c r="M440" s="354">
        <f t="shared" si="40"/>
        <v>0</v>
      </c>
      <c r="N440" s="354">
        <f t="shared" si="40"/>
        <v>0</v>
      </c>
      <c r="O440" s="354">
        <f t="shared" si="40"/>
        <v>0</v>
      </c>
      <c r="P440" s="235">
        <f t="shared" si="40"/>
        <v>0</v>
      </c>
    </row>
    <row r="441" spans="1:16" ht="12.75" x14ac:dyDescent="0.2">
      <c r="A441" s="232"/>
      <c r="B441" s="108"/>
      <c r="C441" s="85" t="s">
        <v>145</v>
      </c>
      <c r="D441" s="124"/>
      <c r="E441" s="124"/>
      <c r="F441" s="124"/>
      <c r="G441" s="124"/>
      <c r="H441" s="124"/>
      <c r="I441" s="124"/>
      <c r="J441" s="354">
        <f t="shared" ref="J441:P450" si="41">SUMIF($C$28:$C$279,$C441,J$28:J$279)</f>
        <v>0</v>
      </c>
      <c r="K441" s="354">
        <f t="shared" si="41"/>
        <v>0</v>
      </c>
      <c r="L441" s="354">
        <f t="shared" si="41"/>
        <v>0</v>
      </c>
      <c r="M441" s="354">
        <f t="shared" si="41"/>
        <v>0</v>
      </c>
      <c r="N441" s="354">
        <f t="shared" si="41"/>
        <v>0</v>
      </c>
      <c r="O441" s="354">
        <f t="shared" si="41"/>
        <v>0</v>
      </c>
      <c r="P441" s="235">
        <f t="shared" si="41"/>
        <v>0</v>
      </c>
    </row>
    <row r="442" spans="1:16" ht="12.75" x14ac:dyDescent="0.2">
      <c r="A442" s="232"/>
      <c r="B442" s="108"/>
      <c r="C442" s="85" t="s">
        <v>159</v>
      </c>
      <c r="D442" s="124"/>
      <c r="E442" s="124"/>
      <c r="F442" s="124"/>
      <c r="G442" s="124"/>
      <c r="H442" s="124"/>
      <c r="I442" s="124"/>
      <c r="J442" s="354">
        <f t="shared" si="41"/>
        <v>0</v>
      </c>
      <c r="K442" s="354">
        <f t="shared" si="41"/>
        <v>0</v>
      </c>
      <c r="L442" s="354">
        <f t="shared" si="41"/>
        <v>0</v>
      </c>
      <c r="M442" s="354">
        <f t="shared" si="41"/>
        <v>0</v>
      </c>
      <c r="N442" s="354">
        <f t="shared" si="41"/>
        <v>0</v>
      </c>
      <c r="O442" s="354">
        <f t="shared" si="41"/>
        <v>3000</v>
      </c>
      <c r="P442" s="235">
        <f t="shared" si="41"/>
        <v>3000</v>
      </c>
    </row>
    <row r="443" spans="1:16" ht="12.75" x14ac:dyDescent="0.2">
      <c r="A443" s="232"/>
      <c r="B443" s="108"/>
      <c r="C443" s="85" t="s">
        <v>147</v>
      </c>
      <c r="D443" s="124"/>
      <c r="E443" s="124"/>
      <c r="F443" s="124"/>
      <c r="G443" s="124"/>
      <c r="H443" s="124"/>
      <c r="I443" s="124"/>
      <c r="J443" s="354">
        <f t="shared" si="41"/>
        <v>0</v>
      </c>
      <c r="K443" s="354">
        <f t="shared" si="41"/>
        <v>0</v>
      </c>
      <c r="L443" s="354">
        <f t="shared" si="41"/>
        <v>0</v>
      </c>
      <c r="M443" s="354">
        <f t="shared" si="41"/>
        <v>0</v>
      </c>
      <c r="N443" s="354">
        <f t="shared" si="41"/>
        <v>0</v>
      </c>
      <c r="O443" s="354">
        <f t="shared" si="41"/>
        <v>0</v>
      </c>
      <c r="P443" s="235">
        <f t="shared" si="41"/>
        <v>0</v>
      </c>
    </row>
    <row r="444" spans="1:16" ht="12.75" x14ac:dyDescent="0.2">
      <c r="A444" s="232"/>
      <c r="B444" s="108"/>
      <c r="C444" s="85" t="s">
        <v>150</v>
      </c>
      <c r="D444" s="124"/>
      <c r="E444" s="124"/>
      <c r="F444" s="124"/>
      <c r="G444" s="124"/>
      <c r="H444" s="124"/>
      <c r="I444" s="124"/>
      <c r="J444" s="354">
        <f t="shared" si="41"/>
        <v>0</v>
      </c>
      <c r="K444" s="354">
        <f t="shared" si="41"/>
        <v>0</v>
      </c>
      <c r="L444" s="354">
        <f t="shared" si="41"/>
        <v>0</v>
      </c>
      <c r="M444" s="354">
        <f t="shared" si="41"/>
        <v>0</v>
      </c>
      <c r="N444" s="354">
        <f t="shared" si="41"/>
        <v>0</v>
      </c>
      <c r="O444" s="354">
        <f t="shared" si="41"/>
        <v>0</v>
      </c>
      <c r="P444" s="235">
        <f t="shared" si="41"/>
        <v>0</v>
      </c>
    </row>
    <row r="445" spans="1:16" ht="12.75" x14ac:dyDescent="0.2">
      <c r="A445" s="232"/>
      <c r="B445" s="108"/>
      <c r="C445" s="85" t="s">
        <v>151</v>
      </c>
      <c r="D445" s="124"/>
      <c r="E445" s="124"/>
      <c r="F445" s="124"/>
      <c r="G445" s="124"/>
      <c r="H445" s="124"/>
      <c r="I445" s="124"/>
      <c r="J445" s="354">
        <f t="shared" si="41"/>
        <v>0</v>
      </c>
      <c r="K445" s="354">
        <f t="shared" si="41"/>
        <v>0</v>
      </c>
      <c r="L445" s="354">
        <f t="shared" si="41"/>
        <v>0</v>
      </c>
      <c r="M445" s="354">
        <f t="shared" si="41"/>
        <v>0</v>
      </c>
      <c r="N445" s="354">
        <f t="shared" si="41"/>
        <v>0</v>
      </c>
      <c r="O445" s="354">
        <f t="shared" si="41"/>
        <v>0</v>
      </c>
      <c r="P445" s="235">
        <f t="shared" si="41"/>
        <v>0</v>
      </c>
    </row>
    <row r="446" spans="1:16" ht="12.75" x14ac:dyDescent="0.2">
      <c r="A446" s="232"/>
      <c r="B446" s="108"/>
      <c r="C446" s="85" t="s">
        <v>154</v>
      </c>
      <c r="D446" s="124"/>
      <c r="E446" s="124"/>
      <c r="F446" s="124"/>
      <c r="G446" s="124"/>
      <c r="H446" s="124"/>
      <c r="I446" s="124"/>
      <c r="J446" s="354">
        <f t="shared" si="41"/>
        <v>0</v>
      </c>
      <c r="K446" s="354">
        <f t="shared" si="41"/>
        <v>0</v>
      </c>
      <c r="L446" s="354">
        <f t="shared" si="41"/>
        <v>0</v>
      </c>
      <c r="M446" s="354">
        <f t="shared" si="41"/>
        <v>0</v>
      </c>
      <c r="N446" s="354">
        <f t="shared" si="41"/>
        <v>0</v>
      </c>
      <c r="O446" s="354">
        <f t="shared" si="41"/>
        <v>0</v>
      </c>
      <c r="P446" s="235">
        <f t="shared" si="41"/>
        <v>0</v>
      </c>
    </row>
    <row r="447" spans="1:16" ht="12.75" x14ac:dyDescent="0.2">
      <c r="A447" s="232"/>
      <c r="B447" s="108"/>
      <c r="C447" s="85" t="s">
        <v>149</v>
      </c>
      <c r="D447" s="124"/>
      <c r="E447" s="124"/>
      <c r="F447" s="124"/>
      <c r="G447" s="124"/>
      <c r="H447" s="124"/>
      <c r="I447" s="124"/>
      <c r="J447" s="354">
        <f t="shared" si="41"/>
        <v>0</v>
      </c>
      <c r="K447" s="354">
        <f t="shared" si="41"/>
        <v>0</v>
      </c>
      <c r="L447" s="354">
        <f t="shared" si="41"/>
        <v>0</v>
      </c>
      <c r="M447" s="354">
        <f t="shared" si="41"/>
        <v>0</v>
      </c>
      <c r="N447" s="354">
        <f t="shared" si="41"/>
        <v>0</v>
      </c>
      <c r="O447" s="354">
        <f t="shared" si="41"/>
        <v>0</v>
      </c>
      <c r="P447" s="235">
        <f t="shared" si="41"/>
        <v>0</v>
      </c>
    </row>
    <row r="448" spans="1:16" ht="12.75" x14ac:dyDescent="0.2">
      <c r="A448" s="232"/>
      <c r="B448" s="108"/>
      <c r="C448" s="85" t="s">
        <v>152</v>
      </c>
      <c r="D448" s="124"/>
      <c r="E448" s="124"/>
      <c r="F448" s="124"/>
      <c r="G448" s="124"/>
      <c r="H448" s="124"/>
      <c r="I448" s="124"/>
      <c r="J448" s="354">
        <f t="shared" si="41"/>
        <v>0</v>
      </c>
      <c r="K448" s="354">
        <f t="shared" si="41"/>
        <v>0</v>
      </c>
      <c r="L448" s="354">
        <f t="shared" si="41"/>
        <v>0</v>
      </c>
      <c r="M448" s="354">
        <f t="shared" si="41"/>
        <v>0</v>
      </c>
      <c r="N448" s="354">
        <f t="shared" si="41"/>
        <v>0</v>
      </c>
      <c r="O448" s="354">
        <f t="shared" si="41"/>
        <v>0</v>
      </c>
      <c r="P448" s="235">
        <f t="shared" si="41"/>
        <v>0</v>
      </c>
    </row>
    <row r="449" spans="1:16" ht="12.75" x14ac:dyDescent="0.2">
      <c r="A449" s="232"/>
      <c r="B449" s="108"/>
      <c r="C449" s="85" t="s">
        <v>167</v>
      </c>
      <c r="D449" s="124"/>
      <c r="E449" s="124"/>
      <c r="F449" s="124"/>
      <c r="G449" s="124"/>
      <c r="H449" s="124"/>
      <c r="I449" s="124"/>
      <c r="J449" s="354">
        <f t="shared" si="41"/>
        <v>0</v>
      </c>
      <c r="K449" s="354">
        <f t="shared" si="41"/>
        <v>0</v>
      </c>
      <c r="L449" s="354">
        <f t="shared" si="41"/>
        <v>0</v>
      </c>
      <c r="M449" s="354">
        <f t="shared" si="41"/>
        <v>0</v>
      </c>
      <c r="N449" s="354">
        <f t="shared" si="41"/>
        <v>0</v>
      </c>
      <c r="O449" s="354">
        <f t="shared" si="41"/>
        <v>0</v>
      </c>
      <c r="P449" s="235">
        <f t="shared" si="41"/>
        <v>0</v>
      </c>
    </row>
    <row r="450" spans="1:16" ht="12.75" x14ac:dyDescent="0.2">
      <c r="A450" s="232"/>
      <c r="B450" s="108"/>
      <c r="C450" s="85" t="s">
        <v>130</v>
      </c>
      <c r="D450" s="124"/>
      <c r="E450" s="124"/>
      <c r="F450" s="124"/>
      <c r="G450" s="124"/>
      <c r="H450" s="124"/>
      <c r="I450" s="124"/>
      <c r="J450" s="354">
        <f t="shared" si="41"/>
        <v>0</v>
      </c>
      <c r="K450" s="354">
        <f t="shared" si="41"/>
        <v>0</v>
      </c>
      <c r="L450" s="354">
        <f t="shared" si="41"/>
        <v>1000</v>
      </c>
      <c r="M450" s="354">
        <f t="shared" si="41"/>
        <v>0</v>
      </c>
      <c r="N450" s="354">
        <f t="shared" si="41"/>
        <v>0</v>
      </c>
      <c r="O450" s="354">
        <f t="shared" si="41"/>
        <v>500</v>
      </c>
      <c r="P450" s="235">
        <f t="shared" si="41"/>
        <v>1500</v>
      </c>
    </row>
    <row r="451" spans="1:16" ht="12.75" x14ac:dyDescent="0.2">
      <c r="A451" s="232"/>
      <c r="B451" s="108"/>
      <c r="C451" s="85" t="s">
        <v>157</v>
      </c>
      <c r="D451" s="124"/>
      <c r="E451" s="124"/>
      <c r="F451" s="124"/>
      <c r="G451" s="124"/>
      <c r="H451" s="124"/>
      <c r="I451" s="124"/>
      <c r="J451" s="354">
        <f t="shared" ref="J451:P460" si="42">SUMIF($C$28:$C$279,$C451,J$28:J$279)</f>
        <v>0</v>
      </c>
      <c r="K451" s="354">
        <f t="shared" si="42"/>
        <v>0</v>
      </c>
      <c r="L451" s="354">
        <f t="shared" si="42"/>
        <v>0</v>
      </c>
      <c r="M451" s="354">
        <f t="shared" si="42"/>
        <v>0</v>
      </c>
      <c r="N451" s="354">
        <f t="shared" si="42"/>
        <v>0</v>
      </c>
      <c r="O451" s="354">
        <f t="shared" si="42"/>
        <v>0</v>
      </c>
      <c r="P451" s="235">
        <f t="shared" si="42"/>
        <v>0</v>
      </c>
    </row>
    <row r="452" spans="1:16" ht="12.75" x14ac:dyDescent="0.2">
      <c r="A452" s="232"/>
      <c r="B452" s="108"/>
      <c r="C452" s="85" t="s">
        <v>158</v>
      </c>
      <c r="D452" s="124"/>
      <c r="E452" s="124"/>
      <c r="F452" s="124"/>
      <c r="G452" s="124"/>
      <c r="H452" s="124"/>
      <c r="I452" s="124"/>
      <c r="J452" s="354">
        <f t="shared" si="42"/>
        <v>0</v>
      </c>
      <c r="K452" s="354">
        <f t="shared" si="42"/>
        <v>0</v>
      </c>
      <c r="L452" s="354">
        <f t="shared" si="42"/>
        <v>0</v>
      </c>
      <c r="M452" s="354">
        <f t="shared" si="42"/>
        <v>0</v>
      </c>
      <c r="N452" s="354">
        <f t="shared" si="42"/>
        <v>0</v>
      </c>
      <c r="O452" s="354">
        <f t="shared" si="42"/>
        <v>0</v>
      </c>
      <c r="P452" s="235">
        <f t="shared" si="42"/>
        <v>0</v>
      </c>
    </row>
    <row r="453" spans="1:16" ht="12.75" x14ac:dyDescent="0.2">
      <c r="A453" s="232"/>
      <c r="B453" s="108"/>
      <c r="C453" s="85" t="s">
        <v>162</v>
      </c>
      <c r="D453" s="124"/>
      <c r="E453" s="124"/>
      <c r="F453" s="124"/>
      <c r="G453" s="124"/>
      <c r="H453" s="124"/>
      <c r="I453" s="124"/>
      <c r="J453" s="354">
        <f t="shared" si="42"/>
        <v>0</v>
      </c>
      <c r="K453" s="354">
        <f t="shared" si="42"/>
        <v>0</v>
      </c>
      <c r="L453" s="354">
        <f t="shared" si="42"/>
        <v>0</v>
      </c>
      <c r="M453" s="354">
        <f t="shared" si="42"/>
        <v>0</v>
      </c>
      <c r="N453" s="354">
        <f t="shared" si="42"/>
        <v>0</v>
      </c>
      <c r="O453" s="354">
        <f t="shared" si="42"/>
        <v>4500</v>
      </c>
      <c r="P453" s="235">
        <f t="shared" si="42"/>
        <v>4500</v>
      </c>
    </row>
    <row r="454" spans="1:16" ht="12.75" x14ac:dyDescent="0.2">
      <c r="A454" s="232"/>
      <c r="B454" s="108"/>
      <c r="C454" s="85" t="s">
        <v>124</v>
      </c>
      <c r="D454" s="124"/>
      <c r="E454" s="124"/>
      <c r="F454" s="124"/>
      <c r="G454" s="124"/>
      <c r="H454" s="124"/>
      <c r="I454" s="124"/>
      <c r="J454" s="354">
        <f t="shared" si="42"/>
        <v>0</v>
      </c>
      <c r="K454" s="354">
        <f t="shared" si="42"/>
        <v>0</v>
      </c>
      <c r="L454" s="354">
        <f t="shared" si="42"/>
        <v>0</v>
      </c>
      <c r="M454" s="354">
        <f t="shared" si="42"/>
        <v>0</v>
      </c>
      <c r="N454" s="354">
        <f t="shared" si="42"/>
        <v>0</v>
      </c>
      <c r="O454" s="354">
        <f t="shared" si="42"/>
        <v>2500</v>
      </c>
      <c r="P454" s="235">
        <f t="shared" si="42"/>
        <v>2500</v>
      </c>
    </row>
    <row r="455" spans="1:16" ht="12.75" x14ac:dyDescent="0.2">
      <c r="A455" s="232"/>
      <c r="B455" s="108"/>
      <c r="C455" s="85" t="s">
        <v>125</v>
      </c>
      <c r="D455" s="124"/>
      <c r="E455" s="124"/>
      <c r="F455" s="124"/>
      <c r="G455" s="124"/>
      <c r="H455" s="124"/>
      <c r="I455" s="124"/>
      <c r="J455" s="354">
        <f t="shared" si="42"/>
        <v>0</v>
      </c>
      <c r="K455" s="354">
        <f t="shared" si="42"/>
        <v>0</v>
      </c>
      <c r="L455" s="354">
        <f t="shared" si="42"/>
        <v>0</v>
      </c>
      <c r="M455" s="354">
        <f t="shared" si="42"/>
        <v>0</v>
      </c>
      <c r="N455" s="354">
        <f t="shared" si="42"/>
        <v>0</v>
      </c>
      <c r="O455" s="354">
        <f t="shared" si="42"/>
        <v>0</v>
      </c>
      <c r="P455" s="235">
        <f t="shared" si="42"/>
        <v>0</v>
      </c>
    </row>
    <row r="456" spans="1:16" ht="12.75" x14ac:dyDescent="0.2">
      <c r="A456" s="232"/>
      <c r="B456" s="108"/>
      <c r="C456" s="85" t="s">
        <v>156</v>
      </c>
      <c r="D456" s="124"/>
      <c r="E456" s="124"/>
      <c r="F456" s="124"/>
      <c r="G456" s="124"/>
      <c r="H456" s="124"/>
      <c r="I456" s="124"/>
      <c r="J456" s="354">
        <f t="shared" si="42"/>
        <v>0</v>
      </c>
      <c r="K456" s="354">
        <f t="shared" si="42"/>
        <v>0</v>
      </c>
      <c r="L456" s="354">
        <f t="shared" si="42"/>
        <v>0</v>
      </c>
      <c r="M456" s="354">
        <f t="shared" si="42"/>
        <v>0</v>
      </c>
      <c r="N456" s="354">
        <f t="shared" si="42"/>
        <v>0</v>
      </c>
      <c r="O456" s="354">
        <f t="shared" si="42"/>
        <v>0</v>
      </c>
      <c r="P456" s="235">
        <f t="shared" si="42"/>
        <v>0</v>
      </c>
    </row>
    <row r="457" spans="1:16" ht="12.75" x14ac:dyDescent="0.2">
      <c r="A457" s="232"/>
      <c r="B457" s="108"/>
      <c r="C457" s="85" t="s">
        <v>144</v>
      </c>
      <c r="D457" s="124"/>
      <c r="E457" s="124"/>
      <c r="F457" s="124"/>
      <c r="G457" s="124"/>
      <c r="H457" s="124"/>
      <c r="I457" s="124"/>
      <c r="J457" s="354">
        <f t="shared" si="42"/>
        <v>0</v>
      </c>
      <c r="K457" s="354">
        <f t="shared" si="42"/>
        <v>0</v>
      </c>
      <c r="L457" s="354">
        <f t="shared" si="42"/>
        <v>500</v>
      </c>
      <c r="M457" s="354">
        <f t="shared" si="42"/>
        <v>0</v>
      </c>
      <c r="N457" s="354">
        <f t="shared" si="42"/>
        <v>0</v>
      </c>
      <c r="O457" s="354">
        <f t="shared" si="42"/>
        <v>250</v>
      </c>
      <c r="P457" s="235">
        <f t="shared" si="42"/>
        <v>750</v>
      </c>
    </row>
    <row r="458" spans="1:16" ht="12.75" x14ac:dyDescent="0.2">
      <c r="A458" s="232"/>
      <c r="B458" s="108"/>
      <c r="C458" s="85" t="s">
        <v>155</v>
      </c>
      <c r="D458" s="124"/>
      <c r="E458" s="124"/>
      <c r="F458" s="124"/>
      <c r="G458" s="124"/>
      <c r="H458" s="124"/>
      <c r="I458" s="124"/>
      <c r="J458" s="354">
        <f t="shared" si="42"/>
        <v>0</v>
      </c>
      <c r="K458" s="354">
        <f t="shared" si="42"/>
        <v>0</v>
      </c>
      <c r="L458" s="354">
        <f t="shared" si="42"/>
        <v>0</v>
      </c>
      <c r="M458" s="354">
        <f t="shared" si="42"/>
        <v>0</v>
      </c>
      <c r="N458" s="354">
        <f t="shared" si="42"/>
        <v>0</v>
      </c>
      <c r="O458" s="354">
        <f t="shared" si="42"/>
        <v>0</v>
      </c>
      <c r="P458" s="235">
        <f t="shared" si="42"/>
        <v>0</v>
      </c>
    </row>
    <row r="459" spans="1:16" ht="12.75" x14ac:dyDescent="0.2">
      <c r="A459" s="232"/>
      <c r="B459" s="108"/>
      <c r="C459" s="85" t="s">
        <v>1477</v>
      </c>
      <c r="D459" s="124"/>
      <c r="E459" s="124"/>
      <c r="F459" s="124"/>
      <c r="G459" s="124"/>
      <c r="H459" s="124"/>
      <c r="I459" s="124"/>
      <c r="J459" s="354">
        <f t="shared" si="42"/>
        <v>0</v>
      </c>
      <c r="K459" s="354">
        <f t="shared" si="42"/>
        <v>0</v>
      </c>
      <c r="L459" s="354">
        <f t="shared" si="42"/>
        <v>0</v>
      </c>
      <c r="M459" s="354">
        <f t="shared" si="42"/>
        <v>0</v>
      </c>
      <c r="N459" s="354">
        <f t="shared" si="42"/>
        <v>0</v>
      </c>
      <c r="O459" s="354">
        <f t="shared" si="42"/>
        <v>0</v>
      </c>
      <c r="P459" s="235">
        <f t="shared" si="42"/>
        <v>0</v>
      </c>
    </row>
    <row r="460" spans="1:16" ht="12.75" x14ac:dyDescent="0.2">
      <c r="A460" s="232"/>
      <c r="B460" s="108"/>
      <c r="C460" s="85" t="s">
        <v>1478</v>
      </c>
      <c r="D460" s="124"/>
      <c r="E460" s="124"/>
      <c r="F460" s="124"/>
      <c r="G460" s="124"/>
      <c r="H460" s="124"/>
      <c r="I460" s="124"/>
      <c r="J460" s="354">
        <f t="shared" si="42"/>
        <v>0</v>
      </c>
      <c r="K460" s="354">
        <f t="shared" si="42"/>
        <v>0</v>
      </c>
      <c r="L460" s="354">
        <f t="shared" si="42"/>
        <v>0</v>
      </c>
      <c r="M460" s="354">
        <f t="shared" si="42"/>
        <v>0</v>
      </c>
      <c r="N460" s="354">
        <f t="shared" si="42"/>
        <v>0</v>
      </c>
      <c r="O460" s="354">
        <f t="shared" si="42"/>
        <v>0</v>
      </c>
      <c r="P460" s="235">
        <f t="shared" si="42"/>
        <v>0</v>
      </c>
    </row>
    <row r="461" spans="1:16" ht="12.75" x14ac:dyDescent="0.2">
      <c r="A461" s="232"/>
      <c r="B461" s="108"/>
      <c r="C461" s="85" t="s">
        <v>115</v>
      </c>
      <c r="D461" s="124"/>
      <c r="E461" s="124"/>
      <c r="F461" s="124"/>
      <c r="G461" s="124"/>
      <c r="H461" s="124"/>
      <c r="I461" s="124"/>
      <c r="J461" s="354">
        <f t="shared" ref="J461:P472" si="43">SUMIF($C$28:$C$279,$C461,J$28:J$279)</f>
        <v>0</v>
      </c>
      <c r="K461" s="354">
        <f t="shared" si="43"/>
        <v>0</v>
      </c>
      <c r="L461" s="354">
        <f t="shared" si="43"/>
        <v>0</v>
      </c>
      <c r="M461" s="354">
        <f t="shared" si="43"/>
        <v>0</v>
      </c>
      <c r="N461" s="354">
        <f t="shared" si="43"/>
        <v>0</v>
      </c>
      <c r="O461" s="354">
        <f t="shared" si="43"/>
        <v>0</v>
      </c>
      <c r="P461" s="235">
        <f t="shared" si="43"/>
        <v>0</v>
      </c>
    </row>
    <row r="462" spans="1:16" ht="12.75" x14ac:dyDescent="0.2">
      <c r="A462" s="232"/>
      <c r="B462" s="108"/>
      <c r="C462" s="85" t="s">
        <v>65</v>
      </c>
      <c r="D462" s="124"/>
      <c r="E462" s="124"/>
      <c r="F462" s="124"/>
      <c r="G462" s="124"/>
      <c r="H462" s="124"/>
      <c r="I462" s="124"/>
      <c r="J462" s="354">
        <f t="shared" si="43"/>
        <v>0</v>
      </c>
      <c r="K462" s="354">
        <f t="shared" si="43"/>
        <v>0</v>
      </c>
      <c r="L462" s="354">
        <f t="shared" si="43"/>
        <v>0</v>
      </c>
      <c r="M462" s="354">
        <f t="shared" si="43"/>
        <v>0</v>
      </c>
      <c r="N462" s="354">
        <f t="shared" si="43"/>
        <v>0</v>
      </c>
      <c r="O462" s="354">
        <f t="shared" si="43"/>
        <v>0</v>
      </c>
      <c r="P462" s="235">
        <f t="shared" si="43"/>
        <v>0</v>
      </c>
    </row>
    <row r="463" spans="1:16" s="514" customFormat="1" ht="12.75" x14ac:dyDescent="0.2">
      <c r="A463" s="232"/>
      <c r="B463" s="108"/>
      <c r="C463" s="670" t="s">
        <v>1445</v>
      </c>
      <c r="D463" s="124"/>
      <c r="E463" s="124"/>
      <c r="F463" s="124"/>
      <c r="G463" s="124"/>
      <c r="H463" s="124"/>
      <c r="I463" s="124"/>
      <c r="J463" s="354">
        <f t="shared" si="43"/>
        <v>0</v>
      </c>
      <c r="K463" s="354">
        <f t="shared" si="43"/>
        <v>0</v>
      </c>
      <c r="L463" s="354">
        <f t="shared" si="43"/>
        <v>0</v>
      </c>
      <c r="M463" s="354">
        <f t="shared" si="43"/>
        <v>0</v>
      </c>
      <c r="N463" s="354">
        <f t="shared" si="43"/>
        <v>0</v>
      </c>
      <c r="O463" s="354">
        <f t="shared" si="43"/>
        <v>0</v>
      </c>
      <c r="P463" s="235">
        <f t="shared" si="43"/>
        <v>0</v>
      </c>
    </row>
    <row r="464" spans="1:16" ht="12.75" x14ac:dyDescent="0.2">
      <c r="A464" s="232"/>
      <c r="B464" s="108"/>
      <c r="C464" s="85" t="s">
        <v>116</v>
      </c>
      <c r="D464" s="124"/>
      <c r="E464" s="124"/>
      <c r="F464" s="124"/>
      <c r="G464" s="124"/>
      <c r="H464" s="124"/>
      <c r="I464" s="124"/>
      <c r="J464" s="354">
        <f t="shared" si="43"/>
        <v>1000</v>
      </c>
      <c r="K464" s="354">
        <f t="shared" si="43"/>
        <v>1000</v>
      </c>
      <c r="L464" s="354">
        <f t="shared" si="43"/>
        <v>3000</v>
      </c>
      <c r="M464" s="354">
        <f t="shared" si="43"/>
        <v>0</v>
      </c>
      <c r="N464" s="354">
        <f t="shared" si="43"/>
        <v>0</v>
      </c>
      <c r="O464" s="354">
        <f t="shared" si="43"/>
        <v>8000</v>
      </c>
      <c r="P464" s="235">
        <f t="shared" si="43"/>
        <v>13000</v>
      </c>
    </row>
    <row r="465" spans="1:16" ht="12.75" x14ac:dyDescent="0.2">
      <c r="A465" s="232"/>
      <c r="B465" s="108"/>
      <c r="C465" s="85" t="s">
        <v>117</v>
      </c>
      <c r="D465" s="124"/>
      <c r="E465" s="124"/>
      <c r="F465" s="124"/>
      <c r="G465" s="124"/>
      <c r="H465" s="124"/>
      <c r="I465" s="124"/>
      <c r="J465" s="354">
        <f t="shared" si="43"/>
        <v>600</v>
      </c>
      <c r="K465" s="354">
        <f t="shared" si="43"/>
        <v>1425</v>
      </c>
      <c r="L465" s="354">
        <f t="shared" si="43"/>
        <v>1627</v>
      </c>
      <c r="M465" s="354">
        <f t="shared" si="43"/>
        <v>25</v>
      </c>
      <c r="N465" s="354">
        <f t="shared" si="43"/>
        <v>0</v>
      </c>
      <c r="O465" s="354">
        <f t="shared" si="43"/>
        <v>1483</v>
      </c>
      <c r="P465" s="235">
        <f t="shared" si="43"/>
        <v>5160</v>
      </c>
    </row>
    <row r="466" spans="1:16" ht="12.75" x14ac:dyDescent="0.2">
      <c r="A466" s="232"/>
      <c r="B466" s="108"/>
      <c r="C466" s="85" t="s">
        <v>120</v>
      </c>
      <c r="D466" s="124"/>
      <c r="E466" s="124"/>
      <c r="F466" s="124"/>
      <c r="G466" s="124"/>
      <c r="H466" s="124"/>
      <c r="I466" s="124"/>
      <c r="J466" s="354">
        <f t="shared" si="43"/>
        <v>0</v>
      </c>
      <c r="K466" s="354">
        <f t="shared" si="43"/>
        <v>0</v>
      </c>
      <c r="L466" s="354">
        <f t="shared" si="43"/>
        <v>0</v>
      </c>
      <c r="M466" s="354">
        <f t="shared" si="43"/>
        <v>0</v>
      </c>
      <c r="N466" s="354">
        <f t="shared" si="43"/>
        <v>0</v>
      </c>
      <c r="O466" s="354">
        <f t="shared" si="43"/>
        <v>0</v>
      </c>
      <c r="P466" s="235">
        <f t="shared" si="43"/>
        <v>0</v>
      </c>
    </row>
    <row r="467" spans="1:16" ht="12.75" x14ac:dyDescent="0.2">
      <c r="A467" s="232"/>
      <c r="B467" s="108"/>
      <c r="C467" s="85" t="s">
        <v>148</v>
      </c>
      <c r="D467" s="124"/>
      <c r="E467" s="124"/>
      <c r="F467" s="124"/>
      <c r="G467" s="124"/>
      <c r="H467" s="124"/>
      <c r="I467" s="124"/>
      <c r="J467" s="354">
        <f t="shared" si="43"/>
        <v>0</v>
      </c>
      <c r="K467" s="354">
        <f t="shared" si="43"/>
        <v>0</v>
      </c>
      <c r="L467" s="354">
        <f t="shared" si="43"/>
        <v>0</v>
      </c>
      <c r="M467" s="354">
        <f t="shared" si="43"/>
        <v>0</v>
      </c>
      <c r="N467" s="354">
        <f t="shared" si="43"/>
        <v>0</v>
      </c>
      <c r="O467" s="354">
        <f t="shared" si="43"/>
        <v>0</v>
      </c>
      <c r="P467" s="235">
        <f t="shared" si="43"/>
        <v>0</v>
      </c>
    </row>
    <row r="468" spans="1:16" ht="12.75" x14ac:dyDescent="0.2">
      <c r="A468" s="232"/>
      <c r="B468" s="108"/>
      <c r="C468" s="85" t="s">
        <v>121</v>
      </c>
      <c r="D468" s="124"/>
      <c r="E468" s="124"/>
      <c r="F468" s="124"/>
      <c r="G468" s="124"/>
      <c r="H468" s="124"/>
      <c r="I468" s="124"/>
      <c r="J468" s="354">
        <f t="shared" si="43"/>
        <v>0</v>
      </c>
      <c r="K468" s="354">
        <f t="shared" si="43"/>
        <v>925</v>
      </c>
      <c r="L468" s="354">
        <f t="shared" si="43"/>
        <v>3925</v>
      </c>
      <c r="M468" s="354">
        <f t="shared" si="43"/>
        <v>0</v>
      </c>
      <c r="N468" s="354">
        <f t="shared" si="43"/>
        <v>0</v>
      </c>
      <c r="O468" s="354">
        <f t="shared" si="43"/>
        <v>2600</v>
      </c>
      <c r="P468" s="235">
        <f t="shared" si="43"/>
        <v>7450</v>
      </c>
    </row>
    <row r="469" spans="1:16" ht="12.75" x14ac:dyDescent="0.2">
      <c r="A469" s="232"/>
      <c r="B469" s="108"/>
      <c r="C469" s="85" t="s">
        <v>122</v>
      </c>
      <c r="D469" s="124"/>
      <c r="E469" s="124"/>
      <c r="F469" s="124"/>
      <c r="G469" s="124"/>
      <c r="H469" s="124"/>
      <c r="I469" s="124"/>
      <c r="J469" s="354">
        <f t="shared" si="43"/>
        <v>0</v>
      </c>
      <c r="K469" s="354">
        <f t="shared" si="43"/>
        <v>0</v>
      </c>
      <c r="L469" s="354">
        <f t="shared" si="43"/>
        <v>0</v>
      </c>
      <c r="M469" s="354">
        <f t="shared" si="43"/>
        <v>0</v>
      </c>
      <c r="N469" s="354">
        <f t="shared" si="43"/>
        <v>0</v>
      </c>
      <c r="O469" s="354">
        <f t="shared" si="43"/>
        <v>0</v>
      </c>
      <c r="P469" s="235">
        <f t="shared" si="43"/>
        <v>0</v>
      </c>
    </row>
    <row r="470" spans="1:16" s="514" customFormat="1" ht="12.75" x14ac:dyDescent="0.2">
      <c r="A470" s="232"/>
      <c r="B470" s="108"/>
      <c r="C470" s="669" t="s">
        <v>1459</v>
      </c>
      <c r="D470" s="124"/>
      <c r="E470" s="124"/>
      <c r="F470" s="124"/>
      <c r="G470" s="124"/>
      <c r="H470" s="124"/>
      <c r="I470" s="124"/>
      <c r="J470" s="354">
        <f t="shared" si="43"/>
        <v>0</v>
      </c>
      <c r="K470" s="354">
        <f t="shared" si="43"/>
        <v>0</v>
      </c>
      <c r="L470" s="354">
        <f t="shared" si="43"/>
        <v>0</v>
      </c>
      <c r="M470" s="354">
        <f t="shared" si="43"/>
        <v>0</v>
      </c>
      <c r="N470" s="354">
        <f t="shared" si="43"/>
        <v>0</v>
      </c>
      <c r="O470" s="354">
        <f t="shared" si="43"/>
        <v>0</v>
      </c>
      <c r="P470" s="235">
        <f t="shared" si="43"/>
        <v>0</v>
      </c>
    </row>
    <row r="471" spans="1:16" ht="12.75" x14ac:dyDescent="0.2">
      <c r="A471" s="232"/>
      <c r="B471" s="108"/>
      <c r="C471" s="85" t="s">
        <v>163</v>
      </c>
      <c r="D471" s="124"/>
      <c r="E471" s="124"/>
      <c r="F471" s="124"/>
      <c r="G471" s="124"/>
      <c r="H471" s="124"/>
      <c r="I471" s="124"/>
      <c r="J471" s="354">
        <f t="shared" si="43"/>
        <v>0</v>
      </c>
      <c r="K471" s="354">
        <f t="shared" si="43"/>
        <v>0</v>
      </c>
      <c r="L471" s="354">
        <f t="shared" si="43"/>
        <v>0</v>
      </c>
      <c r="M471" s="354">
        <f t="shared" si="43"/>
        <v>0</v>
      </c>
      <c r="N471" s="354">
        <f t="shared" si="43"/>
        <v>0</v>
      </c>
      <c r="O471" s="354">
        <f t="shared" si="43"/>
        <v>0</v>
      </c>
      <c r="P471" s="235">
        <f t="shared" si="43"/>
        <v>0</v>
      </c>
    </row>
    <row r="472" spans="1:16" ht="12.75" x14ac:dyDescent="0.2">
      <c r="A472" s="232"/>
      <c r="B472" s="108"/>
      <c r="C472" s="85" t="s">
        <v>123</v>
      </c>
      <c r="D472" s="124"/>
      <c r="E472" s="124"/>
      <c r="F472" s="124"/>
      <c r="G472" s="124"/>
      <c r="H472" s="124"/>
      <c r="I472" s="124"/>
      <c r="J472" s="354">
        <f t="shared" si="43"/>
        <v>0</v>
      </c>
      <c r="K472" s="354">
        <f t="shared" si="43"/>
        <v>0</v>
      </c>
      <c r="L472" s="354">
        <f t="shared" si="43"/>
        <v>0</v>
      </c>
      <c r="M472" s="354">
        <f t="shared" si="43"/>
        <v>0</v>
      </c>
      <c r="N472" s="354">
        <f t="shared" si="43"/>
        <v>0</v>
      </c>
      <c r="O472" s="354">
        <f t="shared" si="43"/>
        <v>0</v>
      </c>
      <c r="P472" s="235">
        <f t="shared" si="43"/>
        <v>0</v>
      </c>
    </row>
    <row r="473" spans="1:16" ht="12.75" x14ac:dyDescent="0.2">
      <c r="A473" s="232"/>
      <c r="B473" s="108"/>
      <c r="C473" s="85" t="s">
        <v>153</v>
      </c>
      <c r="D473" s="124"/>
      <c r="E473" s="124"/>
      <c r="F473" s="124"/>
      <c r="G473" s="124"/>
      <c r="H473" s="124"/>
      <c r="I473" s="124"/>
      <c r="J473" s="354">
        <f t="shared" ref="J473:P483" si="44">SUMIF($C$28:$C$279,$C473,J$28:J$279)</f>
        <v>0</v>
      </c>
      <c r="K473" s="354">
        <f t="shared" si="44"/>
        <v>0</v>
      </c>
      <c r="L473" s="354">
        <f t="shared" si="44"/>
        <v>0</v>
      </c>
      <c r="M473" s="354">
        <f t="shared" si="44"/>
        <v>0</v>
      </c>
      <c r="N473" s="354">
        <f t="shared" si="44"/>
        <v>0</v>
      </c>
      <c r="O473" s="354">
        <f t="shared" si="44"/>
        <v>0</v>
      </c>
      <c r="P473" s="235">
        <f t="shared" si="44"/>
        <v>0</v>
      </c>
    </row>
    <row r="474" spans="1:16" ht="12.75" x14ac:dyDescent="0.2">
      <c r="A474" s="232"/>
      <c r="B474" s="108"/>
      <c r="C474" s="85" t="s">
        <v>127</v>
      </c>
      <c r="D474" s="124"/>
      <c r="E474" s="124"/>
      <c r="F474" s="124"/>
      <c r="G474" s="124"/>
      <c r="H474" s="124"/>
      <c r="I474" s="124"/>
      <c r="J474" s="354">
        <f t="shared" si="44"/>
        <v>1200</v>
      </c>
      <c r="K474" s="354">
        <f t="shared" si="44"/>
        <v>1000</v>
      </c>
      <c r="L474" s="354">
        <f t="shared" si="44"/>
        <v>7040</v>
      </c>
      <c r="M474" s="354">
        <f t="shared" si="44"/>
        <v>0</v>
      </c>
      <c r="N474" s="354">
        <f t="shared" si="44"/>
        <v>0</v>
      </c>
      <c r="O474" s="354">
        <f t="shared" si="44"/>
        <v>4160</v>
      </c>
      <c r="P474" s="235">
        <f t="shared" si="44"/>
        <v>13400</v>
      </c>
    </row>
    <row r="475" spans="1:16" ht="12.75" x14ac:dyDescent="0.2">
      <c r="A475" s="232"/>
      <c r="B475" s="108"/>
      <c r="C475" s="85" t="s">
        <v>141</v>
      </c>
      <c r="D475" s="124"/>
      <c r="E475" s="124"/>
      <c r="F475" s="124"/>
      <c r="G475" s="124"/>
      <c r="H475" s="124"/>
      <c r="I475" s="124"/>
      <c r="J475" s="354">
        <f t="shared" si="44"/>
        <v>0</v>
      </c>
      <c r="K475" s="354">
        <f t="shared" si="44"/>
        <v>0</v>
      </c>
      <c r="L475" s="354">
        <f t="shared" si="44"/>
        <v>0</v>
      </c>
      <c r="M475" s="354">
        <f t="shared" si="44"/>
        <v>0</v>
      </c>
      <c r="N475" s="354">
        <f t="shared" si="44"/>
        <v>0</v>
      </c>
      <c r="O475" s="354">
        <f t="shared" si="44"/>
        <v>0</v>
      </c>
      <c r="P475" s="235">
        <f t="shared" si="44"/>
        <v>0</v>
      </c>
    </row>
    <row r="476" spans="1:16" ht="12.75" x14ac:dyDescent="0.2">
      <c r="A476" s="232"/>
      <c r="B476" s="108"/>
      <c r="C476" s="85" t="s">
        <v>66</v>
      </c>
      <c r="D476" s="124"/>
      <c r="E476" s="124"/>
      <c r="F476" s="124"/>
      <c r="G476" s="124"/>
      <c r="H476" s="124"/>
      <c r="I476" s="124"/>
      <c r="J476" s="354">
        <f t="shared" si="44"/>
        <v>0</v>
      </c>
      <c r="K476" s="354">
        <f t="shared" si="44"/>
        <v>0</v>
      </c>
      <c r="L476" s="354">
        <f t="shared" si="44"/>
        <v>0</v>
      </c>
      <c r="M476" s="354">
        <f t="shared" si="44"/>
        <v>0</v>
      </c>
      <c r="N476" s="354">
        <f t="shared" si="44"/>
        <v>0</v>
      </c>
      <c r="O476" s="354">
        <f t="shared" si="44"/>
        <v>0</v>
      </c>
      <c r="P476" s="235">
        <f t="shared" si="44"/>
        <v>0</v>
      </c>
    </row>
    <row r="477" spans="1:16" ht="12.75" x14ac:dyDescent="0.2">
      <c r="A477" s="232"/>
      <c r="B477" s="108"/>
      <c r="C477" s="85" t="s">
        <v>128</v>
      </c>
      <c r="D477" s="124"/>
      <c r="E477" s="124"/>
      <c r="F477" s="124"/>
      <c r="G477" s="124"/>
      <c r="H477" s="124"/>
      <c r="I477" s="124"/>
      <c r="J477" s="354">
        <f t="shared" si="44"/>
        <v>1800</v>
      </c>
      <c r="K477" s="354">
        <f t="shared" si="44"/>
        <v>2100</v>
      </c>
      <c r="L477" s="354">
        <f t="shared" si="44"/>
        <v>7200</v>
      </c>
      <c r="M477" s="354">
        <f t="shared" si="44"/>
        <v>550</v>
      </c>
      <c r="N477" s="354">
        <f t="shared" si="44"/>
        <v>1100</v>
      </c>
      <c r="O477" s="354">
        <f t="shared" si="44"/>
        <v>2250</v>
      </c>
      <c r="P477" s="235">
        <f t="shared" si="44"/>
        <v>10900</v>
      </c>
    </row>
    <row r="478" spans="1:16" ht="12.75" x14ac:dyDescent="0.2">
      <c r="A478" s="232"/>
      <c r="B478" s="108"/>
      <c r="C478" s="85" t="s">
        <v>126</v>
      </c>
      <c r="D478" s="124"/>
      <c r="E478" s="124"/>
      <c r="F478" s="124"/>
      <c r="G478" s="124"/>
      <c r="H478" s="124"/>
      <c r="I478" s="124"/>
      <c r="J478" s="354">
        <f t="shared" si="44"/>
        <v>0</v>
      </c>
      <c r="K478" s="354">
        <f t="shared" si="44"/>
        <v>0</v>
      </c>
      <c r="L478" s="354">
        <f t="shared" si="44"/>
        <v>0</v>
      </c>
      <c r="M478" s="354">
        <f t="shared" si="44"/>
        <v>0</v>
      </c>
      <c r="N478" s="354">
        <f t="shared" si="44"/>
        <v>0</v>
      </c>
      <c r="O478" s="354">
        <f t="shared" si="44"/>
        <v>0</v>
      </c>
      <c r="P478" s="235">
        <f t="shared" si="44"/>
        <v>0</v>
      </c>
    </row>
    <row r="479" spans="1:16" ht="12.75" x14ac:dyDescent="0.2">
      <c r="A479" s="232"/>
      <c r="B479" s="108"/>
      <c r="C479" s="85" t="s">
        <v>129</v>
      </c>
      <c r="D479" s="124"/>
      <c r="E479" s="124"/>
      <c r="F479" s="124"/>
      <c r="G479" s="124"/>
      <c r="H479" s="124"/>
      <c r="I479" s="124"/>
      <c r="J479" s="354">
        <f t="shared" si="44"/>
        <v>0</v>
      </c>
      <c r="K479" s="354">
        <f t="shared" si="44"/>
        <v>900</v>
      </c>
      <c r="L479" s="354">
        <f t="shared" si="44"/>
        <v>6000</v>
      </c>
      <c r="M479" s="354">
        <f t="shared" si="44"/>
        <v>0</v>
      </c>
      <c r="N479" s="354">
        <f t="shared" si="44"/>
        <v>0</v>
      </c>
      <c r="O479" s="354">
        <f t="shared" si="44"/>
        <v>600</v>
      </c>
      <c r="P479" s="235">
        <f t="shared" si="44"/>
        <v>7500</v>
      </c>
    </row>
    <row r="480" spans="1:16" ht="12.75" x14ac:dyDescent="0.2">
      <c r="A480" s="232"/>
      <c r="B480" s="108"/>
      <c r="C480" s="85" t="s">
        <v>692</v>
      </c>
      <c r="D480" s="124"/>
      <c r="E480" s="124"/>
      <c r="F480" s="124"/>
      <c r="G480" s="124"/>
      <c r="H480" s="124"/>
      <c r="I480" s="124"/>
      <c r="J480" s="354">
        <f t="shared" si="44"/>
        <v>50820</v>
      </c>
      <c r="K480" s="354">
        <f t="shared" si="44"/>
        <v>5700</v>
      </c>
      <c r="L480" s="354">
        <f t="shared" si="44"/>
        <v>28200</v>
      </c>
      <c r="M480" s="354">
        <f t="shared" si="44"/>
        <v>1230</v>
      </c>
      <c r="N480" s="354">
        <f t="shared" si="44"/>
        <v>150</v>
      </c>
      <c r="O480" s="354">
        <f t="shared" si="44"/>
        <v>15370</v>
      </c>
      <c r="P480" s="235">
        <f t="shared" si="44"/>
        <v>94870</v>
      </c>
    </row>
    <row r="481" spans="1:16" ht="12.75" x14ac:dyDescent="0.2">
      <c r="A481" s="232"/>
      <c r="B481" s="108"/>
      <c r="C481" s="85" t="s">
        <v>472</v>
      </c>
      <c r="D481" s="124"/>
      <c r="E481" s="124"/>
      <c r="F481" s="124"/>
      <c r="G481" s="124"/>
      <c r="H481" s="124"/>
      <c r="I481" s="124"/>
      <c r="J481" s="354">
        <f t="shared" si="44"/>
        <v>1000</v>
      </c>
      <c r="K481" s="354">
        <f t="shared" si="44"/>
        <v>900</v>
      </c>
      <c r="L481" s="354">
        <f t="shared" si="44"/>
        <v>3000</v>
      </c>
      <c r="M481" s="354">
        <f t="shared" si="44"/>
        <v>150</v>
      </c>
      <c r="N481" s="354">
        <f t="shared" si="44"/>
        <v>225</v>
      </c>
      <c r="O481" s="354">
        <f t="shared" si="44"/>
        <v>500</v>
      </c>
      <c r="P481" s="235">
        <f t="shared" si="44"/>
        <v>5775</v>
      </c>
    </row>
    <row r="482" spans="1:16" ht="12.75" x14ac:dyDescent="0.2">
      <c r="A482" s="232"/>
      <c r="B482" s="108"/>
      <c r="C482" s="85" t="s">
        <v>143</v>
      </c>
      <c r="D482" s="124"/>
      <c r="E482" s="124"/>
      <c r="F482" s="124"/>
      <c r="G482" s="124"/>
      <c r="H482" s="124"/>
      <c r="I482" s="124"/>
      <c r="J482" s="354">
        <f t="shared" si="44"/>
        <v>1600</v>
      </c>
      <c r="K482" s="354">
        <f t="shared" si="44"/>
        <v>1720</v>
      </c>
      <c r="L482" s="354">
        <f t="shared" si="44"/>
        <v>6732</v>
      </c>
      <c r="M482" s="354">
        <f t="shared" si="44"/>
        <v>0</v>
      </c>
      <c r="N482" s="354">
        <f t="shared" si="44"/>
        <v>0</v>
      </c>
      <c r="O482" s="354">
        <f t="shared" si="44"/>
        <v>3768</v>
      </c>
      <c r="P482" s="235">
        <f t="shared" si="44"/>
        <v>13820</v>
      </c>
    </row>
    <row r="483" spans="1:16" ht="12.75" x14ac:dyDescent="0.2">
      <c r="A483" s="232"/>
      <c r="B483" s="108"/>
      <c r="C483" s="85" t="s">
        <v>146</v>
      </c>
      <c r="D483" s="124"/>
      <c r="E483" s="124"/>
      <c r="F483" s="124"/>
      <c r="G483" s="124"/>
      <c r="H483" s="124"/>
      <c r="I483" s="124"/>
      <c r="J483" s="354">
        <f t="shared" si="44"/>
        <v>0</v>
      </c>
      <c r="K483" s="354">
        <f t="shared" si="44"/>
        <v>0</v>
      </c>
      <c r="L483" s="354">
        <f t="shared" si="44"/>
        <v>0</v>
      </c>
      <c r="M483" s="354">
        <f t="shared" si="44"/>
        <v>0</v>
      </c>
      <c r="N483" s="354">
        <f t="shared" si="44"/>
        <v>0</v>
      </c>
      <c r="O483" s="354">
        <f t="shared" si="44"/>
        <v>0</v>
      </c>
      <c r="P483" s="235">
        <f t="shared" si="44"/>
        <v>0</v>
      </c>
    </row>
    <row r="484" spans="1:16" ht="15.75" thickBot="1" x14ac:dyDescent="0.3">
      <c r="A484" s="430"/>
      <c r="D484" s="430"/>
      <c r="E484" s="430"/>
      <c r="F484" s="430"/>
      <c r="G484" s="430"/>
      <c r="H484" s="430"/>
      <c r="I484" s="430"/>
      <c r="J484" s="430"/>
      <c r="K484" s="430"/>
      <c r="L484" s="430"/>
      <c r="M484" s="430"/>
      <c r="N484" s="430"/>
      <c r="O484" s="430"/>
      <c r="P484" s="430"/>
    </row>
    <row r="485" spans="1:16" ht="15.75" thickBot="1" x14ac:dyDescent="0.3">
      <c r="A485" s="228"/>
      <c r="B485" s="229"/>
      <c r="C485" s="229"/>
      <c r="D485" s="228"/>
      <c r="E485" s="228"/>
      <c r="F485" s="228"/>
      <c r="G485" s="228"/>
      <c r="H485" s="228"/>
      <c r="I485" s="228"/>
      <c r="J485" s="240">
        <f>J280-SUM(J420:J483)</f>
        <v>0</v>
      </c>
      <c r="K485" s="240">
        <f t="shared" ref="K485:P485" si="45">K280-SUM(K420:K483)</f>
        <v>0</v>
      </c>
      <c r="L485" s="240">
        <f t="shared" si="45"/>
        <v>0</v>
      </c>
      <c r="M485" s="240">
        <f t="shared" si="45"/>
        <v>0</v>
      </c>
      <c r="N485" s="240">
        <f t="shared" si="45"/>
        <v>0</v>
      </c>
      <c r="O485" s="240">
        <f t="shared" si="45"/>
        <v>0</v>
      </c>
      <c r="P485" s="240">
        <f t="shared" si="45"/>
        <v>0</v>
      </c>
    </row>
  </sheetData>
  <autoFilter ref="A27:P388"/>
  <sortState ref="A28:P176">
    <sortCondition ref="B28:B176"/>
    <sortCondition ref="C28:C176"/>
  </sortState>
  <mergeCells count="2">
    <mergeCell ref="F1:K1"/>
    <mergeCell ref="L1:P1"/>
  </mergeCells>
  <dataValidations count="13">
    <dataValidation allowBlank="1" showInputMessage="1" showErrorMessage="1" promptTitle="Contract End Date" prompt="Enter the Contract End Date" sqref="H280"/>
    <dataValidation allowBlank="1" showInputMessage="1" showErrorMessage="1" promptTitle="Contract Start Date" prompt="Enter the Contract Start Date." sqref="G280"/>
    <dataValidation allowBlank="1" showInputMessage="1" showErrorMessage="1" promptTitle="Old Contractor" prompt="Enter the old contractor's name if applicable." sqref="D280"/>
    <dataValidation type="list" allowBlank="1" showInputMessage="1" showErrorMessage="1" errorTitle="Error" error="You must choose Yes or No." promptTitle="Existing Contract" prompt="Yes or No" sqref="I280">
      <formula1>Existing</formula1>
    </dataValidation>
    <dataValidation type="list" allowBlank="1" showInputMessage="1" showErrorMessage="1" errorTitle="Error" error="You must choose a funding source from the list." promptTitle="Funding Source" prompt="Choose the appropriate funding source." sqref="C28:C279">
      <formula1>Funding</formula1>
    </dataValidation>
    <dataValidation type="date" errorStyle="warning" allowBlank="1" showInputMessage="1" showErrorMessage="1" errorTitle="Correct Start Date" error="Enter a valid date." promptTitle="Travel Start Date" prompt="Enter a start date for each trip per employee." sqref="H28:H30 G28:G279">
      <formula1>42541</formula1>
      <formula2>42916</formula2>
    </dataValidation>
    <dataValidation type="list" allowBlank="1" showInputMessage="1" showErrorMessage="1" errorTitle="Error" error="You must choose a budget unit from the list." promptTitle="Budget Unit" prompt="Choose the appropriate budget unit. Env Review has been combined with Compliance and Facilities/Fleet has been combined with Operations Admin." sqref="B374 B284 B302 B320 B338 B356 B28:B279">
      <formula1>Budgets</formula1>
    </dataValidation>
    <dataValidation type="list" allowBlank="1" showInputMessage="1" showErrorMessage="1" promptTitle="Employee" prompt="Enter the employee traveling." sqref="D28:D279">
      <formula1>Employees</formula1>
    </dataValidation>
    <dataValidation type="date" errorStyle="warning" allowBlank="1" showInputMessage="1" showErrorMessage="1" errorTitle="Valid Date" error="Enter a valid date." promptTitle="Travel End Date" prompt="Enter the date the traveller will return from travel status." sqref="H31:H279">
      <formula1>42546</formula1>
      <formula2>42558</formula2>
    </dataValidation>
    <dataValidation type="list" allowBlank="1" showInputMessage="1" showErrorMessage="1" errorTitle="Error" error="You must choose Yes or No." promptTitle="NCHSA Event" prompt="Yes or No" sqref="I28:I111 I121:I279">
      <formula1>ContractStatus</formula1>
    </dataValidation>
    <dataValidation allowBlank="1" showInputMessage="1" showErrorMessage="1" promptTitle="City and State" prompt="Please indicate the City and State of the destination/event." sqref="F28:F279"/>
    <dataValidation type="list" allowBlank="1" showInputMessage="1" showErrorMessage="1" errorTitle="Warning" error="You much choose an option from the list." promptTitle="GL Account" prompt="6210 - In-state Meetings &amp; Monitoring_x000a_6212 - In-state Employee Development_x000a_6215 - In-state NCSHA_x000a_6220 - Out-of-state Meetings_x000a_6222 - Out-of-state Employee Development_x000a_6235 - Out-of-state NCSHA" sqref="A28:A279">
      <formula1>TravelAccts</formula1>
    </dataValidation>
    <dataValidation type="list" allowBlank="1" showInputMessage="1" showErrorMessage="1" errorTitle="Error" error="You must choose Yes or No." promptTitle="NCHSA Event" prompt="Yes or No" sqref="I112:I120">
      <formula1>Existing</formula1>
    </dataValidation>
  </dataValidations>
  <pageMargins left="0.7" right="0.7" top="0.75" bottom="0.75" header="0.3" footer="0.3"/>
  <pageSetup scale="60" orientation="landscape"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4"/>
  <sheetViews>
    <sheetView workbookViewId="0">
      <selection activeCell="F24" sqref="F24"/>
    </sheetView>
  </sheetViews>
  <sheetFormatPr defaultRowHeight="12.75" x14ac:dyDescent="0.2"/>
  <cols>
    <col min="1" max="1" width="21.140625" customWidth="1"/>
    <col min="2" max="2" width="13.140625" customWidth="1"/>
    <col min="3" max="3" width="14.7109375" customWidth="1"/>
    <col min="4" max="4" width="22" customWidth="1"/>
    <col min="5" max="5" width="10.85546875" customWidth="1"/>
    <col min="6" max="6" width="10.28515625" customWidth="1"/>
    <col min="7" max="7" width="10.7109375" customWidth="1"/>
    <col min="8" max="8" width="10.5703125" customWidth="1"/>
    <col min="9" max="9" width="10.42578125" customWidth="1"/>
    <col min="10" max="10" width="11.85546875" customWidth="1"/>
    <col min="11" max="11" width="16.28515625" customWidth="1"/>
    <col min="15" max="15" width="9.140625" hidden="1" customWidth="1"/>
    <col min="16" max="20" width="9.140625" customWidth="1"/>
  </cols>
  <sheetData>
    <row r="1" spans="1:12" ht="21" x14ac:dyDescent="0.35">
      <c r="A1" s="205" t="s">
        <v>729</v>
      </c>
      <c r="B1" s="195"/>
      <c r="C1" s="195"/>
      <c r="D1" s="198"/>
      <c r="E1" s="198"/>
      <c r="F1" s="209"/>
      <c r="G1" s="209"/>
      <c r="H1" s="198"/>
      <c r="I1" s="210"/>
      <c r="J1" s="210"/>
      <c r="K1" s="199"/>
      <c r="L1" s="200"/>
    </row>
    <row r="2" spans="1:12" ht="21" x14ac:dyDescent="0.35">
      <c r="A2" s="205" t="s">
        <v>1593</v>
      </c>
      <c r="B2" s="206">
        <f>F15</f>
        <v>13568.75</v>
      </c>
      <c r="C2" s="195"/>
      <c r="D2" s="198"/>
      <c r="L2" s="200"/>
    </row>
    <row r="3" spans="1:12" ht="15" x14ac:dyDescent="0.25">
      <c r="A3" s="195"/>
      <c r="B3" s="196"/>
      <c r="C3" s="196"/>
      <c r="D3" s="198"/>
      <c r="L3" s="200"/>
    </row>
    <row r="4" spans="1:12" ht="17.25" x14ac:dyDescent="0.3">
      <c r="A4" s="207"/>
      <c r="B4" s="208" t="s">
        <v>734</v>
      </c>
      <c r="C4" s="207" t="s">
        <v>379</v>
      </c>
      <c r="D4" s="200"/>
      <c r="L4" s="200"/>
    </row>
    <row r="5" spans="1:12" ht="30" x14ac:dyDescent="0.25">
      <c r="A5" s="195"/>
      <c r="B5" s="202" t="s">
        <v>663</v>
      </c>
      <c r="C5" s="197" t="s">
        <v>28</v>
      </c>
      <c r="D5" s="203" t="s">
        <v>740</v>
      </c>
      <c r="L5" s="200"/>
    </row>
    <row r="6" spans="1:12" ht="15" x14ac:dyDescent="0.25">
      <c r="A6" s="195"/>
      <c r="B6" s="195"/>
      <c r="C6" s="195"/>
      <c r="D6" s="200"/>
      <c r="E6" s="200"/>
      <c r="F6" s="200"/>
      <c r="G6" s="200"/>
      <c r="H6" s="200"/>
      <c r="I6" s="200"/>
      <c r="J6" s="200"/>
      <c r="K6" s="200"/>
      <c r="L6" s="200"/>
    </row>
    <row r="8" spans="1:12" ht="25.5" x14ac:dyDescent="0.2">
      <c r="A8" s="331" t="s">
        <v>807</v>
      </c>
      <c r="B8" s="332" t="s">
        <v>808</v>
      </c>
      <c r="C8" s="333" t="s">
        <v>809</v>
      </c>
      <c r="D8" s="334" t="s">
        <v>810</v>
      </c>
      <c r="E8" s="335" t="s">
        <v>811</v>
      </c>
      <c r="F8" s="336" t="s">
        <v>812</v>
      </c>
    </row>
    <row r="9" spans="1:12" ht="13.5" thickBot="1" x14ac:dyDescent="0.25">
      <c r="A9" s="337" t="s">
        <v>813</v>
      </c>
      <c r="B9" s="338"/>
      <c r="C9" s="339">
        <v>835000</v>
      </c>
      <c r="D9" s="340">
        <v>3.2500000000000001E-2</v>
      </c>
      <c r="E9" s="341">
        <v>12</v>
      </c>
      <c r="F9" s="342">
        <f>C9*D9/E9*6</f>
        <v>13568.75</v>
      </c>
    </row>
    <row r="10" spans="1:12" x14ac:dyDescent="0.2">
      <c r="A10" s="343" t="s">
        <v>814</v>
      </c>
      <c r="B10" s="344"/>
      <c r="C10" s="345">
        <f>SUM(C9:C9)</f>
        <v>835000</v>
      </c>
      <c r="D10" s="346"/>
      <c r="E10" s="347"/>
      <c r="F10" s="348">
        <f>SUM(F9:F9)</f>
        <v>13568.75</v>
      </c>
    </row>
    <row r="13" spans="1:12" x14ac:dyDescent="0.2">
      <c r="A13" s="210" t="s">
        <v>730</v>
      </c>
      <c r="B13" s="210" t="s">
        <v>735</v>
      </c>
      <c r="C13" s="210" t="s">
        <v>737</v>
      </c>
      <c r="D13" s="210" t="s">
        <v>737</v>
      </c>
      <c r="E13" s="210" t="s">
        <v>738</v>
      </c>
      <c r="F13" s="199" t="s">
        <v>739</v>
      </c>
    </row>
    <row r="14" spans="1:12" ht="13.5" thickBot="1" x14ac:dyDescent="0.25">
      <c r="A14" s="211" t="s">
        <v>731</v>
      </c>
      <c r="B14" s="211" t="s">
        <v>731</v>
      </c>
      <c r="C14" s="211" t="s">
        <v>732</v>
      </c>
      <c r="D14" s="211" t="s">
        <v>733</v>
      </c>
      <c r="E14" s="211" t="s">
        <v>732</v>
      </c>
      <c r="F14" s="201" t="s">
        <v>0</v>
      </c>
    </row>
    <row r="15" spans="1:12" ht="13.5" thickBot="1" x14ac:dyDescent="0.25">
      <c r="A15" s="212">
        <v>93588</v>
      </c>
      <c r="B15" s="212">
        <v>77637</v>
      </c>
      <c r="C15" s="212">
        <v>56819</v>
      </c>
      <c r="D15" s="212">
        <v>83006.25</v>
      </c>
      <c r="E15" s="212">
        <v>38275</v>
      </c>
      <c r="F15" s="204">
        <f>F9</f>
        <v>13568.75</v>
      </c>
    </row>
    <row r="16" spans="1:12" ht="13.5" thickTop="1" x14ac:dyDescent="0.2">
      <c r="A16" s="29"/>
      <c r="B16" s="29"/>
      <c r="C16" s="29"/>
      <c r="D16" s="29"/>
      <c r="E16" s="29"/>
    </row>
    <row r="17" spans="1:5" x14ac:dyDescent="0.2">
      <c r="A17" s="29"/>
      <c r="B17" s="29"/>
      <c r="C17" s="29"/>
      <c r="D17" s="29"/>
      <c r="E17" s="29"/>
    </row>
    <row r="18" spans="1:5" x14ac:dyDescent="0.2">
      <c r="A18" s="29"/>
      <c r="B18" s="29"/>
      <c r="C18" s="29"/>
      <c r="D18" s="29"/>
      <c r="E18" s="29"/>
    </row>
    <row r="19" spans="1:5" x14ac:dyDescent="0.2">
      <c r="A19" s="29"/>
      <c r="B19" s="29"/>
      <c r="C19" s="29"/>
      <c r="D19" s="29"/>
      <c r="E19" s="29"/>
    </row>
    <row r="20" spans="1:5" x14ac:dyDescent="0.2">
      <c r="A20" s="29"/>
      <c r="B20" s="29"/>
      <c r="C20" s="29"/>
      <c r="D20" s="29"/>
      <c r="E20" s="29"/>
    </row>
    <row r="21" spans="1:5" x14ac:dyDescent="0.2">
      <c r="A21" s="29"/>
      <c r="B21" s="29"/>
      <c r="C21" s="29"/>
      <c r="D21" s="29"/>
      <c r="E21" s="29"/>
    </row>
    <row r="22" spans="1:5" x14ac:dyDescent="0.2">
      <c r="A22" s="29"/>
      <c r="B22" s="29"/>
      <c r="C22" s="29"/>
      <c r="D22" s="29"/>
      <c r="E22" s="29"/>
    </row>
    <row r="23" spans="1:5" x14ac:dyDescent="0.2">
      <c r="A23" s="29"/>
      <c r="B23" s="29"/>
      <c r="C23" s="29"/>
      <c r="D23" s="29"/>
      <c r="E23" s="29"/>
    </row>
    <row r="24" spans="1:5" x14ac:dyDescent="0.2">
      <c r="A24" s="29"/>
      <c r="B24" s="29"/>
      <c r="C24" s="29"/>
      <c r="D24" s="29"/>
      <c r="E24" s="29"/>
    </row>
    <row r="25" spans="1:5" x14ac:dyDescent="0.2">
      <c r="A25" s="29"/>
      <c r="B25" s="29"/>
      <c r="C25" s="29"/>
      <c r="D25" s="29"/>
      <c r="E25" s="29"/>
    </row>
    <row r="54" ht="16.5" customHeight="1" x14ac:dyDescent="0.2"/>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318"/>
  <sheetViews>
    <sheetView zoomScale="75" zoomScaleNormal="75" zoomScaleSheetLayoutView="100" workbookViewId="0">
      <pane xSplit="5" ySplit="27" topLeftCell="F50" activePane="bottomRight" state="frozen"/>
      <selection activeCell="F24" sqref="F24"/>
      <selection pane="topRight" activeCell="F24" sqref="F24"/>
      <selection pane="bottomLeft" activeCell="F24" sqref="F24"/>
      <selection pane="bottomRight" activeCell="O55" sqref="O55"/>
    </sheetView>
  </sheetViews>
  <sheetFormatPr defaultRowHeight="15" x14ac:dyDescent="0.25"/>
  <cols>
    <col min="1" max="1" width="9.85546875" style="4" hidden="1" customWidth="1"/>
    <col min="2" max="2" width="17.85546875" style="3" customWidth="1"/>
    <col min="3" max="3" width="20.140625" style="3" customWidth="1"/>
    <col min="4" max="4" width="42.7109375" style="4" customWidth="1"/>
    <col min="5" max="5" width="34.28515625" style="4" customWidth="1"/>
    <col min="6" max="6" width="25.42578125" style="4" customWidth="1"/>
    <col min="7" max="7" width="21.28515625" style="4" hidden="1" customWidth="1"/>
    <col min="8" max="8" width="24" style="4" hidden="1" customWidth="1"/>
    <col min="9" max="9" width="33.28515625" style="4" hidden="1" customWidth="1"/>
    <col min="10" max="10" width="13.28515625" style="4" hidden="1" customWidth="1"/>
    <col min="11" max="11" width="13.5703125" style="4" hidden="1" customWidth="1"/>
    <col min="12" max="12" width="21.42578125" style="4" hidden="1" customWidth="1"/>
    <col min="13" max="13" width="13" style="4" hidden="1" customWidth="1"/>
    <col min="14" max="14" width="19.85546875" style="4" customWidth="1"/>
    <col min="15" max="15" width="16.28515625" style="4" customWidth="1"/>
    <col min="16" max="16" width="9.140625" style="4" customWidth="1"/>
    <col min="17" max="21" width="9.140625" style="4" hidden="1" customWidth="1"/>
    <col min="22" max="22" width="0" style="4" hidden="1" customWidth="1"/>
    <col min="23" max="16384" width="9.140625" style="4"/>
  </cols>
  <sheetData>
    <row r="1" spans="1:18" ht="18.75" x14ac:dyDescent="0.3">
      <c r="B1" s="27" t="s">
        <v>1064</v>
      </c>
      <c r="D1" s="3"/>
      <c r="E1" s="3"/>
      <c r="F1" s="3"/>
      <c r="G1" s="3"/>
      <c r="H1" s="3"/>
      <c r="I1" s="3"/>
      <c r="J1" s="3"/>
      <c r="K1" s="3"/>
      <c r="L1" s="3"/>
      <c r="M1" s="3"/>
      <c r="N1" s="3"/>
      <c r="O1" s="3"/>
    </row>
    <row r="2" spans="1:18" ht="19.5" thickBot="1" x14ac:dyDescent="0.35">
      <c r="B2" s="27"/>
      <c r="D2" s="3"/>
      <c r="E2" s="3"/>
      <c r="F2" s="3"/>
      <c r="G2" s="3"/>
      <c r="H2" s="3"/>
      <c r="I2" s="3"/>
      <c r="J2" s="3"/>
      <c r="K2" s="3"/>
      <c r="L2" s="3"/>
      <c r="M2" s="3"/>
      <c r="N2" s="3"/>
      <c r="O2" s="3"/>
      <c r="P2" s="3"/>
      <c r="Q2" s="3"/>
      <c r="R2" s="3"/>
    </row>
    <row r="3" spans="1:18" customFormat="1" ht="15" customHeight="1" x14ac:dyDescent="0.3">
      <c r="A3" s="4"/>
      <c r="B3" s="96" t="s">
        <v>515</v>
      </c>
      <c r="C3" s="87"/>
      <c r="D3" s="631"/>
      <c r="E3" s="89">
        <f>E4+E11+E14+E15+E16+E19+E22+E23+E24+E25</f>
        <v>357727</v>
      </c>
      <c r="F3" s="628" t="s">
        <v>1409</v>
      </c>
      <c r="G3" s="4"/>
      <c r="H3" s="88"/>
      <c r="I3" s="88"/>
      <c r="J3" s="88"/>
      <c r="K3" s="88"/>
      <c r="L3" s="88"/>
      <c r="M3" s="88"/>
      <c r="N3" s="454">
        <f>SUM(N4:N25)</f>
        <v>357727</v>
      </c>
    </row>
    <row r="4" spans="1:18" customFormat="1" ht="15" customHeight="1" x14ac:dyDescent="0.25">
      <c r="A4" s="4"/>
      <c r="B4" s="648" t="s">
        <v>511</v>
      </c>
      <c r="C4" s="649"/>
      <c r="D4" s="126"/>
      <c r="E4" s="91">
        <f>SUM(E5:E10)</f>
        <v>357727</v>
      </c>
      <c r="F4" s="90" t="s">
        <v>557</v>
      </c>
      <c r="G4" s="4"/>
      <c r="H4" s="29"/>
      <c r="I4" s="29"/>
      <c r="J4" s="29"/>
      <c r="K4" s="29"/>
      <c r="L4" s="29"/>
      <c r="M4" s="29"/>
      <c r="N4" s="91">
        <f t="shared" ref="N4:N25" si="0">O280</f>
        <v>1200</v>
      </c>
    </row>
    <row r="5" spans="1:18" customFormat="1" ht="15" customHeight="1" x14ac:dyDescent="0.25">
      <c r="A5" s="4"/>
      <c r="B5" s="648"/>
      <c r="C5" s="649" t="s">
        <v>513</v>
      </c>
      <c r="D5" s="126"/>
      <c r="E5" s="91">
        <v>0</v>
      </c>
      <c r="F5" s="90" t="s">
        <v>565</v>
      </c>
      <c r="G5" s="4"/>
      <c r="H5" s="29"/>
      <c r="I5" s="29"/>
      <c r="J5" s="29"/>
      <c r="K5" s="29"/>
      <c r="L5" s="29"/>
      <c r="M5" s="29"/>
      <c r="N5" s="91">
        <f t="shared" si="0"/>
        <v>3500</v>
      </c>
    </row>
    <row r="6" spans="1:18" customFormat="1" ht="15" customHeight="1" x14ac:dyDescent="0.25">
      <c r="A6" s="4"/>
      <c r="B6" s="648"/>
      <c r="C6" s="649" t="s">
        <v>32</v>
      </c>
      <c r="D6" s="126"/>
      <c r="E6" s="91">
        <v>0</v>
      </c>
      <c r="F6" s="90" t="s">
        <v>548</v>
      </c>
      <c r="G6" s="4"/>
      <c r="H6" s="29"/>
      <c r="I6" s="29"/>
      <c r="J6" s="29"/>
      <c r="K6" s="29"/>
      <c r="L6" s="29"/>
      <c r="M6" s="29"/>
      <c r="N6" s="91">
        <f t="shared" si="0"/>
        <v>6500</v>
      </c>
    </row>
    <row r="7" spans="1:18" customFormat="1" ht="15" customHeight="1" x14ac:dyDescent="0.25">
      <c r="A7" s="4"/>
      <c r="B7" s="648"/>
      <c r="C7" s="649" t="s">
        <v>536</v>
      </c>
      <c r="D7" s="126"/>
      <c r="E7" s="91">
        <v>0</v>
      </c>
      <c r="F7" s="90" t="s">
        <v>555</v>
      </c>
      <c r="G7" s="4"/>
      <c r="H7" s="29"/>
      <c r="I7" s="29"/>
      <c r="J7" s="29"/>
      <c r="K7" s="29"/>
      <c r="L7" s="29"/>
      <c r="M7" s="29"/>
      <c r="N7" s="91">
        <f t="shared" si="0"/>
        <v>4692</v>
      </c>
    </row>
    <row r="8" spans="1:18" customFormat="1" ht="15" customHeight="1" x14ac:dyDescent="0.25">
      <c r="A8" s="4"/>
      <c r="B8" s="648"/>
      <c r="C8" s="649" t="s">
        <v>36</v>
      </c>
      <c r="D8" s="126"/>
      <c r="E8" s="91">
        <v>0</v>
      </c>
      <c r="F8" s="90" t="s">
        <v>554</v>
      </c>
      <c r="G8" s="4"/>
      <c r="H8" s="29"/>
      <c r="I8" s="29"/>
      <c r="J8" s="29"/>
      <c r="K8" s="29"/>
      <c r="L8" s="29"/>
      <c r="M8" s="29"/>
      <c r="N8" s="91">
        <f t="shared" si="0"/>
        <v>2100</v>
      </c>
    </row>
    <row r="9" spans="1:18" customFormat="1" ht="15" customHeight="1" x14ac:dyDescent="0.25">
      <c r="A9" s="4"/>
      <c r="B9" s="648"/>
      <c r="C9" s="649" t="s">
        <v>683</v>
      </c>
      <c r="D9" s="126"/>
      <c r="E9" s="91">
        <f>O279</f>
        <v>357727</v>
      </c>
      <c r="F9" s="90" t="s">
        <v>556</v>
      </c>
      <c r="G9" s="4"/>
      <c r="H9" s="29"/>
      <c r="I9" s="29"/>
      <c r="J9" s="29"/>
      <c r="K9" s="29"/>
      <c r="L9" s="29"/>
      <c r="M9" s="29"/>
      <c r="N9" s="91">
        <f t="shared" si="0"/>
        <v>18000</v>
      </c>
    </row>
    <row r="10" spans="1:18" customFormat="1" ht="15" customHeight="1" x14ac:dyDescent="0.25">
      <c r="A10" s="4"/>
      <c r="B10" s="648"/>
      <c r="C10" s="649" t="s">
        <v>35</v>
      </c>
      <c r="D10" s="126"/>
      <c r="E10" s="91">
        <v>0</v>
      </c>
      <c r="F10" s="90" t="s">
        <v>551</v>
      </c>
      <c r="G10" s="4"/>
      <c r="H10" s="29"/>
      <c r="I10" s="29"/>
      <c r="J10" s="29"/>
      <c r="K10" s="29"/>
      <c r="L10" s="29"/>
      <c r="M10" s="29"/>
      <c r="N10" s="91">
        <f t="shared" si="0"/>
        <v>25000</v>
      </c>
    </row>
    <row r="11" spans="1:18" customFormat="1" ht="15" customHeight="1" x14ac:dyDescent="0.25">
      <c r="A11" s="4"/>
      <c r="B11" s="648" t="s">
        <v>514</v>
      </c>
      <c r="C11" s="649"/>
      <c r="D11" s="126"/>
      <c r="E11" s="91">
        <f>SUM(E12:E13)</f>
        <v>0</v>
      </c>
      <c r="F11" s="90" t="s">
        <v>550</v>
      </c>
      <c r="G11" s="4"/>
      <c r="H11" s="29"/>
      <c r="I11" s="29"/>
      <c r="J11" s="29"/>
      <c r="K11" s="29"/>
      <c r="L11" s="29"/>
      <c r="M11" s="29"/>
      <c r="N11" s="91">
        <f t="shared" si="0"/>
        <v>35000</v>
      </c>
    </row>
    <row r="12" spans="1:18" customFormat="1" ht="15" customHeight="1" x14ac:dyDescent="0.25">
      <c r="A12" s="4"/>
      <c r="B12" s="648"/>
      <c r="C12" s="649" t="s">
        <v>682</v>
      </c>
      <c r="D12" s="126"/>
      <c r="E12" s="91">
        <v>0</v>
      </c>
      <c r="F12" s="90" t="s">
        <v>552</v>
      </c>
      <c r="G12" s="4"/>
      <c r="H12" s="29"/>
      <c r="I12" s="29"/>
      <c r="J12" s="29"/>
      <c r="K12" s="29"/>
      <c r="L12" s="29"/>
      <c r="M12" s="29"/>
      <c r="N12" s="91">
        <f t="shared" si="0"/>
        <v>74000</v>
      </c>
    </row>
    <row r="13" spans="1:18" customFormat="1" ht="15" customHeight="1" x14ac:dyDescent="0.25">
      <c r="A13" s="4"/>
      <c r="B13" s="648"/>
      <c r="C13" s="649" t="s">
        <v>41</v>
      </c>
      <c r="D13" s="126"/>
      <c r="E13" s="91">
        <v>0</v>
      </c>
      <c r="F13" s="90" t="s">
        <v>553</v>
      </c>
      <c r="G13" s="4"/>
      <c r="H13" s="29"/>
      <c r="I13" s="29"/>
      <c r="J13" s="29"/>
      <c r="K13" s="29"/>
      <c r="L13" s="29"/>
      <c r="M13" s="29"/>
      <c r="N13" s="91">
        <f t="shared" si="0"/>
        <v>12500</v>
      </c>
    </row>
    <row r="14" spans="1:18" customFormat="1" ht="15" customHeight="1" x14ac:dyDescent="0.3">
      <c r="A14" s="4"/>
      <c r="B14" s="648" t="s">
        <v>775</v>
      </c>
      <c r="C14" s="649"/>
      <c r="D14" s="126"/>
      <c r="E14" s="92">
        <v>0</v>
      </c>
      <c r="F14" s="90" t="s">
        <v>560</v>
      </c>
      <c r="G14" s="4"/>
      <c r="H14" s="29"/>
      <c r="I14" s="29"/>
      <c r="J14" s="29"/>
      <c r="K14" s="29"/>
      <c r="L14" s="29"/>
      <c r="M14" s="29"/>
      <c r="N14" s="91">
        <f t="shared" si="0"/>
        <v>7525</v>
      </c>
    </row>
    <row r="15" spans="1:18" customFormat="1" ht="15" customHeight="1" x14ac:dyDescent="0.3">
      <c r="A15" s="4"/>
      <c r="B15" s="648" t="s">
        <v>660</v>
      </c>
      <c r="C15" s="649"/>
      <c r="D15" s="126"/>
      <c r="E15" s="92">
        <v>0</v>
      </c>
      <c r="F15" s="90" t="s">
        <v>558</v>
      </c>
      <c r="G15" s="4"/>
      <c r="H15" s="29"/>
      <c r="I15" s="29"/>
      <c r="J15" s="29"/>
      <c r="K15" s="29"/>
      <c r="L15" s="29"/>
      <c r="M15" s="29"/>
      <c r="N15" s="91">
        <f t="shared" si="0"/>
        <v>500</v>
      </c>
    </row>
    <row r="16" spans="1:18" customFormat="1" ht="15" customHeight="1" x14ac:dyDescent="0.3">
      <c r="A16" s="4"/>
      <c r="B16" s="648" t="s">
        <v>518</v>
      </c>
      <c r="C16" s="649"/>
      <c r="D16" s="126"/>
      <c r="E16" s="92">
        <f>SUM(E17:E18)</f>
        <v>0</v>
      </c>
      <c r="F16" s="90" t="s">
        <v>562</v>
      </c>
      <c r="G16" s="4"/>
      <c r="H16" s="29"/>
      <c r="I16" s="29"/>
      <c r="J16" s="29"/>
      <c r="K16" s="29"/>
      <c r="L16" s="29"/>
      <c r="M16" s="29"/>
      <c r="N16" s="91">
        <f t="shared" si="0"/>
        <v>0</v>
      </c>
    </row>
    <row r="17" spans="1:21" customFormat="1" ht="15" customHeight="1" x14ac:dyDescent="0.3">
      <c r="A17" s="4"/>
      <c r="B17" s="648"/>
      <c r="C17" s="649" t="s">
        <v>512</v>
      </c>
      <c r="D17" s="126"/>
      <c r="E17" s="92">
        <v>0</v>
      </c>
      <c r="F17" s="90" t="s">
        <v>563</v>
      </c>
      <c r="G17" s="4"/>
      <c r="H17" s="29"/>
      <c r="I17" s="29"/>
      <c r="J17" s="29"/>
      <c r="K17" s="29"/>
      <c r="L17" s="29"/>
      <c r="M17" s="29"/>
      <c r="N17" s="91">
        <f t="shared" si="0"/>
        <v>8800</v>
      </c>
    </row>
    <row r="18" spans="1:21" customFormat="1" ht="15" customHeight="1" x14ac:dyDescent="0.3">
      <c r="A18" s="4"/>
      <c r="B18" s="648"/>
      <c r="C18" s="649" t="s">
        <v>29</v>
      </c>
      <c r="D18" s="126"/>
      <c r="E18" s="92">
        <v>0</v>
      </c>
      <c r="F18" s="90" t="s">
        <v>564</v>
      </c>
      <c r="G18" s="4"/>
      <c r="H18" s="29"/>
      <c r="I18" s="29"/>
      <c r="J18" s="29"/>
      <c r="K18" s="29"/>
      <c r="L18" s="29"/>
      <c r="M18" s="29"/>
      <c r="N18" s="91">
        <f t="shared" si="0"/>
        <v>12010</v>
      </c>
    </row>
    <row r="19" spans="1:21" customFormat="1" ht="15" customHeight="1" x14ac:dyDescent="0.3">
      <c r="A19" s="4"/>
      <c r="B19" s="648" t="s">
        <v>519</v>
      </c>
      <c r="C19" s="649"/>
      <c r="D19" s="126"/>
      <c r="E19" s="92">
        <f>SUM(E20:E21)</f>
        <v>0</v>
      </c>
      <c r="F19" s="90" t="s">
        <v>549</v>
      </c>
      <c r="G19" s="4"/>
      <c r="H19" s="29"/>
      <c r="I19" s="29"/>
      <c r="J19" s="29"/>
      <c r="K19" s="29"/>
      <c r="L19" s="29"/>
      <c r="M19" s="29"/>
      <c r="N19" s="91">
        <f t="shared" si="0"/>
        <v>1500</v>
      </c>
    </row>
    <row r="20" spans="1:21" customFormat="1" ht="15" customHeight="1" x14ac:dyDescent="0.3">
      <c r="A20" s="4"/>
      <c r="B20" s="648"/>
      <c r="C20" s="649" t="s">
        <v>526</v>
      </c>
      <c r="D20" s="126"/>
      <c r="E20" s="92">
        <v>0</v>
      </c>
      <c r="F20" s="90" t="s">
        <v>566</v>
      </c>
      <c r="G20" s="4"/>
      <c r="H20" s="29"/>
      <c r="I20" s="29"/>
      <c r="J20" s="29"/>
      <c r="K20" s="29"/>
      <c r="L20" s="29"/>
      <c r="M20" s="29"/>
      <c r="N20" s="91">
        <f t="shared" si="0"/>
        <v>4900</v>
      </c>
    </row>
    <row r="21" spans="1:21" customFormat="1" ht="15" customHeight="1" x14ac:dyDescent="0.3">
      <c r="A21" s="4"/>
      <c r="B21" s="648"/>
      <c r="C21" s="649" t="s">
        <v>525</v>
      </c>
      <c r="D21" s="126"/>
      <c r="E21" s="92">
        <v>0</v>
      </c>
      <c r="F21" s="90" t="s">
        <v>568</v>
      </c>
      <c r="G21" s="4"/>
      <c r="H21" s="29"/>
      <c r="I21" s="29"/>
      <c r="J21" s="29"/>
      <c r="K21" s="29"/>
      <c r="L21" s="29"/>
      <c r="M21" s="29"/>
      <c r="N21" s="91">
        <f t="shared" si="0"/>
        <v>117000</v>
      </c>
    </row>
    <row r="22" spans="1:21" customFormat="1" ht="15" customHeight="1" x14ac:dyDescent="0.3">
      <c r="A22" s="4"/>
      <c r="B22" s="648" t="s">
        <v>31</v>
      </c>
      <c r="C22" s="649"/>
      <c r="D22" s="126"/>
      <c r="E22" s="92">
        <v>0</v>
      </c>
      <c r="F22" s="90" t="s">
        <v>569</v>
      </c>
      <c r="G22" s="4"/>
      <c r="H22" s="29"/>
      <c r="I22" s="29"/>
      <c r="J22" s="29"/>
      <c r="K22" s="29"/>
      <c r="L22" s="29"/>
      <c r="M22" s="29"/>
      <c r="N22" s="91">
        <f t="shared" si="0"/>
        <v>15800</v>
      </c>
    </row>
    <row r="23" spans="1:21" customFormat="1" ht="15" customHeight="1" x14ac:dyDescent="0.3">
      <c r="A23" s="4"/>
      <c r="B23" s="648" t="s">
        <v>516</v>
      </c>
      <c r="C23" s="649"/>
      <c r="D23" s="126"/>
      <c r="E23" s="92">
        <v>0</v>
      </c>
      <c r="F23" s="90" t="s">
        <v>567</v>
      </c>
      <c r="G23" s="4"/>
      <c r="H23" s="29"/>
      <c r="I23" s="29"/>
      <c r="J23" s="29"/>
      <c r="K23" s="29"/>
      <c r="L23" s="29"/>
      <c r="M23" s="29"/>
      <c r="N23" s="91">
        <f t="shared" si="0"/>
        <v>5000</v>
      </c>
    </row>
    <row r="24" spans="1:21" customFormat="1" ht="15" customHeight="1" x14ac:dyDescent="0.3">
      <c r="A24" s="4"/>
      <c r="B24" s="648" t="s">
        <v>517</v>
      </c>
      <c r="C24" s="649"/>
      <c r="D24" s="126"/>
      <c r="E24" s="92">
        <v>0</v>
      </c>
      <c r="F24" s="627" t="s">
        <v>559</v>
      </c>
      <c r="G24" s="4"/>
      <c r="H24" s="29"/>
      <c r="I24" s="29"/>
      <c r="J24" s="29"/>
      <c r="K24" s="29"/>
      <c r="L24" s="29"/>
      <c r="M24" s="29"/>
      <c r="N24" s="91">
        <f t="shared" si="0"/>
        <v>1200</v>
      </c>
    </row>
    <row r="25" spans="1:21" customFormat="1" ht="15" customHeight="1" thickBot="1" x14ac:dyDescent="0.35">
      <c r="A25" s="4"/>
      <c r="B25" s="650" t="s">
        <v>759</v>
      </c>
      <c r="C25" s="651"/>
      <c r="D25" s="632"/>
      <c r="E25" s="95">
        <v>0</v>
      </c>
      <c r="F25" s="93" t="s">
        <v>561</v>
      </c>
      <c r="G25" s="4"/>
      <c r="H25" s="94"/>
      <c r="I25" s="94"/>
      <c r="J25" s="94"/>
      <c r="K25" s="94"/>
      <c r="L25" s="94"/>
      <c r="M25" s="94"/>
      <c r="N25" s="422">
        <f t="shared" si="0"/>
        <v>1000</v>
      </c>
    </row>
    <row r="26" spans="1:21" ht="15.75" thickBot="1" x14ac:dyDescent="0.3">
      <c r="A26" s="3"/>
      <c r="D26" s="3"/>
      <c r="E26" s="3"/>
      <c r="F26" s="3"/>
      <c r="G26" s="3"/>
      <c r="H26" s="3"/>
      <c r="I26" s="3"/>
      <c r="J26" s="3"/>
      <c r="K26" s="3"/>
      <c r="L26" s="3"/>
      <c r="M26" s="3"/>
      <c r="N26" s="3"/>
      <c r="O26" s="3"/>
      <c r="Q26" s="4" t="s">
        <v>1289</v>
      </c>
      <c r="S26" s="4" t="s">
        <v>1290</v>
      </c>
      <c r="U26" s="4" t="s">
        <v>1291</v>
      </c>
    </row>
    <row r="27" spans="1:21" ht="30.75" thickTop="1" x14ac:dyDescent="0.25">
      <c r="A27" s="5" t="s">
        <v>464</v>
      </c>
      <c r="B27" s="8" t="s">
        <v>379</v>
      </c>
      <c r="C27" s="8" t="s">
        <v>15</v>
      </c>
      <c r="D27" s="6" t="s">
        <v>547</v>
      </c>
      <c r="E27" s="6" t="s">
        <v>509</v>
      </c>
      <c r="F27" s="6" t="s">
        <v>686</v>
      </c>
      <c r="G27" s="6" t="s">
        <v>9</v>
      </c>
      <c r="H27" s="6" t="s">
        <v>510</v>
      </c>
      <c r="I27" s="6" t="s">
        <v>10</v>
      </c>
      <c r="J27" s="6" t="s">
        <v>11</v>
      </c>
      <c r="K27" s="6" t="s">
        <v>12</v>
      </c>
      <c r="L27" s="7" t="s">
        <v>13</v>
      </c>
      <c r="M27" s="6" t="s">
        <v>14</v>
      </c>
      <c r="N27" s="6" t="s">
        <v>474</v>
      </c>
      <c r="O27" s="8" t="s">
        <v>504</v>
      </c>
    </row>
    <row r="28" spans="1:21" x14ac:dyDescent="0.25">
      <c r="A28" s="499">
        <f t="shared" ref="A28:A62" si="1">VLOOKUP(D28,BldgExpCodes,2)</f>
        <v>6320</v>
      </c>
      <c r="B28" s="518" t="s">
        <v>684</v>
      </c>
      <c r="C28" s="518" t="s">
        <v>692</v>
      </c>
      <c r="D28" s="518" t="s">
        <v>548</v>
      </c>
      <c r="E28" s="458" t="s">
        <v>1164</v>
      </c>
      <c r="F28" s="459" t="s">
        <v>689</v>
      </c>
      <c r="G28" s="460"/>
      <c r="H28" s="461" t="s">
        <v>1528</v>
      </c>
      <c r="I28" s="462"/>
      <c r="J28" s="462" t="s">
        <v>1539</v>
      </c>
      <c r="K28" s="462" t="s">
        <v>1539</v>
      </c>
      <c r="L28" s="463"/>
      <c r="M28" s="464">
        <v>850</v>
      </c>
      <c r="N28" s="516">
        <v>1000</v>
      </c>
      <c r="O28" s="516">
        <v>6500</v>
      </c>
      <c r="P28" s="4" t="s">
        <v>1287</v>
      </c>
      <c r="Q28" s="4">
        <v>6000</v>
      </c>
      <c r="S28" s="4">
        <v>690</v>
      </c>
    </row>
    <row r="29" spans="1:21" x14ac:dyDescent="0.25">
      <c r="A29" s="499">
        <f t="shared" si="1"/>
        <v>6320</v>
      </c>
      <c r="B29" s="518" t="s">
        <v>684</v>
      </c>
      <c r="C29" s="518" t="s">
        <v>692</v>
      </c>
      <c r="D29" s="467" t="s">
        <v>549</v>
      </c>
      <c r="E29" s="457" t="s">
        <v>1165</v>
      </c>
      <c r="F29" s="459"/>
      <c r="G29" s="460"/>
      <c r="H29" s="461" t="s">
        <v>1529</v>
      </c>
      <c r="I29" s="462"/>
      <c r="J29" s="462" t="s">
        <v>1539</v>
      </c>
      <c r="K29" s="462" t="s">
        <v>1539</v>
      </c>
      <c r="L29" s="463"/>
      <c r="M29" s="464">
        <v>627</v>
      </c>
      <c r="N29" s="516">
        <v>800</v>
      </c>
      <c r="O29" s="516">
        <v>1500</v>
      </c>
      <c r="P29" s="4" t="s">
        <v>1287</v>
      </c>
      <c r="Q29" s="4">
        <v>1300</v>
      </c>
      <c r="S29" s="4">
        <v>2861</v>
      </c>
    </row>
    <row r="30" spans="1:21" x14ac:dyDescent="0.25">
      <c r="A30" s="499">
        <f t="shared" si="1"/>
        <v>6320</v>
      </c>
      <c r="B30" s="518" t="s">
        <v>684</v>
      </c>
      <c r="C30" s="518" t="s">
        <v>692</v>
      </c>
      <c r="D30" s="467" t="s">
        <v>550</v>
      </c>
      <c r="E30" s="458" t="s">
        <v>1166</v>
      </c>
      <c r="F30" s="459"/>
      <c r="G30" s="460"/>
      <c r="H30" s="461" t="s">
        <v>1530</v>
      </c>
      <c r="I30" s="462"/>
      <c r="J30" s="462">
        <v>42125</v>
      </c>
      <c r="K30" s="462">
        <v>43281</v>
      </c>
      <c r="L30" s="463">
        <v>75270</v>
      </c>
      <c r="M30" s="464">
        <v>31326</v>
      </c>
      <c r="N30" s="516">
        <v>34000</v>
      </c>
      <c r="O30" s="516">
        <v>35000</v>
      </c>
      <c r="P30" s="4" t="s">
        <v>1287</v>
      </c>
      <c r="Q30" s="4">
        <v>27000</v>
      </c>
      <c r="S30" s="4">
        <v>70011</v>
      </c>
      <c r="U30" s="4">
        <v>30000</v>
      </c>
    </row>
    <row r="31" spans="1:21" x14ac:dyDescent="0.25">
      <c r="A31" s="499">
        <f t="shared" si="1"/>
        <v>6320</v>
      </c>
      <c r="B31" s="518" t="s">
        <v>684</v>
      </c>
      <c r="C31" s="518" t="s">
        <v>692</v>
      </c>
      <c r="D31" s="467" t="s">
        <v>559</v>
      </c>
      <c r="E31" s="457" t="s">
        <v>1167</v>
      </c>
      <c r="F31" s="459"/>
      <c r="G31" s="460"/>
      <c r="H31" s="461" t="s">
        <v>1531</v>
      </c>
      <c r="I31" s="462"/>
      <c r="J31" s="462">
        <v>39603</v>
      </c>
      <c r="K31" s="462" t="s">
        <v>1511</v>
      </c>
      <c r="L31" s="463" t="s">
        <v>1511</v>
      </c>
      <c r="M31" s="464">
        <v>6175</v>
      </c>
      <c r="N31" s="516">
        <v>800</v>
      </c>
      <c r="O31" s="516">
        <v>1200</v>
      </c>
      <c r="P31" s="4" t="s">
        <v>1287</v>
      </c>
      <c r="Q31" s="4">
        <v>900</v>
      </c>
      <c r="S31" s="4">
        <v>780</v>
      </c>
    </row>
    <row r="32" spans="1:21" x14ac:dyDescent="0.25">
      <c r="A32" s="499">
        <f t="shared" si="1"/>
        <v>6320</v>
      </c>
      <c r="B32" s="518" t="s">
        <v>684</v>
      </c>
      <c r="C32" s="518" t="s">
        <v>692</v>
      </c>
      <c r="D32" s="467" t="s">
        <v>563</v>
      </c>
      <c r="E32" s="601" t="s">
        <v>1168</v>
      </c>
      <c r="F32" s="501"/>
      <c r="G32" s="502"/>
      <c r="H32" s="461" t="s">
        <v>1532</v>
      </c>
      <c r="I32" s="601"/>
      <c r="J32" s="503" t="s">
        <v>1539</v>
      </c>
      <c r="K32" s="503" t="s">
        <v>1539</v>
      </c>
      <c r="L32" s="602"/>
      <c r="M32" s="504">
        <v>113</v>
      </c>
      <c r="N32" s="516">
        <v>1764</v>
      </c>
      <c r="O32" s="603">
        <v>2000</v>
      </c>
      <c r="P32" s="4" t="s">
        <v>1287</v>
      </c>
      <c r="Q32" s="4">
        <v>1600</v>
      </c>
      <c r="S32" s="4">
        <v>8954</v>
      </c>
    </row>
    <row r="33" spans="1:22" x14ac:dyDescent="0.25">
      <c r="A33" s="499">
        <f t="shared" si="1"/>
        <v>6320</v>
      </c>
      <c r="B33" s="518" t="s">
        <v>684</v>
      </c>
      <c r="C33" s="518" t="s">
        <v>692</v>
      </c>
      <c r="D33" s="518" t="s">
        <v>564</v>
      </c>
      <c r="E33" s="458" t="s">
        <v>1169</v>
      </c>
      <c r="F33" s="459"/>
      <c r="G33" s="460"/>
      <c r="H33" s="461" t="s">
        <v>1533</v>
      </c>
      <c r="I33" s="462"/>
      <c r="J33" s="462" t="s">
        <v>1539</v>
      </c>
      <c r="K33" s="462" t="s">
        <v>1539</v>
      </c>
      <c r="L33" s="463"/>
      <c r="M33" s="464">
        <v>757</v>
      </c>
      <c r="N33" s="516">
        <v>1500</v>
      </c>
      <c r="O33" s="516">
        <v>5500</v>
      </c>
      <c r="P33" s="4" t="s">
        <v>1287</v>
      </c>
      <c r="Q33" s="4">
        <v>5000</v>
      </c>
      <c r="S33" s="4">
        <v>4709</v>
      </c>
    </row>
    <row r="34" spans="1:22" x14ac:dyDescent="0.25">
      <c r="A34" s="499">
        <f t="shared" si="1"/>
        <v>6320</v>
      </c>
      <c r="B34" s="518" t="s">
        <v>684</v>
      </c>
      <c r="C34" s="518" t="s">
        <v>692</v>
      </c>
      <c r="D34" s="518" t="s">
        <v>561</v>
      </c>
      <c r="E34" s="518" t="s">
        <v>1170</v>
      </c>
      <c r="F34" s="459"/>
      <c r="G34" s="460"/>
      <c r="H34" s="461"/>
      <c r="I34" s="465"/>
      <c r="J34" s="596" t="s">
        <v>1539</v>
      </c>
      <c r="K34" s="466" t="s">
        <v>1539</v>
      </c>
      <c r="L34" s="464"/>
      <c r="M34" s="464">
        <v>0</v>
      </c>
      <c r="N34" s="516">
        <v>2000</v>
      </c>
      <c r="O34" s="516">
        <v>1000</v>
      </c>
      <c r="P34" s="4" t="s">
        <v>1287</v>
      </c>
      <c r="Q34" s="4">
        <v>2950</v>
      </c>
      <c r="S34" s="4">
        <v>0</v>
      </c>
    </row>
    <row r="35" spans="1:22" x14ac:dyDescent="0.25">
      <c r="A35" s="499">
        <f t="shared" si="1"/>
        <v>6320</v>
      </c>
      <c r="B35" s="518" t="s">
        <v>684</v>
      </c>
      <c r="C35" s="518" t="s">
        <v>692</v>
      </c>
      <c r="D35" s="467" t="s">
        <v>560</v>
      </c>
      <c r="E35" s="518" t="s">
        <v>1171</v>
      </c>
      <c r="F35" s="459"/>
      <c r="G35" s="460"/>
      <c r="H35" s="461" t="s">
        <v>1534</v>
      </c>
      <c r="I35" s="462"/>
      <c r="J35" s="462" t="s">
        <v>1539</v>
      </c>
      <c r="K35" s="462" t="s">
        <v>1539</v>
      </c>
      <c r="L35" s="464"/>
      <c r="M35" s="464">
        <v>6798.59</v>
      </c>
      <c r="N35" s="516">
        <v>7500</v>
      </c>
      <c r="O35" s="516">
        <v>7525</v>
      </c>
      <c r="P35" s="4" t="s">
        <v>1287</v>
      </c>
      <c r="Q35" s="4">
        <v>8500</v>
      </c>
      <c r="S35" s="4">
        <v>6783</v>
      </c>
    </row>
    <row r="36" spans="1:22" x14ac:dyDescent="0.25">
      <c r="A36" s="499">
        <f t="shared" si="1"/>
        <v>6340</v>
      </c>
      <c r="B36" s="518" t="s">
        <v>684</v>
      </c>
      <c r="C36" s="518" t="s">
        <v>692</v>
      </c>
      <c r="D36" s="467" t="s">
        <v>568</v>
      </c>
      <c r="E36" s="518" t="s">
        <v>1535</v>
      </c>
      <c r="F36" s="501" t="s">
        <v>689</v>
      </c>
      <c r="G36" s="502"/>
      <c r="H36" s="461" t="s">
        <v>1218</v>
      </c>
      <c r="I36" s="465"/>
      <c r="J36" s="503" t="s">
        <v>1539</v>
      </c>
      <c r="K36" s="462" t="s">
        <v>1539</v>
      </c>
      <c r="L36" s="504"/>
      <c r="M36" s="504">
        <v>73621.990000000005</v>
      </c>
      <c r="N36" s="516">
        <v>90000</v>
      </c>
      <c r="O36" s="516">
        <v>98000</v>
      </c>
      <c r="P36" s="4" t="s">
        <v>1287</v>
      </c>
      <c r="Q36" s="519">
        <v>118775</v>
      </c>
      <c r="R36" s="519"/>
      <c r="S36" s="519">
        <v>122806</v>
      </c>
      <c r="T36" s="519"/>
      <c r="U36" s="519"/>
    </row>
    <row r="37" spans="1:22" x14ac:dyDescent="0.25">
      <c r="A37" s="499">
        <f t="shared" si="1"/>
        <v>6340</v>
      </c>
      <c r="B37" s="518" t="s">
        <v>684</v>
      </c>
      <c r="C37" s="518" t="s">
        <v>692</v>
      </c>
      <c r="D37" s="467" t="s">
        <v>569</v>
      </c>
      <c r="E37" s="518" t="s">
        <v>1536</v>
      </c>
      <c r="F37" s="459" t="s">
        <v>689</v>
      </c>
      <c r="G37" s="460"/>
      <c r="H37" s="461" t="s">
        <v>1220</v>
      </c>
      <c r="I37" s="462"/>
      <c r="J37" s="462" t="s">
        <v>1539</v>
      </c>
      <c r="K37" s="462" t="s">
        <v>1539</v>
      </c>
      <c r="L37" s="464"/>
      <c r="M37" s="464">
        <v>10416.39</v>
      </c>
      <c r="N37" s="516">
        <v>11500</v>
      </c>
      <c r="O37" s="516">
        <v>14000</v>
      </c>
      <c r="P37" s="4" t="s">
        <v>1287</v>
      </c>
      <c r="Q37" s="519"/>
      <c r="R37" s="519"/>
      <c r="S37" s="519">
        <v>13722</v>
      </c>
      <c r="T37" s="519"/>
      <c r="U37" s="519"/>
    </row>
    <row r="38" spans="1:22" x14ac:dyDescent="0.25">
      <c r="A38" s="499">
        <f t="shared" si="1"/>
        <v>6340</v>
      </c>
      <c r="B38" s="518" t="s">
        <v>684</v>
      </c>
      <c r="C38" s="518" t="s">
        <v>692</v>
      </c>
      <c r="D38" s="467" t="s">
        <v>567</v>
      </c>
      <c r="E38" s="518" t="s">
        <v>1537</v>
      </c>
      <c r="F38" s="501" t="s">
        <v>689</v>
      </c>
      <c r="G38" s="502"/>
      <c r="H38" s="461" t="s">
        <v>1219</v>
      </c>
      <c r="I38" s="465"/>
      <c r="J38" s="462" t="s">
        <v>1539</v>
      </c>
      <c r="K38" s="462" t="s">
        <v>1539</v>
      </c>
      <c r="L38" s="504"/>
      <c r="M38" s="504">
        <v>2639.01</v>
      </c>
      <c r="N38" s="516">
        <f>M38+(M38/9)*3</f>
        <v>3518.6800000000003</v>
      </c>
      <c r="O38" s="516">
        <v>3500</v>
      </c>
      <c r="P38" s="4" t="s">
        <v>1287</v>
      </c>
      <c r="Q38" s="519"/>
      <c r="R38" s="519"/>
      <c r="S38" s="519">
        <v>4399</v>
      </c>
      <c r="T38" s="519"/>
      <c r="U38" s="519"/>
    </row>
    <row r="39" spans="1:22" x14ac:dyDescent="0.25">
      <c r="A39" s="499">
        <f t="shared" si="1"/>
        <v>6340</v>
      </c>
      <c r="B39" s="518" t="s">
        <v>684</v>
      </c>
      <c r="C39" s="518" t="s">
        <v>692</v>
      </c>
      <c r="D39" s="467" t="s">
        <v>568</v>
      </c>
      <c r="E39" s="518" t="s">
        <v>1535</v>
      </c>
      <c r="F39" s="459" t="s">
        <v>687</v>
      </c>
      <c r="G39" s="460"/>
      <c r="H39" s="461" t="s">
        <v>1218</v>
      </c>
      <c r="I39" s="462"/>
      <c r="J39" s="462" t="s">
        <v>1539</v>
      </c>
      <c r="K39" s="462" t="s">
        <v>1539</v>
      </c>
      <c r="L39" s="464"/>
      <c r="M39" s="464">
        <v>12124.73</v>
      </c>
      <c r="N39" s="516">
        <v>15000</v>
      </c>
      <c r="O39" s="516">
        <v>19000</v>
      </c>
      <c r="P39" s="4" t="s">
        <v>1287</v>
      </c>
      <c r="Q39" s="519"/>
      <c r="R39" s="519"/>
      <c r="S39" s="519"/>
      <c r="T39" s="519"/>
      <c r="U39" s="519"/>
      <c r="V39" s="4" t="s">
        <v>709</v>
      </c>
    </row>
    <row r="40" spans="1:22" x14ac:dyDescent="0.25">
      <c r="A40" s="499">
        <f t="shared" si="1"/>
        <v>6340</v>
      </c>
      <c r="B40" s="518" t="s">
        <v>684</v>
      </c>
      <c r="C40" s="518" t="s">
        <v>692</v>
      </c>
      <c r="D40" s="467" t="s">
        <v>569</v>
      </c>
      <c r="E40" s="518" t="s">
        <v>1536</v>
      </c>
      <c r="F40" s="459" t="s">
        <v>687</v>
      </c>
      <c r="G40" s="460"/>
      <c r="H40" s="461" t="s">
        <v>1221</v>
      </c>
      <c r="I40" s="462"/>
      <c r="J40" s="462" t="s">
        <v>1539</v>
      </c>
      <c r="K40" s="462" t="s">
        <v>1539</v>
      </c>
      <c r="L40" s="464"/>
      <c r="M40" s="464">
        <v>1344</v>
      </c>
      <c r="N40" s="516">
        <v>1500</v>
      </c>
      <c r="O40" s="516">
        <v>1800</v>
      </c>
      <c r="P40" s="4" t="s">
        <v>1287</v>
      </c>
      <c r="Q40" s="519"/>
      <c r="R40" s="519"/>
      <c r="S40" s="519"/>
      <c r="T40" s="519"/>
      <c r="U40" s="519"/>
    </row>
    <row r="41" spans="1:22" x14ac:dyDescent="0.25">
      <c r="A41" s="499">
        <f t="shared" si="1"/>
        <v>6340</v>
      </c>
      <c r="B41" s="518" t="s">
        <v>684</v>
      </c>
      <c r="C41" s="518" t="s">
        <v>692</v>
      </c>
      <c r="D41" s="467" t="s">
        <v>567</v>
      </c>
      <c r="E41" s="518" t="s">
        <v>1538</v>
      </c>
      <c r="F41" s="459" t="s">
        <v>687</v>
      </c>
      <c r="G41" s="460"/>
      <c r="H41" s="461" t="s">
        <v>1219</v>
      </c>
      <c r="I41" s="462"/>
      <c r="J41" s="462" t="s">
        <v>1539</v>
      </c>
      <c r="K41" s="462" t="s">
        <v>1539</v>
      </c>
      <c r="L41" s="464"/>
      <c r="M41" s="464">
        <v>1176.83</v>
      </c>
      <c r="N41" s="516">
        <f>M41+(M41/9)*3</f>
        <v>1569.1066666666666</v>
      </c>
      <c r="O41" s="516">
        <v>1500</v>
      </c>
      <c r="P41" s="4" t="s">
        <v>1287</v>
      </c>
      <c r="Q41" s="519"/>
      <c r="R41" s="519"/>
      <c r="S41" s="519"/>
      <c r="T41" s="519"/>
      <c r="U41" s="519"/>
    </row>
    <row r="42" spans="1:22" x14ac:dyDescent="0.25">
      <c r="A42" s="499">
        <f t="shared" si="1"/>
        <v>6320</v>
      </c>
      <c r="B42" s="518" t="s">
        <v>684</v>
      </c>
      <c r="C42" s="518" t="s">
        <v>692</v>
      </c>
      <c r="D42" s="518" t="s">
        <v>565</v>
      </c>
      <c r="E42" s="518" t="s">
        <v>1172</v>
      </c>
      <c r="F42" s="459"/>
      <c r="G42" s="460"/>
      <c r="H42" s="461"/>
      <c r="I42" s="462"/>
      <c r="J42" s="462" t="s">
        <v>1539</v>
      </c>
      <c r="K42" s="462" t="s">
        <v>1539</v>
      </c>
      <c r="L42" s="464"/>
      <c r="M42" s="464">
        <v>0</v>
      </c>
      <c r="N42" s="516">
        <v>0</v>
      </c>
      <c r="O42" s="516">
        <v>3500</v>
      </c>
      <c r="P42" s="4" t="s">
        <v>1287</v>
      </c>
      <c r="Q42" s="4">
        <v>14000</v>
      </c>
      <c r="S42" s="4">
        <v>0</v>
      </c>
    </row>
    <row r="43" spans="1:22" x14ac:dyDescent="0.25">
      <c r="A43" s="499">
        <f t="shared" si="1"/>
        <v>6320</v>
      </c>
      <c r="B43" s="518" t="s">
        <v>684</v>
      </c>
      <c r="C43" s="518" t="s">
        <v>692</v>
      </c>
      <c r="D43" s="518" t="s">
        <v>557</v>
      </c>
      <c r="E43" s="518" t="s">
        <v>1174</v>
      </c>
      <c r="F43" s="459"/>
      <c r="G43" s="460"/>
      <c r="H43" s="461" t="s">
        <v>1532</v>
      </c>
      <c r="I43" s="462"/>
      <c r="J43" s="462" t="s">
        <v>1539</v>
      </c>
      <c r="K43" s="462" t="s">
        <v>1539</v>
      </c>
      <c r="L43" s="464"/>
      <c r="M43" s="464">
        <v>114</v>
      </c>
      <c r="N43" s="516">
        <v>1000</v>
      </c>
      <c r="O43" s="516">
        <v>1200</v>
      </c>
      <c r="P43" s="4" t="s">
        <v>1287</v>
      </c>
      <c r="Q43" s="4">
        <f>250+660</f>
        <v>910</v>
      </c>
      <c r="S43" s="4">
        <v>729</v>
      </c>
    </row>
    <row r="44" spans="1:22" x14ac:dyDescent="0.25">
      <c r="A44" s="499">
        <f t="shared" si="1"/>
        <v>6320</v>
      </c>
      <c r="B44" s="518" t="s">
        <v>684</v>
      </c>
      <c r="C44" s="518" t="s">
        <v>692</v>
      </c>
      <c r="D44" s="518" t="s">
        <v>551</v>
      </c>
      <c r="E44" s="518" t="s">
        <v>1173</v>
      </c>
      <c r="F44" s="459"/>
      <c r="G44" s="460"/>
      <c r="H44" s="461" t="s">
        <v>1540</v>
      </c>
      <c r="I44" s="462"/>
      <c r="J44" s="462">
        <v>42217</v>
      </c>
      <c r="K44" s="462">
        <v>42551</v>
      </c>
      <c r="L44" s="464">
        <v>17600</v>
      </c>
      <c r="M44" s="464">
        <v>16550</v>
      </c>
      <c r="N44" s="516">
        <v>21700</v>
      </c>
      <c r="O44" s="516">
        <v>25000</v>
      </c>
      <c r="P44" s="4" t="s">
        <v>1287</v>
      </c>
      <c r="Q44" s="4">
        <v>26800</v>
      </c>
      <c r="S44" s="4">
        <v>29016</v>
      </c>
    </row>
    <row r="45" spans="1:22" s="688" customFormat="1" x14ac:dyDescent="0.25">
      <c r="A45" s="690"/>
      <c r="B45" s="700" t="s">
        <v>684</v>
      </c>
      <c r="C45" s="700" t="s">
        <v>692</v>
      </c>
      <c r="D45" s="700" t="s">
        <v>551</v>
      </c>
      <c r="E45" s="700" t="s">
        <v>1173</v>
      </c>
      <c r="F45" s="693"/>
      <c r="G45" s="694"/>
      <c r="H45" s="695" t="s">
        <v>1541</v>
      </c>
      <c r="I45" s="462"/>
      <c r="J45" s="462">
        <v>42125</v>
      </c>
      <c r="K45" s="462">
        <v>43281</v>
      </c>
      <c r="L45" s="696">
        <v>9900</v>
      </c>
      <c r="M45" s="696">
        <v>2750</v>
      </c>
      <c r="N45" s="699">
        <v>3300</v>
      </c>
      <c r="O45" s="699">
        <v>0</v>
      </c>
    </row>
    <row r="46" spans="1:22" x14ac:dyDescent="0.25">
      <c r="A46" s="499">
        <f t="shared" si="1"/>
        <v>6320</v>
      </c>
      <c r="B46" s="518" t="s">
        <v>684</v>
      </c>
      <c r="C46" s="518" t="s">
        <v>692</v>
      </c>
      <c r="D46" s="518" t="s">
        <v>552</v>
      </c>
      <c r="E46" s="518" t="s">
        <v>1175</v>
      </c>
      <c r="F46" s="459" t="s">
        <v>689</v>
      </c>
      <c r="G46" s="460"/>
      <c r="H46" s="461" t="s">
        <v>1542</v>
      </c>
      <c r="I46" s="462"/>
      <c r="J46" s="462">
        <v>42064</v>
      </c>
      <c r="K46" s="462">
        <v>42794</v>
      </c>
      <c r="L46" s="464">
        <v>101016</v>
      </c>
      <c r="M46" s="464">
        <v>63135</v>
      </c>
      <c r="N46" s="516">
        <v>50508</v>
      </c>
      <c r="O46" s="516">
        <v>74000</v>
      </c>
      <c r="P46" s="4" t="s">
        <v>1287</v>
      </c>
      <c r="Q46" s="4">
        <v>66000</v>
      </c>
      <c r="S46" s="4">
        <v>55880</v>
      </c>
    </row>
    <row r="47" spans="1:22" s="688" customFormat="1" x14ac:dyDescent="0.25">
      <c r="A47" s="690"/>
      <c r="B47" s="700" t="s">
        <v>684</v>
      </c>
      <c r="C47" s="700" t="s">
        <v>692</v>
      </c>
      <c r="D47" s="700" t="s">
        <v>552</v>
      </c>
      <c r="E47" s="700" t="s">
        <v>1175</v>
      </c>
      <c r="F47" s="693" t="s">
        <v>687</v>
      </c>
      <c r="G47" s="694"/>
      <c r="H47" s="695" t="s">
        <v>1542</v>
      </c>
      <c r="I47" s="462"/>
      <c r="J47" s="462">
        <v>42064</v>
      </c>
      <c r="K47" s="462">
        <v>42794</v>
      </c>
      <c r="L47" s="696">
        <v>27480</v>
      </c>
      <c r="M47" s="696">
        <v>16030</v>
      </c>
      <c r="N47" s="699">
        <v>13740</v>
      </c>
      <c r="O47" s="699">
        <v>0</v>
      </c>
    </row>
    <row r="48" spans="1:22" x14ac:dyDescent="0.25">
      <c r="A48" s="499">
        <f t="shared" si="1"/>
        <v>6320</v>
      </c>
      <c r="B48" s="518" t="s">
        <v>684</v>
      </c>
      <c r="C48" s="518" t="s">
        <v>692</v>
      </c>
      <c r="D48" s="518" t="s">
        <v>553</v>
      </c>
      <c r="E48" s="468" t="s">
        <v>1176</v>
      </c>
      <c r="F48" s="459"/>
      <c r="G48" s="460"/>
      <c r="H48" s="461" t="s">
        <v>1543</v>
      </c>
      <c r="I48" s="462"/>
      <c r="J48" s="462" t="s">
        <v>1539</v>
      </c>
      <c r="K48" s="462" t="s">
        <v>1539</v>
      </c>
      <c r="L48" s="464"/>
      <c r="M48" s="464">
        <v>6787.2</v>
      </c>
      <c r="N48" s="516">
        <v>7400</v>
      </c>
      <c r="O48" s="516">
        <v>12500</v>
      </c>
      <c r="P48" s="4" t="s">
        <v>1287</v>
      </c>
      <c r="Q48" s="4">
        <v>9200</v>
      </c>
      <c r="S48" s="4">
        <v>9374</v>
      </c>
    </row>
    <row r="49" spans="1:19" s="688" customFormat="1" x14ac:dyDescent="0.25">
      <c r="A49" s="690"/>
      <c r="B49" s="700" t="s">
        <v>684</v>
      </c>
      <c r="C49" s="700" t="s">
        <v>692</v>
      </c>
      <c r="D49" s="700" t="s">
        <v>553</v>
      </c>
      <c r="E49" s="468" t="s">
        <v>1176</v>
      </c>
      <c r="F49" s="693"/>
      <c r="G49" s="694"/>
      <c r="H49" s="695" t="s">
        <v>1544</v>
      </c>
      <c r="I49" s="462"/>
      <c r="J49" s="462" t="s">
        <v>1539</v>
      </c>
      <c r="K49" s="462" t="s">
        <v>1539</v>
      </c>
      <c r="L49" s="696"/>
      <c r="M49" s="696">
        <v>4589.43</v>
      </c>
      <c r="N49" s="699">
        <v>5006</v>
      </c>
      <c r="O49" s="699">
        <v>0</v>
      </c>
    </row>
    <row r="50" spans="1:19" x14ac:dyDescent="0.25">
      <c r="A50" s="499">
        <f t="shared" si="1"/>
        <v>6320</v>
      </c>
      <c r="B50" s="518" t="s">
        <v>684</v>
      </c>
      <c r="C50" s="518" t="s">
        <v>692</v>
      </c>
      <c r="D50" s="518" t="s">
        <v>558</v>
      </c>
      <c r="E50" s="518" t="s">
        <v>1177</v>
      </c>
      <c r="F50" s="459"/>
      <c r="G50" s="460"/>
      <c r="H50" s="461" t="s">
        <v>1545</v>
      </c>
      <c r="I50" s="462"/>
      <c r="J50" s="462" t="s">
        <v>1539</v>
      </c>
      <c r="K50" s="462" t="s">
        <v>1539</v>
      </c>
      <c r="L50" s="464"/>
      <c r="M50" s="464">
        <v>81.08</v>
      </c>
      <c r="N50" s="516">
        <v>500</v>
      </c>
      <c r="O50" s="516">
        <v>500</v>
      </c>
      <c r="P50" s="4" t="s">
        <v>1287</v>
      </c>
      <c r="Q50" s="4">
        <v>800</v>
      </c>
      <c r="S50" s="4">
        <v>474</v>
      </c>
    </row>
    <row r="51" spans="1:19" x14ac:dyDescent="0.25">
      <c r="A51" s="499">
        <f t="shared" si="1"/>
        <v>6320</v>
      </c>
      <c r="B51" s="518" t="s">
        <v>684</v>
      </c>
      <c r="C51" s="518" t="s">
        <v>692</v>
      </c>
      <c r="D51" s="518" t="s">
        <v>554</v>
      </c>
      <c r="E51" s="518" t="s">
        <v>1178</v>
      </c>
      <c r="F51" s="459"/>
      <c r="G51" s="460"/>
      <c r="H51" s="461" t="s">
        <v>1546</v>
      </c>
      <c r="I51" s="462"/>
      <c r="J51" s="462">
        <v>39598</v>
      </c>
      <c r="K51" s="462" t="s">
        <v>1511</v>
      </c>
      <c r="L51" s="464"/>
      <c r="M51" s="464">
        <v>4800</v>
      </c>
      <c r="N51" s="516">
        <v>2000</v>
      </c>
      <c r="O51" s="516">
        <v>2100</v>
      </c>
      <c r="P51" s="4" t="s">
        <v>1287</v>
      </c>
      <c r="Q51" s="4">
        <v>1800</v>
      </c>
      <c r="S51" s="4">
        <v>3340</v>
      </c>
    </row>
    <row r="52" spans="1:19" x14ac:dyDescent="0.25">
      <c r="A52" s="500">
        <f t="shared" si="1"/>
        <v>6320</v>
      </c>
      <c r="B52" s="518" t="s">
        <v>684</v>
      </c>
      <c r="C52" s="518" t="s">
        <v>692</v>
      </c>
      <c r="D52" s="467" t="s">
        <v>566</v>
      </c>
      <c r="E52" s="468" t="s">
        <v>1163</v>
      </c>
      <c r="F52" s="459"/>
      <c r="G52" s="460"/>
      <c r="H52" s="461" t="s">
        <v>1547</v>
      </c>
      <c r="I52" s="462"/>
      <c r="J52" s="462">
        <v>41823</v>
      </c>
      <c r="K52" s="462">
        <v>42581</v>
      </c>
      <c r="L52" s="464">
        <v>35000</v>
      </c>
      <c r="M52" s="464">
        <f>11151-818.5</f>
        <v>10332.5</v>
      </c>
      <c r="N52" s="516">
        <v>11300</v>
      </c>
      <c r="O52" s="516">
        <v>2500</v>
      </c>
      <c r="P52" s="4" t="s">
        <v>1287</v>
      </c>
      <c r="Q52" s="4">
        <v>11662</v>
      </c>
      <c r="S52" s="4">
        <v>5971</v>
      </c>
    </row>
    <row r="53" spans="1:19" x14ac:dyDescent="0.25">
      <c r="A53" s="500">
        <f t="shared" si="1"/>
        <v>6320</v>
      </c>
      <c r="B53" s="518" t="s">
        <v>684</v>
      </c>
      <c r="C53" s="518" t="s">
        <v>692</v>
      </c>
      <c r="D53" s="467" t="s">
        <v>555</v>
      </c>
      <c r="E53" s="457" t="s">
        <v>1179</v>
      </c>
      <c r="F53" s="459"/>
      <c r="G53" s="460"/>
      <c r="H53" s="461" t="s">
        <v>1426</v>
      </c>
      <c r="I53" s="462"/>
      <c r="J53" s="462">
        <v>41395</v>
      </c>
      <c r="K53" s="462">
        <v>42490</v>
      </c>
      <c r="L53" s="464">
        <v>16047.6</v>
      </c>
      <c r="M53" s="464">
        <v>15138</v>
      </c>
      <c r="N53" s="516">
        <v>4692</v>
      </c>
      <c r="O53" s="516">
        <v>4692</v>
      </c>
      <c r="P53" s="4" t="s">
        <v>1287</v>
      </c>
      <c r="Q53" s="4">
        <v>16200</v>
      </c>
      <c r="S53" s="4">
        <v>6706</v>
      </c>
    </row>
    <row r="54" spans="1:19" x14ac:dyDescent="0.25">
      <c r="A54" s="500">
        <f t="shared" si="1"/>
        <v>6320</v>
      </c>
      <c r="B54" s="518" t="s">
        <v>684</v>
      </c>
      <c r="C54" s="518" t="s">
        <v>692</v>
      </c>
      <c r="D54" s="467" t="s">
        <v>556</v>
      </c>
      <c r="E54" s="457" t="s">
        <v>1180</v>
      </c>
      <c r="F54" s="459"/>
      <c r="G54" s="460"/>
      <c r="H54" s="461" t="s">
        <v>841</v>
      </c>
      <c r="I54" s="462"/>
      <c r="J54" s="462">
        <v>41821</v>
      </c>
      <c r="K54" s="462">
        <v>42916</v>
      </c>
      <c r="L54" s="464">
        <v>64112</v>
      </c>
      <c r="M54" s="464">
        <v>36256.25</v>
      </c>
      <c r="N54" s="516">
        <v>21737.5</v>
      </c>
      <c r="O54" s="516">
        <v>18000</v>
      </c>
      <c r="P54" s="4" t="s">
        <v>1287</v>
      </c>
      <c r="Q54" s="4">
        <v>3300</v>
      </c>
      <c r="S54" s="4">
        <v>23886</v>
      </c>
    </row>
    <row r="55" spans="1:19" x14ac:dyDescent="0.25">
      <c r="A55" s="500">
        <f t="shared" si="1"/>
        <v>6320</v>
      </c>
      <c r="B55" s="518" t="s">
        <v>684</v>
      </c>
      <c r="C55" s="518" t="s">
        <v>692</v>
      </c>
      <c r="D55" s="467" t="s">
        <v>566</v>
      </c>
      <c r="E55" s="458" t="s">
        <v>1181</v>
      </c>
      <c r="F55" s="459"/>
      <c r="G55" s="460"/>
      <c r="H55" s="461" t="s">
        <v>1547</v>
      </c>
      <c r="I55" s="462"/>
      <c r="J55" s="462">
        <v>41823</v>
      </c>
      <c r="K55" s="462">
        <v>42581</v>
      </c>
      <c r="L55" s="464">
        <v>35000</v>
      </c>
      <c r="M55" s="464">
        <v>818.5</v>
      </c>
      <c r="N55" s="516">
        <v>1000</v>
      </c>
      <c r="O55" s="516">
        <v>2400</v>
      </c>
    </row>
    <row r="56" spans="1:19" s="688" customFormat="1" x14ac:dyDescent="0.25">
      <c r="A56" s="691"/>
      <c r="B56" s="700" t="s">
        <v>684</v>
      </c>
      <c r="C56" s="700" t="s">
        <v>692</v>
      </c>
      <c r="D56" s="698" t="s">
        <v>566</v>
      </c>
      <c r="E56" s="458" t="s">
        <v>1548</v>
      </c>
      <c r="F56" s="693"/>
      <c r="G56" s="694"/>
      <c r="H56" s="695" t="s">
        <v>1549</v>
      </c>
      <c r="I56" s="462"/>
      <c r="J56" s="462" t="s">
        <v>1539</v>
      </c>
      <c r="K56" s="462" t="s">
        <v>1539</v>
      </c>
      <c r="L56" s="696"/>
      <c r="M56" s="696">
        <v>25</v>
      </c>
      <c r="N56" s="699">
        <v>25</v>
      </c>
      <c r="O56" s="699">
        <v>0</v>
      </c>
    </row>
    <row r="57" spans="1:19" x14ac:dyDescent="0.25">
      <c r="A57" s="517">
        <f t="shared" si="1"/>
        <v>6320</v>
      </c>
      <c r="B57" s="518" t="s">
        <v>684</v>
      </c>
      <c r="C57" s="518" t="s">
        <v>692</v>
      </c>
      <c r="D57" s="467" t="s">
        <v>563</v>
      </c>
      <c r="E57" s="468" t="s">
        <v>1550</v>
      </c>
      <c r="F57" s="693" t="s">
        <v>689</v>
      </c>
      <c r="G57" s="604"/>
      <c r="H57" s="461"/>
      <c r="I57" s="462"/>
      <c r="J57" s="462" t="s">
        <v>1539</v>
      </c>
      <c r="K57" s="462" t="s">
        <v>1539</v>
      </c>
      <c r="L57" s="469"/>
      <c r="M57" s="464">
        <v>0</v>
      </c>
      <c r="N57" s="520">
        <v>0</v>
      </c>
      <c r="O57" s="520">
        <v>3800</v>
      </c>
    </row>
    <row r="58" spans="1:19" ht="16.5" customHeight="1" x14ac:dyDescent="0.25">
      <c r="A58" s="517">
        <f t="shared" si="1"/>
        <v>6320</v>
      </c>
      <c r="B58" s="518" t="s">
        <v>684</v>
      </c>
      <c r="C58" s="518" t="s">
        <v>692</v>
      </c>
      <c r="D58" s="467" t="s">
        <v>564</v>
      </c>
      <c r="E58" s="468" t="s">
        <v>1169</v>
      </c>
      <c r="F58" s="693" t="s">
        <v>687</v>
      </c>
      <c r="G58" s="604"/>
      <c r="H58" s="461"/>
      <c r="I58" s="462"/>
      <c r="J58" s="462" t="s">
        <v>1539</v>
      </c>
      <c r="K58" s="462" t="s">
        <v>1539</v>
      </c>
      <c r="L58" s="469"/>
      <c r="M58" s="464">
        <v>0</v>
      </c>
      <c r="N58" s="516">
        <v>0</v>
      </c>
      <c r="O58" s="516">
        <v>6510</v>
      </c>
    </row>
    <row r="59" spans="1:19" x14ac:dyDescent="0.25">
      <c r="A59" s="517">
        <f t="shared" si="1"/>
        <v>6320</v>
      </c>
      <c r="B59" s="518" t="s">
        <v>684</v>
      </c>
      <c r="C59" s="518" t="s">
        <v>692</v>
      </c>
      <c r="D59" s="467" t="s">
        <v>563</v>
      </c>
      <c r="E59" s="468" t="s">
        <v>1551</v>
      </c>
      <c r="F59" s="459" t="s">
        <v>689</v>
      </c>
      <c r="G59" s="460"/>
      <c r="H59" s="461"/>
      <c r="I59" s="462"/>
      <c r="J59" s="462" t="s">
        <v>1539</v>
      </c>
      <c r="K59" s="462" t="s">
        <v>1539</v>
      </c>
      <c r="L59" s="469"/>
      <c r="M59" s="464">
        <v>0</v>
      </c>
      <c r="N59" s="516">
        <v>0</v>
      </c>
      <c r="O59" s="516">
        <v>3000</v>
      </c>
      <c r="Q59" s="4">
        <v>20000</v>
      </c>
      <c r="S59" s="4">
        <v>16802</v>
      </c>
    </row>
    <row r="60" spans="1:19" x14ac:dyDescent="0.25">
      <c r="A60" s="517" t="e">
        <f t="shared" si="1"/>
        <v>#N/A</v>
      </c>
      <c r="B60" s="518" t="s">
        <v>684</v>
      </c>
      <c r="C60" s="518" t="s">
        <v>692</v>
      </c>
      <c r="D60" s="467"/>
      <c r="E60" s="458"/>
      <c r="F60" s="459"/>
      <c r="G60" s="460"/>
      <c r="H60" s="461"/>
      <c r="I60" s="467"/>
      <c r="J60" s="466"/>
      <c r="K60" s="466"/>
      <c r="L60" s="603"/>
      <c r="M60" s="464"/>
      <c r="N60" s="520"/>
      <c r="O60" s="520"/>
    </row>
    <row r="61" spans="1:19" x14ac:dyDescent="0.25">
      <c r="A61" s="517" t="e">
        <f t="shared" si="1"/>
        <v>#N/A</v>
      </c>
      <c r="B61" s="518" t="s">
        <v>684</v>
      </c>
      <c r="C61" s="518" t="s">
        <v>692</v>
      </c>
      <c r="D61" s="467"/>
      <c r="E61" s="458"/>
      <c r="F61" s="459"/>
      <c r="G61" s="460"/>
      <c r="H61" s="461"/>
      <c r="I61" s="467"/>
      <c r="J61" s="466"/>
      <c r="K61" s="466"/>
      <c r="L61" s="603"/>
      <c r="M61" s="464"/>
      <c r="N61" s="520"/>
      <c r="O61" s="520"/>
      <c r="Q61" s="4">
        <v>700</v>
      </c>
      <c r="S61" s="4">
        <v>0</v>
      </c>
    </row>
    <row r="62" spans="1:19" ht="15.75" thickBot="1" x14ac:dyDescent="0.3">
      <c r="A62" s="517" t="e">
        <f t="shared" si="1"/>
        <v>#N/A</v>
      </c>
      <c r="B62" s="518" t="s">
        <v>684</v>
      </c>
      <c r="C62" s="518" t="s">
        <v>692</v>
      </c>
      <c r="D62" s="467"/>
      <c r="E62" s="468"/>
      <c r="F62" s="459"/>
      <c r="G62" s="460"/>
      <c r="H62" s="461"/>
      <c r="I62" s="462"/>
      <c r="J62" s="462"/>
      <c r="K62" s="462"/>
      <c r="L62" s="469"/>
      <c r="M62" s="464"/>
      <c r="N62" s="516"/>
      <c r="O62" s="516"/>
    </row>
    <row r="63" spans="1:19" hidden="1" x14ac:dyDescent="0.25">
      <c r="A63" s="517" t="e">
        <f t="shared" ref="A63" si="2">VLOOKUP(D63,BldgExpCodes,2)</f>
        <v>#N/A</v>
      </c>
      <c r="B63" s="518" t="s">
        <v>684</v>
      </c>
      <c r="C63" s="518" t="s">
        <v>692</v>
      </c>
      <c r="D63" s="467"/>
      <c r="E63" s="605"/>
      <c r="F63" s="606"/>
      <c r="G63" s="607"/>
      <c r="H63" s="608"/>
      <c r="I63" s="609"/>
      <c r="J63" s="610"/>
      <c r="K63" s="610"/>
      <c r="L63" s="611"/>
      <c r="M63" s="470"/>
      <c r="N63" s="516"/>
      <c r="O63" s="520"/>
    </row>
    <row r="64" spans="1:19" hidden="1" x14ac:dyDescent="0.25">
      <c r="A64" s="517" t="e">
        <f>VLOOKUP(D64,BldgExpCodes,2)</f>
        <v>#N/A</v>
      </c>
      <c r="B64" s="518" t="s">
        <v>684</v>
      </c>
      <c r="C64" s="518" t="s">
        <v>692</v>
      </c>
      <c r="D64" s="467"/>
      <c r="E64" s="605"/>
      <c r="F64" s="606"/>
      <c r="G64" s="607"/>
      <c r="H64" s="608"/>
      <c r="I64" s="609"/>
      <c r="J64" s="610"/>
      <c r="K64" s="610"/>
      <c r="L64" s="611"/>
      <c r="M64" s="464"/>
      <c r="N64" s="516"/>
      <c r="O64" s="516"/>
    </row>
    <row r="65" spans="1:15" hidden="1" x14ac:dyDescent="0.25">
      <c r="A65" s="500" t="e">
        <f t="shared" ref="A65:A91" si="3">VLOOKUP(D65,BldgExpCodes,2)</f>
        <v>#N/A</v>
      </c>
      <c r="B65" s="518" t="s">
        <v>684</v>
      </c>
      <c r="C65" s="518" t="s">
        <v>692</v>
      </c>
      <c r="D65" s="467"/>
      <c r="E65" s="605"/>
      <c r="F65" s="606"/>
      <c r="G65" s="607"/>
      <c r="H65" s="608"/>
      <c r="I65" s="609"/>
      <c r="J65" s="610"/>
      <c r="K65" s="610"/>
      <c r="L65" s="611"/>
      <c r="M65" s="470"/>
      <c r="N65" s="516"/>
      <c r="O65" s="520"/>
    </row>
    <row r="66" spans="1:15" hidden="1" x14ac:dyDescent="0.25">
      <c r="A66" s="517" t="e">
        <f>VLOOKUP(D66,BldgExpCodes,2)</f>
        <v>#N/A</v>
      </c>
      <c r="B66" s="518" t="s">
        <v>684</v>
      </c>
      <c r="C66" s="518" t="s">
        <v>692</v>
      </c>
      <c r="D66" s="467"/>
      <c r="E66" s="605"/>
      <c r="F66" s="606"/>
      <c r="G66" s="607"/>
      <c r="H66" s="608"/>
      <c r="I66" s="609"/>
      <c r="J66" s="610"/>
      <c r="K66" s="610"/>
      <c r="L66" s="611"/>
      <c r="M66" s="464"/>
      <c r="N66" s="516"/>
      <c r="O66" s="516"/>
    </row>
    <row r="67" spans="1:15" hidden="1" x14ac:dyDescent="0.25">
      <c r="A67" s="500" t="e">
        <f t="shared" si="3"/>
        <v>#N/A</v>
      </c>
      <c r="B67" s="518" t="s">
        <v>684</v>
      </c>
      <c r="C67" s="518" t="s">
        <v>692</v>
      </c>
      <c r="D67" s="467"/>
      <c r="E67" s="612"/>
      <c r="F67" s="606"/>
      <c r="G67" s="607"/>
      <c r="H67" s="607"/>
      <c r="I67" s="613"/>
      <c r="J67" s="614"/>
      <c r="K67" s="610"/>
      <c r="L67" s="615"/>
      <c r="M67" s="470"/>
      <c r="N67" s="516"/>
      <c r="O67" s="520"/>
    </row>
    <row r="68" spans="1:15" hidden="1" x14ac:dyDescent="0.25">
      <c r="A68" s="500" t="e">
        <f t="shared" si="3"/>
        <v>#N/A</v>
      </c>
      <c r="B68" s="518" t="s">
        <v>684</v>
      </c>
      <c r="C68" s="518" t="s">
        <v>692</v>
      </c>
      <c r="D68" s="467"/>
      <c r="E68" s="609"/>
      <c r="F68" s="609"/>
      <c r="G68" s="609"/>
      <c r="H68" s="616"/>
      <c r="I68" s="609"/>
      <c r="J68" s="610"/>
      <c r="K68" s="610"/>
      <c r="L68" s="617"/>
      <c r="M68" s="471"/>
      <c r="N68" s="516"/>
      <c r="O68" s="520"/>
    </row>
    <row r="69" spans="1:15" hidden="1" x14ac:dyDescent="0.25">
      <c r="A69" s="500" t="e">
        <f t="shared" si="3"/>
        <v>#N/A</v>
      </c>
      <c r="B69" s="518" t="s">
        <v>684</v>
      </c>
      <c r="C69" s="518" t="s">
        <v>692</v>
      </c>
      <c r="D69" s="467"/>
      <c r="E69" s="609"/>
      <c r="F69" s="609"/>
      <c r="G69" s="609"/>
      <c r="H69" s="616"/>
      <c r="I69" s="609"/>
      <c r="J69" s="610"/>
      <c r="K69" s="610"/>
      <c r="L69" s="617"/>
      <c r="M69" s="471"/>
      <c r="N69" s="516"/>
      <c r="O69" s="520"/>
    </row>
    <row r="70" spans="1:15" hidden="1" x14ac:dyDescent="0.25">
      <c r="A70" s="500" t="e">
        <f t="shared" si="3"/>
        <v>#N/A</v>
      </c>
      <c r="B70" s="518" t="s">
        <v>684</v>
      </c>
      <c r="C70" s="518" t="s">
        <v>692</v>
      </c>
      <c r="D70" s="467"/>
      <c r="E70" s="609"/>
      <c r="F70" s="609"/>
      <c r="G70" s="609"/>
      <c r="H70" s="616"/>
      <c r="I70" s="609"/>
      <c r="J70" s="610"/>
      <c r="K70" s="610"/>
      <c r="L70" s="617"/>
      <c r="M70" s="471"/>
      <c r="N70" s="516"/>
      <c r="O70" s="520"/>
    </row>
    <row r="71" spans="1:15" hidden="1" x14ac:dyDescent="0.25">
      <c r="A71" s="500" t="e">
        <f t="shared" si="3"/>
        <v>#N/A</v>
      </c>
      <c r="B71" s="518" t="s">
        <v>684</v>
      </c>
      <c r="C71" s="518" t="s">
        <v>692</v>
      </c>
      <c r="D71" s="467"/>
      <c r="E71" s="609"/>
      <c r="F71" s="609"/>
      <c r="G71" s="609"/>
      <c r="H71" s="616"/>
      <c r="I71" s="609"/>
      <c r="J71" s="610"/>
      <c r="K71" s="610"/>
      <c r="L71" s="617"/>
      <c r="M71" s="471"/>
      <c r="N71" s="516"/>
      <c r="O71" s="520"/>
    </row>
    <row r="72" spans="1:15" hidden="1" x14ac:dyDescent="0.25">
      <c r="A72" s="500" t="e">
        <f t="shared" si="3"/>
        <v>#N/A</v>
      </c>
      <c r="B72" s="518" t="s">
        <v>684</v>
      </c>
      <c r="C72" s="518" t="s">
        <v>692</v>
      </c>
      <c r="D72" s="467"/>
      <c r="E72" s="609"/>
      <c r="F72" s="609"/>
      <c r="G72" s="609"/>
      <c r="H72" s="616"/>
      <c r="I72" s="609"/>
      <c r="J72" s="610"/>
      <c r="K72" s="610"/>
      <c r="L72" s="617"/>
      <c r="M72" s="471"/>
      <c r="N72" s="516"/>
      <c r="O72" s="520"/>
    </row>
    <row r="73" spans="1:15" hidden="1" x14ac:dyDescent="0.25">
      <c r="A73" s="500" t="e">
        <f t="shared" si="3"/>
        <v>#N/A</v>
      </c>
      <c r="B73" s="518" t="s">
        <v>684</v>
      </c>
      <c r="C73" s="518" t="s">
        <v>692</v>
      </c>
      <c r="D73" s="467"/>
      <c r="E73" s="609"/>
      <c r="F73" s="609"/>
      <c r="G73" s="609"/>
      <c r="H73" s="616"/>
      <c r="I73" s="609"/>
      <c r="J73" s="610"/>
      <c r="K73" s="610"/>
      <c r="L73" s="617"/>
      <c r="M73" s="471"/>
      <c r="N73" s="516"/>
      <c r="O73" s="520"/>
    </row>
    <row r="74" spans="1:15" hidden="1" x14ac:dyDescent="0.25">
      <c r="A74" s="500" t="e">
        <f t="shared" si="3"/>
        <v>#N/A</v>
      </c>
      <c r="B74" s="518" t="s">
        <v>684</v>
      </c>
      <c r="C74" s="518" t="s">
        <v>692</v>
      </c>
      <c r="D74" s="467"/>
      <c r="E74" s="609"/>
      <c r="F74" s="609"/>
      <c r="G74" s="609"/>
      <c r="H74" s="616"/>
      <c r="I74" s="609"/>
      <c r="J74" s="610"/>
      <c r="K74" s="610"/>
      <c r="L74" s="617"/>
      <c r="M74" s="471"/>
      <c r="N74" s="516"/>
      <c r="O74" s="520"/>
    </row>
    <row r="75" spans="1:15" hidden="1" x14ac:dyDescent="0.25">
      <c r="A75" s="500" t="e">
        <f t="shared" si="3"/>
        <v>#N/A</v>
      </c>
      <c r="B75" s="518" t="s">
        <v>684</v>
      </c>
      <c r="C75" s="518" t="s">
        <v>692</v>
      </c>
      <c r="D75" s="467"/>
      <c r="E75" s="609"/>
      <c r="F75" s="609"/>
      <c r="G75" s="609"/>
      <c r="H75" s="616"/>
      <c r="I75" s="609"/>
      <c r="J75" s="610"/>
      <c r="K75" s="610"/>
      <c r="L75" s="617"/>
      <c r="M75" s="471"/>
      <c r="N75" s="516"/>
      <c r="O75" s="520"/>
    </row>
    <row r="76" spans="1:15" hidden="1" x14ac:dyDescent="0.25">
      <c r="A76" s="500" t="e">
        <f t="shared" si="3"/>
        <v>#N/A</v>
      </c>
      <c r="B76" s="518" t="s">
        <v>684</v>
      </c>
      <c r="C76" s="518" t="s">
        <v>692</v>
      </c>
      <c r="D76" s="467"/>
      <c r="E76" s="609"/>
      <c r="F76" s="609"/>
      <c r="G76" s="609"/>
      <c r="H76" s="616"/>
      <c r="I76" s="609"/>
      <c r="J76" s="610"/>
      <c r="K76" s="610"/>
      <c r="L76" s="617"/>
      <c r="M76" s="471"/>
      <c r="N76" s="516"/>
      <c r="O76" s="520"/>
    </row>
    <row r="77" spans="1:15" hidden="1" x14ac:dyDescent="0.25">
      <c r="A77" s="500" t="e">
        <f t="shared" si="3"/>
        <v>#N/A</v>
      </c>
      <c r="B77" s="518" t="s">
        <v>684</v>
      </c>
      <c r="C77" s="518" t="s">
        <v>692</v>
      </c>
      <c r="D77" s="467"/>
      <c r="E77" s="609"/>
      <c r="F77" s="609"/>
      <c r="G77" s="609"/>
      <c r="H77" s="616"/>
      <c r="I77" s="609"/>
      <c r="J77" s="610"/>
      <c r="K77" s="610"/>
      <c r="L77" s="617"/>
      <c r="M77" s="471"/>
      <c r="N77" s="516"/>
      <c r="O77" s="516"/>
    </row>
    <row r="78" spans="1:15" hidden="1" x14ac:dyDescent="0.25">
      <c r="A78" s="500" t="e">
        <f t="shared" si="3"/>
        <v>#N/A</v>
      </c>
      <c r="B78" s="518" t="s">
        <v>684</v>
      </c>
      <c r="C78" s="518" t="s">
        <v>692</v>
      </c>
      <c r="D78" s="467"/>
      <c r="E78" s="609"/>
      <c r="F78" s="609"/>
      <c r="G78" s="609"/>
      <c r="H78" s="616"/>
      <c r="I78" s="609"/>
      <c r="J78" s="610"/>
      <c r="K78" s="610"/>
      <c r="L78" s="617"/>
      <c r="M78" s="471"/>
      <c r="N78" s="516"/>
      <c r="O78" s="516"/>
    </row>
    <row r="79" spans="1:15" hidden="1" x14ac:dyDescent="0.25">
      <c r="A79" s="500" t="e">
        <f t="shared" si="3"/>
        <v>#N/A</v>
      </c>
      <c r="B79" s="518" t="s">
        <v>684</v>
      </c>
      <c r="C79" s="518" t="s">
        <v>692</v>
      </c>
      <c r="D79" s="467"/>
      <c r="E79" s="609"/>
      <c r="F79" s="609"/>
      <c r="G79" s="609"/>
      <c r="H79" s="616"/>
      <c r="I79" s="609"/>
      <c r="J79" s="610"/>
      <c r="K79" s="610"/>
      <c r="L79" s="617"/>
      <c r="M79" s="471"/>
      <c r="N79" s="516"/>
      <c r="O79" s="516"/>
    </row>
    <row r="80" spans="1:15" hidden="1" x14ac:dyDescent="0.25">
      <c r="A80" s="500" t="e">
        <f t="shared" si="3"/>
        <v>#N/A</v>
      </c>
      <c r="B80" s="518" t="s">
        <v>684</v>
      </c>
      <c r="C80" s="518" t="s">
        <v>692</v>
      </c>
      <c r="D80" s="467"/>
      <c r="E80" s="609"/>
      <c r="F80" s="609"/>
      <c r="G80" s="609"/>
      <c r="H80" s="616"/>
      <c r="I80" s="609"/>
      <c r="J80" s="610"/>
      <c r="K80" s="610"/>
      <c r="L80" s="617"/>
      <c r="M80" s="471"/>
      <c r="N80" s="516"/>
      <c r="O80" s="516"/>
    </row>
    <row r="81" spans="1:15" hidden="1" x14ac:dyDescent="0.25">
      <c r="A81" s="255" t="e">
        <f t="shared" si="3"/>
        <v>#N/A</v>
      </c>
      <c r="B81" s="518" t="s">
        <v>684</v>
      </c>
      <c r="C81" s="518" t="s">
        <v>692</v>
      </c>
      <c r="D81" s="609"/>
      <c r="E81" s="609"/>
      <c r="F81" s="609"/>
      <c r="G81" s="609"/>
      <c r="H81" s="616"/>
      <c r="I81" s="609"/>
      <c r="J81" s="610"/>
      <c r="K81" s="610"/>
      <c r="L81" s="617"/>
      <c r="M81" s="471"/>
      <c r="N81" s="516"/>
      <c r="O81" s="516"/>
    </row>
    <row r="82" spans="1:15" hidden="1" x14ac:dyDescent="0.25">
      <c r="A82" s="255" t="e">
        <f t="shared" si="3"/>
        <v>#N/A</v>
      </c>
      <c r="B82" s="518" t="s">
        <v>684</v>
      </c>
      <c r="C82" s="518" t="s">
        <v>692</v>
      </c>
      <c r="D82" s="618"/>
      <c r="E82" s="618"/>
      <c r="F82" s="618"/>
      <c r="G82" s="618"/>
      <c r="H82" s="619"/>
      <c r="I82" s="618"/>
      <c r="J82" s="620"/>
      <c r="K82" s="620"/>
      <c r="L82" s="621"/>
      <c r="M82" s="622"/>
      <c r="N82" s="516"/>
      <c r="O82" s="516"/>
    </row>
    <row r="83" spans="1:15" hidden="1" x14ac:dyDescent="0.25">
      <c r="A83" s="255" t="e">
        <f t="shared" si="3"/>
        <v>#N/A</v>
      </c>
      <c r="B83" s="518" t="s">
        <v>684</v>
      </c>
      <c r="C83" s="518" t="s">
        <v>692</v>
      </c>
      <c r="D83" s="618"/>
      <c r="E83" s="618"/>
      <c r="F83" s="618"/>
      <c r="G83" s="618"/>
      <c r="H83" s="619"/>
      <c r="I83" s="618"/>
      <c r="J83" s="620"/>
      <c r="K83" s="620"/>
      <c r="L83" s="621"/>
      <c r="M83" s="622"/>
      <c r="N83" s="516"/>
      <c r="O83" s="516"/>
    </row>
    <row r="84" spans="1:15" hidden="1" x14ac:dyDescent="0.25">
      <c r="A84" s="255" t="e">
        <f t="shared" si="3"/>
        <v>#N/A</v>
      </c>
      <c r="B84" s="518" t="s">
        <v>684</v>
      </c>
      <c r="C84" s="518" t="s">
        <v>692</v>
      </c>
      <c r="D84" s="618"/>
      <c r="E84" s="618"/>
      <c r="F84" s="618"/>
      <c r="G84" s="618"/>
      <c r="H84" s="619"/>
      <c r="I84" s="618"/>
      <c r="J84" s="620"/>
      <c r="K84" s="620"/>
      <c r="L84" s="621"/>
      <c r="M84" s="622"/>
      <c r="N84" s="516"/>
      <c r="O84" s="516"/>
    </row>
    <row r="85" spans="1:15" hidden="1" x14ac:dyDescent="0.25">
      <c r="A85" s="255" t="e">
        <f t="shared" si="3"/>
        <v>#N/A</v>
      </c>
      <c r="B85" s="518" t="s">
        <v>684</v>
      </c>
      <c r="C85" s="518" t="s">
        <v>692</v>
      </c>
      <c r="D85" s="618"/>
      <c r="E85" s="618"/>
      <c r="F85" s="618"/>
      <c r="G85" s="618"/>
      <c r="H85" s="619"/>
      <c r="I85" s="618"/>
      <c r="J85" s="620"/>
      <c r="K85" s="620"/>
      <c r="L85" s="621"/>
      <c r="M85" s="622"/>
      <c r="N85" s="516"/>
      <c r="O85" s="516"/>
    </row>
    <row r="86" spans="1:15" hidden="1" x14ac:dyDescent="0.25">
      <c r="A86" s="255" t="e">
        <f t="shared" si="3"/>
        <v>#N/A</v>
      </c>
      <c r="B86" s="518" t="s">
        <v>684</v>
      </c>
      <c r="C86" s="518" t="s">
        <v>692</v>
      </c>
      <c r="D86" s="618"/>
      <c r="E86" s="618"/>
      <c r="F86" s="618"/>
      <c r="G86" s="618"/>
      <c r="H86" s="619"/>
      <c r="I86" s="618"/>
      <c r="J86" s="620"/>
      <c r="K86" s="620"/>
      <c r="L86" s="621"/>
      <c r="M86" s="622"/>
      <c r="N86" s="516"/>
      <c r="O86" s="516"/>
    </row>
    <row r="87" spans="1:15" hidden="1" x14ac:dyDescent="0.25">
      <c r="A87" s="255" t="e">
        <f t="shared" si="3"/>
        <v>#N/A</v>
      </c>
      <c r="B87" s="518" t="s">
        <v>684</v>
      </c>
      <c r="C87" s="518" t="s">
        <v>692</v>
      </c>
      <c r="D87" s="618"/>
      <c r="E87" s="618"/>
      <c r="F87" s="618"/>
      <c r="G87" s="618"/>
      <c r="H87" s="619"/>
      <c r="I87" s="618"/>
      <c r="J87" s="620"/>
      <c r="K87" s="620"/>
      <c r="L87" s="621"/>
      <c r="M87" s="622"/>
      <c r="N87" s="516"/>
      <c r="O87" s="516"/>
    </row>
    <row r="88" spans="1:15" hidden="1" x14ac:dyDescent="0.25">
      <c r="A88" s="255" t="e">
        <f t="shared" si="3"/>
        <v>#N/A</v>
      </c>
      <c r="B88" s="518" t="s">
        <v>684</v>
      </c>
      <c r="C88" s="518" t="s">
        <v>692</v>
      </c>
      <c r="D88" s="618"/>
      <c r="E88" s="618"/>
      <c r="F88" s="618"/>
      <c r="G88" s="618"/>
      <c r="H88" s="619"/>
      <c r="I88" s="618"/>
      <c r="J88" s="620"/>
      <c r="K88" s="620"/>
      <c r="L88" s="621"/>
      <c r="M88" s="622"/>
      <c r="N88" s="516"/>
      <c r="O88" s="516"/>
    </row>
    <row r="89" spans="1:15" hidden="1" x14ac:dyDescent="0.25">
      <c r="A89" s="255" t="e">
        <f t="shared" si="3"/>
        <v>#N/A</v>
      </c>
      <c r="B89" s="518" t="s">
        <v>684</v>
      </c>
      <c r="C89" s="518" t="s">
        <v>692</v>
      </c>
      <c r="D89" s="618"/>
      <c r="E89" s="618"/>
      <c r="F89" s="618"/>
      <c r="G89" s="618"/>
      <c r="H89" s="619"/>
      <c r="I89" s="618"/>
      <c r="J89" s="620"/>
      <c r="K89" s="620"/>
      <c r="L89" s="621"/>
      <c r="M89" s="622"/>
      <c r="N89" s="516"/>
      <c r="O89" s="516"/>
    </row>
    <row r="90" spans="1:15" hidden="1" x14ac:dyDescent="0.25">
      <c r="A90" s="255" t="e">
        <f t="shared" si="3"/>
        <v>#N/A</v>
      </c>
      <c r="B90" s="518" t="s">
        <v>684</v>
      </c>
      <c r="C90" s="518" t="s">
        <v>692</v>
      </c>
      <c r="D90" s="618"/>
      <c r="E90" s="618"/>
      <c r="F90" s="618"/>
      <c r="G90" s="618"/>
      <c r="H90" s="619"/>
      <c r="I90" s="618"/>
      <c r="J90" s="620"/>
      <c r="K90" s="620"/>
      <c r="L90" s="621"/>
      <c r="M90" s="622"/>
      <c r="N90" s="516"/>
      <c r="O90" s="516"/>
    </row>
    <row r="91" spans="1:15" hidden="1" x14ac:dyDescent="0.25">
      <c r="A91" s="255" t="e">
        <f t="shared" si="3"/>
        <v>#N/A</v>
      </c>
      <c r="B91" s="518" t="s">
        <v>684</v>
      </c>
      <c r="C91" s="518" t="s">
        <v>692</v>
      </c>
      <c r="D91" s="618"/>
      <c r="E91" s="618"/>
      <c r="F91" s="618"/>
      <c r="G91" s="618"/>
      <c r="H91" s="619"/>
      <c r="I91" s="618"/>
      <c r="J91" s="620"/>
      <c r="K91" s="620"/>
      <c r="L91" s="621"/>
      <c r="M91" s="622"/>
      <c r="N91" s="516"/>
      <c r="O91" s="516"/>
    </row>
    <row r="92" spans="1:15" hidden="1" x14ac:dyDescent="0.25">
      <c r="A92" s="255" t="e">
        <f t="shared" ref="A92:A95" si="4">VLOOKUP(D92,BldgExpCodes,2)</f>
        <v>#N/A</v>
      </c>
      <c r="B92" s="518" t="s">
        <v>684</v>
      </c>
      <c r="C92" s="518" t="s">
        <v>692</v>
      </c>
      <c r="D92" s="618"/>
      <c r="E92" s="618"/>
      <c r="F92" s="618"/>
      <c r="G92" s="618"/>
      <c r="H92" s="619"/>
      <c r="I92" s="618"/>
      <c r="J92" s="620"/>
      <c r="K92" s="620"/>
      <c r="L92" s="621"/>
      <c r="M92" s="622"/>
      <c r="N92" s="516"/>
      <c r="O92" s="516"/>
    </row>
    <row r="93" spans="1:15" hidden="1" x14ac:dyDescent="0.25">
      <c r="A93" s="255" t="e">
        <f t="shared" si="4"/>
        <v>#N/A</v>
      </c>
      <c r="B93" s="518" t="s">
        <v>684</v>
      </c>
      <c r="C93" s="518" t="s">
        <v>692</v>
      </c>
      <c r="D93" s="618"/>
      <c r="E93" s="618"/>
      <c r="F93" s="618"/>
      <c r="G93" s="618"/>
      <c r="H93" s="619"/>
      <c r="I93" s="618"/>
      <c r="J93" s="620"/>
      <c r="K93" s="620"/>
      <c r="L93" s="621"/>
      <c r="M93" s="622"/>
      <c r="N93" s="516"/>
      <c r="O93" s="516"/>
    </row>
    <row r="94" spans="1:15" hidden="1" x14ac:dyDescent="0.25">
      <c r="A94" s="255" t="e">
        <f t="shared" si="4"/>
        <v>#N/A</v>
      </c>
      <c r="B94" s="518" t="s">
        <v>684</v>
      </c>
      <c r="C94" s="518" t="s">
        <v>692</v>
      </c>
      <c r="D94" s="618"/>
      <c r="E94" s="618"/>
      <c r="F94" s="618"/>
      <c r="G94" s="618"/>
      <c r="H94" s="619"/>
      <c r="I94" s="618"/>
      <c r="J94" s="620"/>
      <c r="K94" s="620"/>
      <c r="L94" s="621"/>
      <c r="M94" s="622"/>
      <c r="N94" s="516"/>
      <c r="O94" s="516"/>
    </row>
    <row r="95" spans="1:15" hidden="1" x14ac:dyDescent="0.25">
      <c r="A95" s="255" t="e">
        <f t="shared" si="4"/>
        <v>#N/A</v>
      </c>
      <c r="B95" s="518" t="s">
        <v>684</v>
      </c>
      <c r="C95" s="518" t="s">
        <v>692</v>
      </c>
      <c r="D95" s="618"/>
      <c r="E95" s="618"/>
      <c r="F95" s="618"/>
      <c r="G95" s="618"/>
      <c r="H95" s="619"/>
      <c r="I95" s="618"/>
      <c r="J95" s="620"/>
      <c r="K95" s="620"/>
      <c r="L95" s="621"/>
      <c r="M95" s="622"/>
      <c r="N95" s="516"/>
      <c r="O95" s="516"/>
    </row>
    <row r="96" spans="1:15" hidden="1" x14ac:dyDescent="0.25">
      <c r="A96" s="255" t="e">
        <f t="shared" ref="A96:A159" si="5">VLOOKUP(D96,BldgExpCodes,2)</f>
        <v>#N/A</v>
      </c>
      <c r="B96" s="518" t="s">
        <v>684</v>
      </c>
      <c r="C96" s="518" t="s">
        <v>692</v>
      </c>
      <c r="D96" s="618"/>
      <c r="E96" s="618"/>
      <c r="F96" s="618"/>
      <c r="G96" s="618"/>
      <c r="H96" s="619"/>
      <c r="I96" s="618"/>
      <c r="J96" s="620"/>
      <c r="K96" s="620"/>
      <c r="L96" s="621"/>
      <c r="M96" s="622"/>
      <c r="N96" s="516"/>
      <c r="O96" s="516"/>
    </row>
    <row r="97" spans="1:15" hidden="1" x14ac:dyDescent="0.25">
      <c r="A97" s="255" t="e">
        <f t="shared" si="5"/>
        <v>#N/A</v>
      </c>
      <c r="B97" s="518" t="s">
        <v>684</v>
      </c>
      <c r="C97" s="518" t="s">
        <v>692</v>
      </c>
      <c r="D97" s="618"/>
      <c r="E97" s="618"/>
      <c r="F97" s="618"/>
      <c r="G97" s="618"/>
      <c r="H97" s="618"/>
      <c r="I97" s="618"/>
      <c r="J97" s="620"/>
      <c r="K97" s="620"/>
      <c r="L97" s="621"/>
      <c r="M97" s="622"/>
      <c r="N97" s="516"/>
      <c r="O97" s="516"/>
    </row>
    <row r="98" spans="1:15" hidden="1" x14ac:dyDescent="0.25">
      <c r="A98" s="255" t="e">
        <f t="shared" si="5"/>
        <v>#N/A</v>
      </c>
      <c r="B98" s="518" t="s">
        <v>684</v>
      </c>
      <c r="C98" s="518" t="s">
        <v>692</v>
      </c>
      <c r="D98" s="618"/>
      <c r="E98" s="618"/>
      <c r="F98" s="618"/>
      <c r="G98" s="618"/>
      <c r="H98" s="618"/>
      <c r="I98" s="618"/>
      <c r="J98" s="620"/>
      <c r="K98" s="620"/>
      <c r="L98" s="621"/>
      <c r="M98" s="622"/>
      <c r="N98" s="516"/>
      <c r="O98" s="516"/>
    </row>
    <row r="99" spans="1:15" hidden="1" x14ac:dyDescent="0.25">
      <c r="A99" s="500" t="e">
        <f t="shared" si="5"/>
        <v>#N/A</v>
      </c>
      <c r="B99" s="518" t="s">
        <v>684</v>
      </c>
      <c r="C99" s="518" t="s">
        <v>692</v>
      </c>
      <c r="D99" s="618"/>
      <c r="E99" s="618"/>
      <c r="F99" s="618"/>
      <c r="G99" s="618"/>
      <c r="H99" s="618"/>
      <c r="I99" s="618"/>
      <c r="J99" s="620"/>
      <c r="K99" s="620"/>
      <c r="L99" s="621"/>
      <c r="M99" s="622"/>
      <c r="N99" s="516"/>
      <c r="O99" s="516"/>
    </row>
    <row r="100" spans="1:15" hidden="1" x14ac:dyDescent="0.25">
      <c r="A100" s="500" t="e">
        <f t="shared" si="5"/>
        <v>#N/A</v>
      </c>
      <c r="B100" s="518" t="s">
        <v>684</v>
      </c>
      <c r="C100" s="518" t="s">
        <v>692</v>
      </c>
      <c r="D100" s="618"/>
      <c r="E100" s="618"/>
      <c r="F100" s="618"/>
      <c r="G100" s="618"/>
      <c r="H100" s="618"/>
      <c r="I100" s="618"/>
      <c r="J100" s="620"/>
      <c r="K100" s="620"/>
      <c r="L100" s="621"/>
      <c r="M100" s="622"/>
      <c r="N100" s="516"/>
      <c r="O100" s="516"/>
    </row>
    <row r="101" spans="1:15" hidden="1" x14ac:dyDescent="0.25">
      <c r="A101" s="500" t="e">
        <f t="shared" si="5"/>
        <v>#N/A</v>
      </c>
      <c r="B101" s="518" t="s">
        <v>684</v>
      </c>
      <c r="C101" s="518" t="s">
        <v>692</v>
      </c>
      <c r="D101" s="618"/>
      <c r="E101" s="618"/>
      <c r="F101" s="618"/>
      <c r="G101" s="618"/>
      <c r="H101" s="618"/>
      <c r="I101" s="618"/>
      <c r="J101" s="620"/>
      <c r="K101" s="620"/>
      <c r="L101" s="621"/>
      <c r="M101" s="622"/>
      <c r="N101" s="516"/>
      <c r="O101" s="516"/>
    </row>
    <row r="102" spans="1:15" hidden="1" x14ac:dyDescent="0.25">
      <c r="A102" s="500" t="e">
        <f t="shared" si="5"/>
        <v>#N/A</v>
      </c>
      <c r="B102" s="518" t="s">
        <v>684</v>
      </c>
      <c r="C102" s="518" t="s">
        <v>692</v>
      </c>
      <c r="D102" s="618"/>
      <c r="E102" s="618"/>
      <c r="F102" s="618"/>
      <c r="G102" s="618"/>
      <c r="H102" s="618"/>
      <c r="I102" s="618"/>
      <c r="J102" s="620"/>
      <c r="K102" s="620"/>
      <c r="L102" s="621"/>
      <c r="M102" s="622"/>
      <c r="N102" s="516"/>
      <c r="O102" s="516"/>
    </row>
    <row r="103" spans="1:15" hidden="1" x14ac:dyDescent="0.25">
      <c r="A103" s="500" t="e">
        <f t="shared" si="5"/>
        <v>#N/A</v>
      </c>
      <c r="B103" s="518" t="s">
        <v>684</v>
      </c>
      <c r="C103" s="518" t="s">
        <v>692</v>
      </c>
      <c r="D103" s="618"/>
      <c r="E103" s="618"/>
      <c r="F103" s="618"/>
      <c r="G103" s="618"/>
      <c r="H103" s="618"/>
      <c r="I103" s="618"/>
      <c r="J103" s="620"/>
      <c r="K103" s="620"/>
      <c r="L103" s="621"/>
      <c r="M103" s="622"/>
      <c r="N103" s="516"/>
      <c r="O103" s="516"/>
    </row>
    <row r="104" spans="1:15" hidden="1" x14ac:dyDescent="0.25">
      <c r="A104" s="500" t="e">
        <f t="shared" si="5"/>
        <v>#N/A</v>
      </c>
      <c r="B104" s="518" t="s">
        <v>684</v>
      </c>
      <c r="C104" s="518" t="s">
        <v>692</v>
      </c>
      <c r="D104" s="618"/>
      <c r="E104" s="618"/>
      <c r="F104" s="618"/>
      <c r="G104" s="618"/>
      <c r="H104" s="618"/>
      <c r="I104" s="618"/>
      <c r="J104" s="620"/>
      <c r="K104" s="620"/>
      <c r="L104" s="621"/>
      <c r="M104" s="622"/>
      <c r="N104" s="516"/>
      <c r="O104" s="516"/>
    </row>
    <row r="105" spans="1:15" hidden="1" x14ac:dyDescent="0.25">
      <c r="A105" s="500" t="e">
        <f t="shared" si="5"/>
        <v>#N/A</v>
      </c>
      <c r="B105" s="518" t="s">
        <v>684</v>
      </c>
      <c r="C105" s="518" t="s">
        <v>692</v>
      </c>
      <c r="D105" s="618"/>
      <c r="E105" s="618"/>
      <c r="F105" s="618"/>
      <c r="G105" s="618"/>
      <c r="H105" s="618"/>
      <c r="I105" s="618"/>
      <c r="J105" s="620"/>
      <c r="K105" s="620"/>
      <c r="L105" s="621"/>
      <c r="M105" s="622"/>
      <c r="N105" s="516"/>
      <c r="O105" s="516"/>
    </row>
    <row r="106" spans="1:15" hidden="1" x14ac:dyDescent="0.25">
      <c r="A106" s="500" t="e">
        <f t="shared" si="5"/>
        <v>#N/A</v>
      </c>
      <c r="B106" s="518" t="s">
        <v>684</v>
      </c>
      <c r="C106" s="518" t="s">
        <v>692</v>
      </c>
      <c r="D106" s="618"/>
      <c r="E106" s="618"/>
      <c r="F106" s="618"/>
      <c r="G106" s="618"/>
      <c r="H106" s="618"/>
      <c r="I106" s="618"/>
      <c r="J106" s="620"/>
      <c r="K106" s="620"/>
      <c r="L106" s="621"/>
      <c r="M106" s="622"/>
      <c r="N106" s="516"/>
      <c r="O106" s="516"/>
    </row>
    <row r="107" spans="1:15" hidden="1" x14ac:dyDescent="0.25">
      <c r="A107" s="500" t="e">
        <f t="shared" si="5"/>
        <v>#N/A</v>
      </c>
      <c r="B107" s="518" t="s">
        <v>684</v>
      </c>
      <c r="C107" s="518" t="s">
        <v>692</v>
      </c>
      <c r="D107" s="618"/>
      <c r="E107" s="618"/>
      <c r="F107" s="618"/>
      <c r="G107" s="618"/>
      <c r="H107" s="618"/>
      <c r="I107" s="623"/>
      <c r="J107" s="620"/>
      <c r="K107" s="620"/>
      <c r="L107" s="621"/>
      <c r="M107" s="622"/>
      <c r="N107" s="516"/>
      <c r="O107" s="516"/>
    </row>
    <row r="108" spans="1:15" hidden="1" x14ac:dyDescent="0.25">
      <c r="A108" s="500" t="e">
        <f t="shared" si="5"/>
        <v>#N/A</v>
      </c>
      <c r="B108" s="518" t="s">
        <v>684</v>
      </c>
      <c r="C108" s="518" t="s">
        <v>692</v>
      </c>
      <c r="D108" s="618"/>
      <c r="E108" s="618"/>
      <c r="F108" s="618"/>
      <c r="G108" s="618"/>
      <c r="H108" s="618"/>
      <c r="I108" s="623"/>
      <c r="J108" s="620"/>
      <c r="K108" s="620"/>
      <c r="L108" s="621"/>
      <c r="M108" s="622"/>
      <c r="N108" s="516"/>
      <c r="O108" s="516"/>
    </row>
    <row r="109" spans="1:15" hidden="1" x14ac:dyDescent="0.25">
      <c r="A109" s="500" t="e">
        <f t="shared" si="5"/>
        <v>#N/A</v>
      </c>
      <c r="B109" s="518" t="s">
        <v>684</v>
      </c>
      <c r="C109" s="518" t="s">
        <v>692</v>
      </c>
      <c r="D109" s="618"/>
      <c r="E109" s="618"/>
      <c r="F109" s="618"/>
      <c r="G109" s="618"/>
      <c r="H109" s="618"/>
      <c r="I109" s="618"/>
      <c r="J109" s="620"/>
      <c r="K109" s="620"/>
      <c r="L109" s="621"/>
      <c r="M109" s="622"/>
      <c r="N109" s="516"/>
      <c r="O109" s="516"/>
    </row>
    <row r="110" spans="1:15" hidden="1" x14ac:dyDescent="0.25">
      <c r="A110" s="500" t="e">
        <f t="shared" si="5"/>
        <v>#N/A</v>
      </c>
      <c r="B110" s="518" t="s">
        <v>684</v>
      </c>
      <c r="C110" s="518" t="s">
        <v>692</v>
      </c>
      <c r="D110" s="618"/>
      <c r="E110" s="618"/>
      <c r="F110" s="618"/>
      <c r="G110" s="618"/>
      <c r="H110" s="618"/>
      <c r="I110" s="618"/>
      <c r="J110" s="620"/>
      <c r="K110" s="620"/>
      <c r="L110" s="621"/>
      <c r="M110" s="622"/>
      <c r="N110" s="516"/>
      <c r="O110" s="516"/>
    </row>
    <row r="111" spans="1:15" hidden="1" x14ac:dyDescent="0.25">
      <c r="A111" s="500" t="e">
        <f t="shared" si="5"/>
        <v>#N/A</v>
      </c>
      <c r="B111" s="518" t="s">
        <v>684</v>
      </c>
      <c r="C111" s="518" t="s">
        <v>692</v>
      </c>
      <c r="D111" s="618"/>
      <c r="E111" s="618"/>
      <c r="F111" s="618"/>
      <c r="G111" s="618"/>
      <c r="H111" s="618"/>
      <c r="I111" s="618"/>
      <c r="J111" s="620"/>
      <c r="K111" s="620"/>
      <c r="L111" s="621"/>
      <c r="M111" s="622"/>
      <c r="N111" s="516"/>
      <c r="O111" s="516"/>
    </row>
    <row r="112" spans="1:15" hidden="1" x14ac:dyDescent="0.25">
      <c r="A112" s="500" t="e">
        <f t="shared" si="5"/>
        <v>#N/A</v>
      </c>
      <c r="B112" s="518" t="s">
        <v>684</v>
      </c>
      <c r="C112" s="518" t="s">
        <v>692</v>
      </c>
      <c r="D112" s="618"/>
      <c r="E112" s="618"/>
      <c r="F112" s="618"/>
      <c r="G112" s="618"/>
      <c r="H112" s="618"/>
      <c r="I112" s="618"/>
      <c r="J112" s="620"/>
      <c r="K112" s="620"/>
      <c r="L112" s="621"/>
      <c r="M112" s="622"/>
      <c r="N112" s="516"/>
      <c r="O112" s="516"/>
    </row>
    <row r="113" spans="1:15" ht="15.75" hidden="1" thickBot="1" x14ac:dyDescent="0.3">
      <c r="A113" s="500" t="e">
        <f t="shared" si="5"/>
        <v>#N/A</v>
      </c>
      <c r="B113" s="518" t="s">
        <v>684</v>
      </c>
      <c r="C113" s="518" t="s">
        <v>692</v>
      </c>
      <c r="D113" s="618"/>
      <c r="E113" s="618"/>
      <c r="F113" s="618"/>
      <c r="G113" s="618"/>
      <c r="H113" s="618"/>
      <c r="I113" s="618"/>
      <c r="J113" s="620"/>
      <c r="K113" s="620"/>
      <c r="L113" s="621"/>
      <c r="M113" s="622"/>
      <c r="N113" s="516"/>
      <c r="O113" s="516"/>
    </row>
    <row r="114" spans="1:15" hidden="1" x14ac:dyDescent="0.25">
      <c r="A114" s="500" t="e">
        <f t="shared" si="5"/>
        <v>#N/A</v>
      </c>
      <c r="B114" s="518" t="s">
        <v>684</v>
      </c>
      <c r="C114" s="518" t="s">
        <v>692</v>
      </c>
      <c r="D114" s="618"/>
      <c r="E114" s="618"/>
      <c r="F114" s="618"/>
      <c r="G114" s="618"/>
      <c r="H114" s="618"/>
      <c r="I114" s="618"/>
      <c r="J114" s="620"/>
      <c r="K114" s="620"/>
      <c r="L114" s="621"/>
      <c r="M114" s="622"/>
      <c r="N114" s="516"/>
      <c r="O114" s="516"/>
    </row>
    <row r="115" spans="1:15" hidden="1" x14ac:dyDescent="0.25">
      <c r="A115" s="500" t="e">
        <f t="shared" si="5"/>
        <v>#N/A</v>
      </c>
      <c r="B115" s="518" t="s">
        <v>684</v>
      </c>
      <c r="C115" s="518" t="s">
        <v>692</v>
      </c>
      <c r="D115" s="618"/>
      <c r="E115" s="618"/>
      <c r="F115" s="618"/>
      <c r="G115" s="618"/>
      <c r="H115" s="618"/>
      <c r="I115" s="618"/>
      <c r="J115" s="620"/>
      <c r="K115" s="620"/>
      <c r="L115" s="621"/>
      <c r="M115" s="622"/>
      <c r="N115" s="516"/>
      <c r="O115" s="516"/>
    </row>
    <row r="116" spans="1:15" hidden="1" x14ac:dyDescent="0.25">
      <c r="A116" s="500" t="e">
        <f t="shared" si="5"/>
        <v>#N/A</v>
      </c>
      <c r="B116" s="518" t="s">
        <v>684</v>
      </c>
      <c r="C116" s="518" t="s">
        <v>692</v>
      </c>
      <c r="D116" s="618"/>
      <c r="E116" s="618"/>
      <c r="F116" s="618"/>
      <c r="G116" s="618"/>
      <c r="H116" s="623"/>
      <c r="I116" s="618"/>
      <c r="J116" s="620"/>
      <c r="K116" s="620"/>
      <c r="L116" s="621"/>
      <c r="M116" s="622"/>
      <c r="N116" s="516"/>
      <c r="O116" s="516"/>
    </row>
    <row r="117" spans="1:15" hidden="1" x14ac:dyDescent="0.25">
      <c r="A117" s="500" t="e">
        <f t="shared" si="5"/>
        <v>#N/A</v>
      </c>
      <c r="B117" s="518" t="s">
        <v>684</v>
      </c>
      <c r="C117" s="518" t="s">
        <v>692</v>
      </c>
      <c r="D117" s="618"/>
      <c r="E117" s="618"/>
      <c r="F117" s="618"/>
      <c r="G117" s="618"/>
      <c r="H117" s="623"/>
      <c r="I117" s="618"/>
      <c r="J117" s="620"/>
      <c r="K117" s="620"/>
      <c r="L117" s="621"/>
      <c r="M117" s="622"/>
      <c r="N117" s="516"/>
      <c r="O117" s="516"/>
    </row>
    <row r="118" spans="1:15" hidden="1" x14ac:dyDescent="0.25">
      <c r="A118" s="500" t="e">
        <f t="shared" si="5"/>
        <v>#N/A</v>
      </c>
      <c r="B118" s="518" t="s">
        <v>684</v>
      </c>
      <c r="C118" s="518" t="s">
        <v>692</v>
      </c>
      <c r="D118" s="618"/>
      <c r="E118" s="618"/>
      <c r="F118" s="618"/>
      <c r="G118" s="618"/>
      <c r="H118" s="623"/>
      <c r="I118" s="618"/>
      <c r="J118" s="620"/>
      <c r="K118" s="620"/>
      <c r="L118" s="621"/>
      <c r="M118" s="622"/>
      <c r="N118" s="516"/>
      <c r="O118" s="516"/>
    </row>
    <row r="119" spans="1:15" hidden="1" x14ac:dyDescent="0.25">
      <c r="A119" s="500" t="e">
        <f t="shared" si="5"/>
        <v>#N/A</v>
      </c>
      <c r="B119" s="518" t="s">
        <v>684</v>
      </c>
      <c r="C119" s="518" t="s">
        <v>692</v>
      </c>
      <c r="D119" s="618"/>
      <c r="E119" s="618"/>
      <c r="F119" s="618"/>
      <c r="G119" s="618"/>
      <c r="H119" s="618"/>
      <c r="I119" s="618"/>
      <c r="J119" s="620"/>
      <c r="K119" s="620"/>
      <c r="L119" s="621"/>
      <c r="M119" s="622"/>
      <c r="N119" s="516"/>
      <c r="O119" s="516"/>
    </row>
    <row r="120" spans="1:15" hidden="1" x14ac:dyDescent="0.25">
      <c r="A120" s="500" t="e">
        <f t="shared" si="5"/>
        <v>#N/A</v>
      </c>
      <c r="B120" s="518" t="s">
        <v>684</v>
      </c>
      <c r="C120" s="518" t="s">
        <v>692</v>
      </c>
      <c r="D120" s="618"/>
      <c r="E120" s="618"/>
      <c r="F120" s="618"/>
      <c r="G120" s="618"/>
      <c r="H120" s="618"/>
      <c r="I120" s="618"/>
      <c r="J120" s="620"/>
      <c r="K120" s="620"/>
      <c r="L120" s="621"/>
      <c r="M120" s="622"/>
      <c r="N120" s="516"/>
      <c r="O120" s="516"/>
    </row>
    <row r="121" spans="1:15" hidden="1" x14ac:dyDescent="0.25">
      <c r="A121" s="500" t="e">
        <f t="shared" si="5"/>
        <v>#N/A</v>
      </c>
      <c r="B121" s="518" t="s">
        <v>684</v>
      </c>
      <c r="C121" s="518" t="s">
        <v>692</v>
      </c>
      <c r="D121" s="618"/>
      <c r="E121" s="618"/>
      <c r="F121" s="618"/>
      <c r="G121" s="618"/>
      <c r="H121" s="618"/>
      <c r="I121" s="618"/>
      <c r="J121" s="620"/>
      <c r="K121" s="620"/>
      <c r="L121" s="621"/>
      <c r="M121" s="622"/>
      <c r="N121" s="516"/>
      <c r="O121" s="516"/>
    </row>
    <row r="122" spans="1:15" hidden="1" x14ac:dyDescent="0.25">
      <c r="A122" s="500" t="e">
        <f t="shared" si="5"/>
        <v>#N/A</v>
      </c>
      <c r="B122" s="518" t="s">
        <v>684</v>
      </c>
      <c r="C122" s="518" t="s">
        <v>692</v>
      </c>
      <c r="D122" s="618"/>
      <c r="E122" s="618"/>
      <c r="F122" s="618"/>
      <c r="G122" s="618"/>
      <c r="H122" s="618"/>
      <c r="I122" s="618"/>
      <c r="J122" s="620"/>
      <c r="K122" s="620"/>
      <c r="L122" s="621"/>
      <c r="M122" s="622"/>
      <c r="N122" s="516"/>
      <c r="O122" s="516"/>
    </row>
    <row r="123" spans="1:15" hidden="1" x14ac:dyDescent="0.25">
      <c r="A123" s="500" t="e">
        <f t="shared" si="5"/>
        <v>#N/A</v>
      </c>
      <c r="B123" s="518" t="s">
        <v>684</v>
      </c>
      <c r="C123" s="518" t="s">
        <v>692</v>
      </c>
      <c r="D123" s="618"/>
      <c r="E123" s="618"/>
      <c r="F123" s="618"/>
      <c r="G123" s="618"/>
      <c r="H123" s="618"/>
      <c r="I123" s="618"/>
      <c r="J123" s="620"/>
      <c r="K123" s="620"/>
      <c r="L123" s="621"/>
      <c r="M123" s="622"/>
      <c r="N123" s="516"/>
      <c r="O123" s="516"/>
    </row>
    <row r="124" spans="1:15" hidden="1" x14ac:dyDescent="0.25">
      <c r="A124" s="500" t="e">
        <f t="shared" si="5"/>
        <v>#N/A</v>
      </c>
      <c r="B124" s="518" t="s">
        <v>684</v>
      </c>
      <c r="C124" s="518" t="s">
        <v>692</v>
      </c>
      <c r="D124" s="618"/>
      <c r="E124" s="618"/>
      <c r="F124" s="618"/>
      <c r="G124" s="618"/>
      <c r="H124" s="618"/>
      <c r="I124" s="618"/>
      <c r="J124" s="620"/>
      <c r="K124" s="620"/>
      <c r="L124" s="621"/>
      <c r="M124" s="622"/>
      <c r="N124" s="516"/>
      <c r="O124" s="516"/>
    </row>
    <row r="125" spans="1:15" hidden="1" x14ac:dyDescent="0.25">
      <c r="A125" s="500" t="e">
        <f t="shared" si="5"/>
        <v>#N/A</v>
      </c>
      <c r="B125" s="518" t="s">
        <v>684</v>
      </c>
      <c r="C125" s="518" t="s">
        <v>692</v>
      </c>
      <c r="D125" s="618"/>
      <c r="E125" s="618"/>
      <c r="F125" s="618"/>
      <c r="G125" s="618"/>
      <c r="H125" s="618"/>
      <c r="I125" s="618"/>
      <c r="J125" s="620"/>
      <c r="K125" s="620"/>
      <c r="L125" s="621"/>
      <c r="M125" s="622"/>
      <c r="N125" s="516"/>
      <c r="O125" s="516"/>
    </row>
    <row r="126" spans="1:15" hidden="1" x14ac:dyDescent="0.25">
      <c r="A126" s="500" t="e">
        <f t="shared" si="5"/>
        <v>#N/A</v>
      </c>
      <c r="B126" s="518" t="s">
        <v>684</v>
      </c>
      <c r="C126" s="518" t="s">
        <v>692</v>
      </c>
      <c r="D126" s="618"/>
      <c r="E126" s="618"/>
      <c r="F126" s="618"/>
      <c r="G126" s="618"/>
      <c r="H126" s="618"/>
      <c r="I126" s="618"/>
      <c r="J126" s="620"/>
      <c r="K126" s="620"/>
      <c r="L126" s="621"/>
      <c r="M126" s="622"/>
      <c r="N126" s="516"/>
      <c r="O126" s="516"/>
    </row>
    <row r="127" spans="1:15" hidden="1" x14ac:dyDescent="0.25">
      <c r="A127" s="500" t="e">
        <f t="shared" si="5"/>
        <v>#N/A</v>
      </c>
      <c r="B127" s="518" t="s">
        <v>684</v>
      </c>
      <c r="C127" s="518" t="s">
        <v>692</v>
      </c>
      <c r="D127" s="618"/>
      <c r="E127" s="618"/>
      <c r="F127" s="618"/>
      <c r="G127" s="618"/>
      <c r="H127" s="618"/>
      <c r="I127" s="618"/>
      <c r="J127" s="620"/>
      <c r="K127" s="620"/>
      <c r="L127" s="621"/>
      <c r="M127" s="622"/>
      <c r="N127" s="516"/>
      <c r="O127" s="516"/>
    </row>
    <row r="128" spans="1:15" hidden="1" x14ac:dyDescent="0.25">
      <c r="A128" s="500" t="e">
        <f t="shared" si="5"/>
        <v>#N/A</v>
      </c>
      <c r="B128" s="518" t="s">
        <v>684</v>
      </c>
      <c r="C128" s="518" t="s">
        <v>692</v>
      </c>
      <c r="D128" s="618"/>
      <c r="E128" s="618"/>
      <c r="F128" s="618"/>
      <c r="G128" s="618"/>
      <c r="H128" s="618"/>
      <c r="I128" s="618"/>
      <c r="J128" s="620"/>
      <c r="K128" s="620"/>
      <c r="L128" s="621"/>
      <c r="M128" s="622"/>
      <c r="N128" s="516"/>
      <c r="O128" s="516"/>
    </row>
    <row r="129" spans="1:15" hidden="1" x14ac:dyDescent="0.25">
      <c r="A129" s="500" t="e">
        <f t="shared" si="5"/>
        <v>#N/A</v>
      </c>
      <c r="B129" s="518" t="s">
        <v>684</v>
      </c>
      <c r="C129" s="518" t="s">
        <v>692</v>
      </c>
      <c r="D129" s="618"/>
      <c r="E129" s="618"/>
      <c r="F129" s="618"/>
      <c r="G129" s="618"/>
      <c r="H129" s="618"/>
      <c r="I129" s="618"/>
      <c r="J129" s="620"/>
      <c r="K129" s="620"/>
      <c r="L129" s="621"/>
      <c r="M129" s="622"/>
      <c r="N129" s="516"/>
      <c r="O129" s="516"/>
    </row>
    <row r="130" spans="1:15" hidden="1" x14ac:dyDescent="0.25">
      <c r="A130" s="499" t="e">
        <f t="shared" si="5"/>
        <v>#N/A</v>
      </c>
      <c r="B130" s="518" t="s">
        <v>684</v>
      </c>
      <c r="C130" s="518" t="s">
        <v>692</v>
      </c>
      <c r="D130" s="42"/>
      <c r="E130" s="42"/>
      <c r="F130" s="42"/>
      <c r="G130" s="42"/>
      <c r="H130" s="42"/>
      <c r="I130" s="42"/>
      <c r="J130" s="624"/>
      <c r="K130" s="624"/>
      <c r="L130" s="622"/>
      <c r="M130" s="622"/>
      <c r="N130" s="74"/>
      <c r="O130" s="74"/>
    </row>
    <row r="131" spans="1:15" hidden="1" x14ac:dyDescent="0.25">
      <c r="A131" s="499" t="e">
        <f t="shared" si="5"/>
        <v>#N/A</v>
      </c>
      <c r="B131" s="518" t="s">
        <v>684</v>
      </c>
      <c r="C131" s="518" t="s">
        <v>692</v>
      </c>
      <c r="D131" s="42"/>
      <c r="E131" s="42"/>
      <c r="F131" s="42"/>
      <c r="G131" s="42"/>
      <c r="H131" s="42"/>
      <c r="I131" s="42"/>
      <c r="J131" s="624"/>
      <c r="K131" s="624"/>
      <c r="L131" s="622"/>
      <c r="M131" s="622"/>
      <c r="N131" s="74"/>
      <c r="O131" s="74"/>
    </row>
    <row r="132" spans="1:15" hidden="1" x14ac:dyDescent="0.25">
      <c r="A132" s="499" t="e">
        <f t="shared" si="5"/>
        <v>#N/A</v>
      </c>
      <c r="B132" s="518" t="s">
        <v>684</v>
      </c>
      <c r="C132" s="518" t="s">
        <v>692</v>
      </c>
      <c r="D132" s="42"/>
      <c r="E132" s="42"/>
      <c r="F132" s="42"/>
      <c r="G132" s="42"/>
      <c r="H132" s="42"/>
      <c r="I132" s="42"/>
      <c r="J132" s="624"/>
      <c r="K132" s="624"/>
      <c r="L132" s="622"/>
      <c r="M132" s="622"/>
      <c r="N132" s="74"/>
      <c r="O132" s="74"/>
    </row>
    <row r="133" spans="1:15" hidden="1" x14ac:dyDescent="0.25">
      <c r="A133" s="499" t="e">
        <f t="shared" si="5"/>
        <v>#N/A</v>
      </c>
      <c r="B133" s="518" t="s">
        <v>684</v>
      </c>
      <c r="C133" s="518" t="s">
        <v>692</v>
      </c>
      <c r="D133" s="42"/>
      <c r="E133" s="42"/>
      <c r="F133" s="42"/>
      <c r="G133" s="42"/>
      <c r="H133" s="42"/>
      <c r="I133" s="42"/>
      <c r="J133" s="624"/>
      <c r="K133" s="624"/>
      <c r="L133" s="622"/>
      <c r="M133" s="622"/>
      <c r="N133" s="74"/>
      <c r="O133" s="74"/>
    </row>
    <row r="134" spans="1:15" hidden="1" x14ac:dyDescent="0.25">
      <c r="A134" s="499" t="e">
        <f t="shared" si="5"/>
        <v>#N/A</v>
      </c>
      <c r="B134" s="518" t="s">
        <v>684</v>
      </c>
      <c r="C134" s="518" t="s">
        <v>692</v>
      </c>
      <c r="D134" s="42"/>
      <c r="E134" s="42"/>
      <c r="F134" s="42"/>
      <c r="G134" s="42"/>
      <c r="H134" s="42"/>
      <c r="I134" s="42"/>
      <c r="J134" s="624"/>
      <c r="K134" s="624"/>
      <c r="L134" s="622"/>
      <c r="M134" s="622"/>
      <c r="N134" s="74"/>
      <c r="O134" s="74"/>
    </row>
    <row r="135" spans="1:15" hidden="1" x14ac:dyDescent="0.25">
      <c r="A135" s="499" t="e">
        <f t="shared" si="5"/>
        <v>#N/A</v>
      </c>
      <c r="B135" s="518" t="s">
        <v>684</v>
      </c>
      <c r="C135" s="518" t="s">
        <v>692</v>
      </c>
      <c r="D135" s="42"/>
      <c r="E135" s="42"/>
      <c r="F135" s="42"/>
      <c r="G135" s="42"/>
      <c r="H135" s="42"/>
      <c r="I135" s="42"/>
      <c r="J135" s="624"/>
      <c r="K135" s="624"/>
      <c r="L135" s="622"/>
      <c r="M135" s="622"/>
      <c r="N135" s="74"/>
      <c r="O135" s="74"/>
    </row>
    <row r="136" spans="1:15" hidden="1" x14ac:dyDescent="0.25">
      <c r="A136" s="499" t="e">
        <f t="shared" si="5"/>
        <v>#N/A</v>
      </c>
      <c r="B136" s="518" t="s">
        <v>684</v>
      </c>
      <c r="C136" s="518" t="s">
        <v>692</v>
      </c>
      <c r="D136" s="42"/>
      <c r="E136" s="42"/>
      <c r="F136" s="42"/>
      <c r="G136" s="42"/>
      <c r="H136" s="42"/>
      <c r="I136" s="42"/>
      <c r="J136" s="624"/>
      <c r="K136" s="624"/>
      <c r="L136" s="622"/>
      <c r="M136" s="622"/>
      <c r="N136" s="74"/>
      <c r="O136" s="74"/>
    </row>
    <row r="137" spans="1:15" hidden="1" x14ac:dyDescent="0.25">
      <c r="A137" s="499" t="e">
        <f t="shared" si="5"/>
        <v>#N/A</v>
      </c>
      <c r="B137" s="518" t="s">
        <v>684</v>
      </c>
      <c r="C137" s="518" t="s">
        <v>692</v>
      </c>
      <c r="D137" s="42"/>
      <c r="E137" s="42"/>
      <c r="F137" s="42"/>
      <c r="G137" s="42"/>
      <c r="H137" s="42"/>
      <c r="I137" s="42"/>
      <c r="J137" s="624"/>
      <c r="K137" s="624"/>
      <c r="L137" s="622"/>
      <c r="M137" s="622"/>
      <c r="N137" s="74"/>
      <c r="O137" s="74"/>
    </row>
    <row r="138" spans="1:15" hidden="1" x14ac:dyDescent="0.25">
      <c r="A138" s="499" t="e">
        <f t="shared" si="5"/>
        <v>#N/A</v>
      </c>
      <c r="B138" s="518" t="s">
        <v>684</v>
      </c>
      <c r="C138" s="518" t="s">
        <v>692</v>
      </c>
      <c r="D138" s="42"/>
      <c r="E138" s="42"/>
      <c r="F138" s="42"/>
      <c r="G138" s="42"/>
      <c r="H138" s="42"/>
      <c r="I138" s="42"/>
      <c r="J138" s="624"/>
      <c r="K138" s="624"/>
      <c r="L138" s="622"/>
      <c r="M138" s="622"/>
      <c r="N138" s="74"/>
      <c r="O138" s="74"/>
    </row>
    <row r="139" spans="1:15" hidden="1" x14ac:dyDescent="0.25">
      <c r="A139" s="499" t="e">
        <f t="shared" si="5"/>
        <v>#N/A</v>
      </c>
      <c r="B139" s="518" t="s">
        <v>684</v>
      </c>
      <c r="C139" s="518" t="s">
        <v>692</v>
      </c>
      <c r="D139" s="42"/>
      <c r="E139" s="42"/>
      <c r="F139" s="42"/>
      <c r="G139" s="42"/>
      <c r="H139" s="42"/>
      <c r="I139" s="42"/>
      <c r="J139" s="624"/>
      <c r="K139" s="624"/>
      <c r="L139" s="622"/>
      <c r="M139" s="622"/>
      <c r="N139" s="74"/>
      <c r="O139" s="74"/>
    </row>
    <row r="140" spans="1:15" hidden="1" x14ac:dyDescent="0.25">
      <c r="A140" s="499" t="e">
        <f t="shared" si="5"/>
        <v>#N/A</v>
      </c>
      <c r="B140" s="518" t="s">
        <v>684</v>
      </c>
      <c r="C140" s="518" t="s">
        <v>692</v>
      </c>
      <c r="D140" s="42"/>
      <c r="E140" s="42"/>
      <c r="F140" s="42"/>
      <c r="G140" s="42"/>
      <c r="H140" s="42"/>
      <c r="I140" s="42"/>
      <c r="J140" s="624"/>
      <c r="K140" s="624"/>
      <c r="L140" s="622"/>
      <c r="M140" s="622"/>
      <c r="N140" s="74"/>
      <c r="O140" s="74"/>
    </row>
    <row r="141" spans="1:15" hidden="1" x14ac:dyDescent="0.25">
      <c r="A141" s="499" t="e">
        <f t="shared" si="5"/>
        <v>#N/A</v>
      </c>
      <c r="B141" s="518" t="s">
        <v>684</v>
      </c>
      <c r="C141" s="518" t="s">
        <v>692</v>
      </c>
      <c r="D141" s="42"/>
      <c r="E141" s="42"/>
      <c r="F141" s="42"/>
      <c r="G141" s="42"/>
      <c r="H141" s="42"/>
      <c r="I141" s="42"/>
      <c r="J141" s="624"/>
      <c r="K141" s="624"/>
      <c r="L141" s="622"/>
      <c r="M141" s="622"/>
      <c r="N141" s="74"/>
      <c r="O141" s="74"/>
    </row>
    <row r="142" spans="1:15" hidden="1" x14ac:dyDescent="0.25">
      <c r="A142" s="499" t="e">
        <f t="shared" si="5"/>
        <v>#N/A</v>
      </c>
      <c r="B142" s="518" t="s">
        <v>684</v>
      </c>
      <c r="C142" s="518" t="s">
        <v>692</v>
      </c>
      <c r="D142" s="42"/>
      <c r="E142" s="42"/>
      <c r="F142" s="42"/>
      <c r="G142" s="42"/>
      <c r="H142" s="42"/>
      <c r="I142" s="42"/>
      <c r="J142" s="624"/>
      <c r="K142" s="624"/>
      <c r="L142" s="622"/>
      <c r="M142" s="622"/>
      <c r="N142" s="74"/>
      <c r="O142" s="74"/>
    </row>
    <row r="143" spans="1:15" ht="15.75" hidden="1" thickBot="1" x14ac:dyDescent="0.3">
      <c r="A143" s="499" t="e">
        <f t="shared" si="5"/>
        <v>#N/A</v>
      </c>
      <c r="B143" s="518" t="s">
        <v>684</v>
      </c>
      <c r="C143" s="518" t="s">
        <v>692</v>
      </c>
      <c r="D143" s="42"/>
      <c r="E143" s="42"/>
      <c r="F143" s="42"/>
      <c r="G143" s="42"/>
      <c r="H143" s="42"/>
      <c r="I143" s="42"/>
      <c r="J143" s="624"/>
      <c r="K143" s="624"/>
      <c r="L143" s="622"/>
      <c r="M143" s="622"/>
      <c r="N143" s="74"/>
      <c r="O143" s="74"/>
    </row>
    <row r="144" spans="1:15" hidden="1" x14ac:dyDescent="0.25">
      <c r="A144" s="499" t="e">
        <f t="shared" si="5"/>
        <v>#N/A</v>
      </c>
      <c r="B144" s="518" t="s">
        <v>684</v>
      </c>
      <c r="C144" s="518" t="s">
        <v>692</v>
      </c>
      <c r="D144" s="42"/>
      <c r="E144" s="42"/>
      <c r="F144" s="42"/>
      <c r="G144" s="42"/>
      <c r="H144" s="42"/>
      <c r="I144" s="42"/>
      <c r="J144" s="624"/>
      <c r="K144" s="624"/>
      <c r="L144" s="622"/>
      <c r="M144" s="622"/>
      <c r="N144" s="74"/>
      <c r="O144" s="74"/>
    </row>
    <row r="145" spans="1:15" hidden="1" x14ac:dyDescent="0.25">
      <c r="A145" s="499" t="e">
        <f t="shared" si="5"/>
        <v>#N/A</v>
      </c>
      <c r="B145" s="518" t="s">
        <v>684</v>
      </c>
      <c r="C145" s="518" t="s">
        <v>692</v>
      </c>
      <c r="D145" s="42"/>
      <c r="E145" s="42"/>
      <c r="F145" s="42"/>
      <c r="G145" s="42"/>
      <c r="H145" s="42"/>
      <c r="I145" s="42"/>
      <c r="J145" s="624"/>
      <c r="K145" s="624"/>
      <c r="L145" s="622"/>
      <c r="M145" s="622"/>
      <c r="N145" s="74"/>
      <c r="O145" s="74"/>
    </row>
    <row r="146" spans="1:15" hidden="1" x14ac:dyDescent="0.25">
      <c r="A146" s="499" t="e">
        <f t="shared" si="5"/>
        <v>#N/A</v>
      </c>
      <c r="B146" s="518" t="s">
        <v>684</v>
      </c>
      <c r="C146" s="518" t="s">
        <v>692</v>
      </c>
      <c r="D146" s="42"/>
      <c r="E146" s="42"/>
      <c r="F146" s="42"/>
      <c r="G146" s="42"/>
      <c r="H146" s="42"/>
      <c r="I146" s="42"/>
      <c r="J146" s="624"/>
      <c r="K146" s="624"/>
      <c r="L146" s="622"/>
      <c r="M146" s="622"/>
      <c r="N146" s="74"/>
      <c r="O146" s="74"/>
    </row>
    <row r="147" spans="1:15" hidden="1" x14ac:dyDescent="0.25">
      <c r="A147" s="499" t="e">
        <f t="shared" si="5"/>
        <v>#N/A</v>
      </c>
      <c r="B147" s="518" t="s">
        <v>684</v>
      </c>
      <c r="C147" s="518" t="s">
        <v>692</v>
      </c>
      <c r="D147" s="42"/>
      <c r="E147" s="42"/>
      <c r="F147" s="42"/>
      <c r="G147" s="42"/>
      <c r="H147" s="42"/>
      <c r="I147" s="42"/>
      <c r="J147" s="624"/>
      <c r="K147" s="624"/>
      <c r="L147" s="622"/>
      <c r="M147" s="622"/>
      <c r="N147" s="74"/>
      <c r="O147" s="74"/>
    </row>
    <row r="148" spans="1:15" hidden="1" x14ac:dyDescent="0.25">
      <c r="A148" s="499" t="e">
        <f t="shared" si="5"/>
        <v>#N/A</v>
      </c>
      <c r="B148" s="518" t="s">
        <v>684</v>
      </c>
      <c r="C148" s="518" t="s">
        <v>692</v>
      </c>
      <c r="D148" s="42"/>
      <c r="E148" s="42"/>
      <c r="F148" s="42"/>
      <c r="G148" s="42"/>
      <c r="H148" s="42"/>
      <c r="I148" s="42"/>
      <c r="J148" s="624"/>
      <c r="K148" s="624"/>
      <c r="L148" s="622"/>
      <c r="M148" s="622"/>
      <c r="N148" s="74"/>
      <c r="O148" s="74"/>
    </row>
    <row r="149" spans="1:15" hidden="1" x14ac:dyDescent="0.25">
      <c r="A149" s="499" t="e">
        <f t="shared" si="5"/>
        <v>#N/A</v>
      </c>
      <c r="B149" s="518" t="s">
        <v>684</v>
      </c>
      <c r="C149" s="518" t="s">
        <v>692</v>
      </c>
      <c r="D149" s="42"/>
      <c r="E149" s="42"/>
      <c r="F149" s="42"/>
      <c r="G149" s="42"/>
      <c r="H149" s="42"/>
      <c r="I149" s="42"/>
      <c r="J149" s="624"/>
      <c r="K149" s="624"/>
      <c r="L149" s="622"/>
      <c r="M149" s="622"/>
      <c r="N149" s="74"/>
      <c r="O149" s="74"/>
    </row>
    <row r="150" spans="1:15" hidden="1" x14ac:dyDescent="0.25">
      <c r="A150" s="499" t="e">
        <f t="shared" si="5"/>
        <v>#N/A</v>
      </c>
      <c r="B150" s="518" t="s">
        <v>684</v>
      </c>
      <c r="C150" s="518" t="s">
        <v>692</v>
      </c>
      <c r="D150" s="42"/>
      <c r="E150" s="42"/>
      <c r="F150" s="42"/>
      <c r="G150" s="42"/>
      <c r="H150" s="42"/>
      <c r="I150" s="42"/>
      <c r="J150" s="624"/>
      <c r="K150" s="624"/>
      <c r="L150" s="622"/>
      <c r="M150" s="622"/>
      <c r="N150" s="74"/>
      <c r="O150" s="74"/>
    </row>
    <row r="151" spans="1:15" hidden="1" x14ac:dyDescent="0.25">
      <c r="A151" s="499" t="e">
        <f t="shared" si="5"/>
        <v>#N/A</v>
      </c>
      <c r="B151" s="518" t="s">
        <v>684</v>
      </c>
      <c r="C151" s="518" t="s">
        <v>692</v>
      </c>
      <c r="D151" s="42"/>
      <c r="E151" s="42"/>
      <c r="F151" s="42"/>
      <c r="G151" s="42"/>
      <c r="H151" s="42"/>
      <c r="I151" s="42"/>
      <c r="J151" s="624"/>
      <c r="K151" s="624"/>
      <c r="L151" s="622"/>
      <c r="M151" s="622"/>
      <c r="N151" s="74"/>
      <c r="O151" s="74"/>
    </row>
    <row r="152" spans="1:15" hidden="1" x14ac:dyDescent="0.25">
      <c r="A152" s="499" t="e">
        <f t="shared" si="5"/>
        <v>#N/A</v>
      </c>
      <c r="B152" s="518" t="s">
        <v>684</v>
      </c>
      <c r="C152" s="518" t="s">
        <v>692</v>
      </c>
      <c r="D152" s="42"/>
      <c r="E152" s="42"/>
      <c r="F152" s="42"/>
      <c r="G152" s="42"/>
      <c r="H152" s="42"/>
      <c r="I152" s="42"/>
      <c r="J152" s="624"/>
      <c r="K152" s="624"/>
      <c r="L152" s="622"/>
      <c r="M152" s="622"/>
      <c r="N152" s="74"/>
      <c r="O152" s="74"/>
    </row>
    <row r="153" spans="1:15" hidden="1" x14ac:dyDescent="0.25">
      <c r="A153" s="499" t="e">
        <f t="shared" si="5"/>
        <v>#N/A</v>
      </c>
      <c r="B153" s="518" t="s">
        <v>684</v>
      </c>
      <c r="C153" s="518" t="s">
        <v>692</v>
      </c>
      <c r="D153" s="42"/>
      <c r="E153" s="42"/>
      <c r="F153" s="42"/>
      <c r="G153" s="42"/>
      <c r="H153" s="42"/>
      <c r="I153" s="42"/>
      <c r="J153" s="624"/>
      <c r="K153" s="624"/>
      <c r="L153" s="622"/>
      <c r="M153" s="622"/>
      <c r="N153" s="74"/>
      <c r="O153" s="74"/>
    </row>
    <row r="154" spans="1:15" hidden="1" x14ac:dyDescent="0.25">
      <c r="A154" s="499" t="e">
        <f t="shared" si="5"/>
        <v>#N/A</v>
      </c>
      <c r="B154" s="518" t="s">
        <v>684</v>
      </c>
      <c r="C154" s="518" t="s">
        <v>692</v>
      </c>
      <c r="D154" s="42"/>
      <c r="E154" s="42"/>
      <c r="F154" s="42"/>
      <c r="G154" s="42"/>
      <c r="H154" s="42"/>
      <c r="I154" s="42"/>
      <c r="J154" s="624"/>
      <c r="K154" s="624"/>
      <c r="L154" s="622"/>
      <c r="M154" s="622"/>
      <c r="N154" s="74"/>
      <c r="O154" s="74"/>
    </row>
    <row r="155" spans="1:15" hidden="1" x14ac:dyDescent="0.25">
      <c r="A155" s="499" t="e">
        <f t="shared" si="5"/>
        <v>#N/A</v>
      </c>
      <c r="B155" s="518" t="s">
        <v>684</v>
      </c>
      <c r="C155" s="518" t="s">
        <v>692</v>
      </c>
      <c r="D155" s="42"/>
      <c r="E155" s="42"/>
      <c r="F155" s="42"/>
      <c r="G155" s="42"/>
      <c r="H155" s="42"/>
      <c r="I155" s="42"/>
      <c r="J155" s="624"/>
      <c r="K155" s="624"/>
      <c r="L155" s="622"/>
      <c r="M155" s="622"/>
      <c r="N155" s="74"/>
      <c r="O155" s="74"/>
    </row>
    <row r="156" spans="1:15" hidden="1" x14ac:dyDescent="0.25">
      <c r="A156" s="499" t="e">
        <f t="shared" si="5"/>
        <v>#N/A</v>
      </c>
      <c r="B156" s="518" t="s">
        <v>684</v>
      </c>
      <c r="C156" s="518" t="s">
        <v>692</v>
      </c>
      <c r="D156" s="42"/>
      <c r="E156" s="42"/>
      <c r="F156" s="42"/>
      <c r="G156" s="42"/>
      <c r="H156" s="42"/>
      <c r="I156" s="42"/>
      <c r="J156" s="624"/>
      <c r="K156" s="624"/>
      <c r="L156" s="622"/>
      <c r="M156" s="622"/>
      <c r="N156" s="74"/>
      <c r="O156" s="74"/>
    </row>
    <row r="157" spans="1:15" hidden="1" x14ac:dyDescent="0.25">
      <c r="A157" s="499" t="e">
        <f t="shared" si="5"/>
        <v>#N/A</v>
      </c>
      <c r="B157" s="518" t="s">
        <v>684</v>
      </c>
      <c r="C157" s="518" t="s">
        <v>692</v>
      </c>
      <c r="D157" s="42"/>
      <c r="E157" s="42"/>
      <c r="F157" s="42"/>
      <c r="G157" s="42"/>
      <c r="H157" s="42"/>
      <c r="I157" s="42"/>
      <c r="J157" s="624"/>
      <c r="K157" s="624"/>
      <c r="L157" s="622"/>
      <c r="M157" s="622"/>
      <c r="N157" s="74"/>
      <c r="O157" s="74"/>
    </row>
    <row r="158" spans="1:15" hidden="1" x14ac:dyDescent="0.25">
      <c r="A158" s="499" t="e">
        <f t="shared" si="5"/>
        <v>#N/A</v>
      </c>
      <c r="B158" s="518" t="s">
        <v>684</v>
      </c>
      <c r="C158" s="518" t="s">
        <v>692</v>
      </c>
      <c r="D158" s="42"/>
      <c r="E158" s="42"/>
      <c r="F158" s="42"/>
      <c r="G158" s="42"/>
      <c r="H158" s="42"/>
      <c r="I158" s="42"/>
      <c r="J158" s="624"/>
      <c r="K158" s="624"/>
      <c r="L158" s="622"/>
      <c r="M158" s="622"/>
      <c r="N158" s="74"/>
      <c r="O158" s="74"/>
    </row>
    <row r="159" spans="1:15" hidden="1" x14ac:dyDescent="0.25">
      <c r="A159" s="499" t="e">
        <f t="shared" si="5"/>
        <v>#N/A</v>
      </c>
      <c r="B159" s="518" t="s">
        <v>684</v>
      </c>
      <c r="C159" s="518" t="s">
        <v>692</v>
      </c>
      <c r="D159" s="42"/>
      <c r="E159" s="42"/>
      <c r="F159" s="42"/>
      <c r="G159" s="42"/>
      <c r="H159" s="42"/>
      <c r="I159" s="42"/>
      <c r="J159" s="624"/>
      <c r="K159" s="624"/>
      <c r="L159" s="622"/>
      <c r="M159" s="622"/>
      <c r="N159" s="74"/>
      <c r="O159" s="74"/>
    </row>
    <row r="160" spans="1:15" hidden="1" x14ac:dyDescent="0.25">
      <c r="A160" s="499" t="e">
        <f t="shared" ref="A160:A223" si="6">VLOOKUP(D160,BldgExpCodes,2)</f>
        <v>#N/A</v>
      </c>
      <c r="B160" s="518" t="s">
        <v>684</v>
      </c>
      <c r="C160" s="518" t="s">
        <v>692</v>
      </c>
      <c r="D160" s="42"/>
      <c r="E160" s="42"/>
      <c r="F160" s="42"/>
      <c r="G160" s="42"/>
      <c r="H160" s="42"/>
      <c r="I160" s="42"/>
      <c r="J160" s="624"/>
      <c r="K160" s="624"/>
      <c r="L160" s="622"/>
      <c r="M160" s="622"/>
      <c r="N160" s="74"/>
      <c r="O160" s="74"/>
    </row>
    <row r="161" spans="1:15" hidden="1" x14ac:dyDescent="0.25">
      <c r="A161" s="499" t="e">
        <f t="shared" si="6"/>
        <v>#N/A</v>
      </c>
      <c r="B161" s="518" t="s">
        <v>684</v>
      </c>
      <c r="C161" s="518" t="s">
        <v>692</v>
      </c>
      <c r="D161" s="42"/>
      <c r="E161" s="42"/>
      <c r="F161" s="42"/>
      <c r="G161" s="42"/>
      <c r="H161" s="42"/>
      <c r="I161" s="42"/>
      <c r="J161" s="624"/>
      <c r="K161" s="624"/>
      <c r="L161" s="622"/>
      <c r="M161" s="622"/>
      <c r="N161" s="74"/>
      <c r="O161" s="74"/>
    </row>
    <row r="162" spans="1:15" hidden="1" x14ac:dyDescent="0.25">
      <c r="A162" s="499" t="e">
        <f t="shared" si="6"/>
        <v>#N/A</v>
      </c>
      <c r="B162" s="518" t="s">
        <v>684</v>
      </c>
      <c r="C162" s="518" t="s">
        <v>692</v>
      </c>
      <c r="D162" s="42"/>
      <c r="E162" s="42"/>
      <c r="F162" s="42"/>
      <c r="G162" s="42"/>
      <c r="H162" s="42"/>
      <c r="I162" s="42"/>
      <c r="J162" s="624"/>
      <c r="K162" s="624"/>
      <c r="L162" s="622"/>
      <c r="M162" s="622"/>
      <c r="N162" s="74"/>
      <c r="O162" s="74"/>
    </row>
    <row r="163" spans="1:15" hidden="1" x14ac:dyDescent="0.25">
      <c r="A163" s="499" t="e">
        <f t="shared" si="6"/>
        <v>#N/A</v>
      </c>
      <c r="B163" s="518" t="s">
        <v>684</v>
      </c>
      <c r="C163" s="518" t="s">
        <v>692</v>
      </c>
      <c r="D163" s="42"/>
      <c r="E163" s="42"/>
      <c r="F163" s="42"/>
      <c r="G163" s="42"/>
      <c r="H163" s="42"/>
      <c r="I163" s="42"/>
      <c r="J163" s="624"/>
      <c r="K163" s="624"/>
      <c r="L163" s="622"/>
      <c r="M163" s="622"/>
      <c r="N163" s="74"/>
      <c r="O163" s="74"/>
    </row>
    <row r="164" spans="1:15" hidden="1" x14ac:dyDescent="0.25">
      <c r="A164" s="499" t="e">
        <f t="shared" si="6"/>
        <v>#N/A</v>
      </c>
      <c r="B164" s="518" t="s">
        <v>684</v>
      </c>
      <c r="C164" s="518" t="s">
        <v>692</v>
      </c>
      <c r="D164" s="42"/>
      <c r="E164" s="42"/>
      <c r="F164" s="42"/>
      <c r="G164" s="42"/>
      <c r="H164" s="42"/>
      <c r="I164" s="42"/>
      <c r="J164" s="624"/>
      <c r="K164" s="624"/>
      <c r="L164" s="622"/>
      <c r="M164" s="622"/>
      <c r="N164" s="74"/>
      <c r="O164" s="74"/>
    </row>
    <row r="165" spans="1:15" hidden="1" x14ac:dyDescent="0.25">
      <c r="A165" s="499" t="e">
        <f t="shared" si="6"/>
        <v>#N/A</v>
      </c>
      <c r="B165" s="518" t="s">
        <v>684</v>
      </c>
      <c r="C165" s="518" t="s">
        <v>692</v>
      </c>
      <c r="D165" s="42"/>
      <c r="E165" s="42"/>
      <c r="F165" s="42"/>
      <c r="G165" s="42"/>
      <c r="H165" s="42"/>
      <c r="I165" s="42"/>
      <c r="J165" s="624"/>
      <c r="K165" s="624"/>
      <c r="L165" s="622"/>
      <c r="M165" s="622"/>
      <c r="N165" s="74"/>
      <c r="O165" s="74"/>
    </row>
    <row r="166" spans="1:15" hidden="1" x14ac:dyDescent="0.25">
      <c r="A166" s="499" t="e">
        <f t="shared" si="6"/>
        <v>#N/A</v>
      </c>
      <c r="B166" s="518" t="s">
        <v>684</v>
      </c>
      <c r="C166" s="518" t="s">
        <v>692</v>
      </c>
      <c r="D166" s="42"/>
      <c r="E166" s="42"/>
      <c r="F166" s="42"/>
      <c r="G166" s="42"/>
      <c r="H166" s="42"/>
      <c r="I166" s="42"/>
      <c r="J166" s="624"/>
      <c r="K166" s="624"/>
      <c r="L166" s="622"/>
      <c r="M166" s="622"/>
      <c r="N166" s="74"/>
      <c r="O166" s="74"/>
    </row>
    <row r="167" spans="1:15" hidden="1" x14ac:dyDescent="0.25">
      <c r="A167" s="499" t="e">
        <f t="shared" si="6"/>
        <v>#N/A</v>
      </c>
      <c r="B167" s="518" t="s">
        <v>684</v>
      </c>
      <c r="C167" s="518" t="s">
        <v>692</v>
      </c>
      <c r="D167" s="42"/>
      <c r="E167" s="42"/>
      <c r="F167" s="42"/>
      <c r="G167" s="42"/>
      <c r="H167" s="42"/>
      <c r="I167" s="42"/>
      <c r="J167" s="624"/>
      <c r="K167" s="624"/>
      <c r="L167" s="622"/>
      <c r="M167" s="622"/>
      <c r="N167" s="74"/>
      <c r="O167" s="74"/>
    </row>
    <row r="168" spans="1:15" hidden="1" x14ac:dyDescent="0.25">
      <c r="A168" s="499" t="e">
        <f t="shared" si="6"/>
        <v>#N/A</v>
      </c>
      <c r="B168" s="518" t="s">
        <v>684</v>
      </c>
      <c r="C168" s="518" t="s">
        <v>692</v>
      </c>
      <c r="D168" s="42"/>
      <c r="E168" s="42"/>
      <c r="F168" s="42"/>
      <c r="G168" s="42"/>
      <c r="H168" s="42"/>
      <c r="I168" s="42"/>
      <c r="J168" s="624"/>
      <c r="K168" s="624"/>
      <c r="L168" s="622"/>
      <c r="M168" s="622"/>
      <c r="N168" s="74"/>
      <c r="O168" s="74"/>
    </row>
    <row r="169" spans="1:15" hidden="1" x14ac:dyDescent="0.25">
      <c r="A169" s="499" t="e">
        <f t="shared" si="6"/>
        <v>#N/A</v>
      </c>
      <c r="B169" s="518" t="s">
        <v>684</v>
      </c>
      <c r="C169" s="518" t="s">
        <v>692</v>
      </c>
      <c r="D169" s="42"/>
      <c r="E169" s="42"/>
      <c r="F169" s="42"/>
      <c r="G169" s="42"/>
      <c r="H169" s="42"/>
      <c r="I169" s="42"/>
      <c r="J169" s="624"/>
      <c r="K169" s="624"/>
      <c r="L169" s="622"/>
      <c r="M169" s="622"/>
      <c r="N169" s="74"/>
      <c r="O169" s="74"/>
    </row>
    <row r="170" spans="1:15" hidden="1" x14ac:dyDescent="0.25">
      <c r="A170" s="499" t="e">
        <f t="shared" si="6"/>
        <v>#N/A</v>
      </c>
      <c r="B170" s="518" t="s">
        <v>684</v>
      </c>
      <c r="C170" s="518" t="s">
        <v>692</v>
      </c>
      <c r="D170" s="42"/>
      <c r="E170" s="42"/>
      <c r="F170" s="42"/>
      <c r="G170" s="42"/>
      <c r="H170" s="42"/>
      <c r="I170" s="42"/>
      <c r="J170" s="624"/>
      <c r="K170" s="624"/>
      <c r="L170" s="622"/>
      <c r="M170" s="622"/>
      <c r="N170" s="74"/>
      <c r="O170" s="74"/>
    </row>
    <row r="171" spans="1:15" hidden="1" x14ac:dyDescent="0.25">
      <c r="A171" s="499" t="e">
        <f t="shared" si="6"/>
        <v>#N/A</v>
      </c>
      <c r="B171" s="518" t="s">
        <v>684</v>
      </c>
      <c r="C171" s="518" t="s">
        <v>692</v>
      </c>
      <c r="D171" s="42"/>
      <c r="E171" s="42"/>
      <c r="F171" s="42"/>
      <c r="G171" s="42"/>
      <c r="H171" s="42"/>
      <c r="I171" s="42"/>
      <c r="J171" s="624"/>
      <c r="K171" s="624"/>
      <c r="L171" s="622"/>
      <c r="M171" s="622"/>
      <c r="N171" s="74"/>
      <c r="O171" s="74"/>
    </row>
    <row r="172" spans="1:15" hidden="1" x14ac:dyDescent="0.25">
      <c r="A172" s="499" t="e">
        <f t="shared" si="6"/>
        <v>#N/A</v>
      </c>
      <c r="B172" s="518" t="s">
        <v>684</v>
      </c>
      <c r="C172" s="518" t="s">
        <v>692</v>
      </c>
      <c r="D172" s="42"/>
      <c r="E172" s="42"/>
      <c r="F172" s="42"/>
      <c r="G172" s="42"/>
      <c r="H172" s="42"/>
      <c r="I172" s="42"/>
      <c r="J172" s="624"/>
      <c r="K172" s="624"/>
      <c r="L172" s="622"/>
      <c r="M172" s="622"/>
      <c r="N172" s="74"/>
      <c r="O172" s="74"/>
    </row>
    <row r="173" spans="1:15" hidden="1" x14ac:dyDescent="0.25">
      <c r="A173" s="499" t="e">
        <f t="shared" si="6"/>
        <v>#N/A</v>
      </c>
      <c r="B173" s="518" t="s">
        <v>684</v>
      </c>
      <c r="C173" s="518" t="s">
        <v>692</v>
      </c>
      <c r="D173" s="42"/>
      <c r="E173" s="42"/>
      <c r="F173" s="42"/>
      <c r="G173" s="42"/>
      <c r="H173" s="42"/>
      <c r="I173" s="42"/>
      <c r="J173" s="624"/>
      <c r="K173" s="624"/>
      <c r="L173" s="622"/>
      <c r="M173" s="622"/>
      <c r="N173" s="74"/>
      <c r="O173" s="74"/>
    </row>
    <row r="174" spans="1:15" hidden="1" x14ac:dyDescent="0.25">
      <c r="A174" s="499" t="e">
        <f t="shared" si="6"/>
        <v>#N/A</v>
      </c>
      <c r="B174" s="518" t="s">
        <v>684</v>
      </c>
      <c r="C174" s="518" t="s">
        <v>692</v>
      </c>
      <c r="D174" s="42"/>
      <c r="E174" s="42"/>
      <c r="F174" s="42"/>
      <c r="G174" s="42"/>
      <c r="H174" s="42"/>
      <c r="I174" s="42"/>
      <c r="J174" s="624"/>
      <c r="K174" s="624"/>
      <c r="L174" s="622"/>
      <c r="M174" s="622"/>
      <c r="N174" s="74"/>
      <c r="O174" s="74"/>
    </row>
    <row r="175" spans="1:15" hidden="1" x14ac:dyDescent="0.25">
      <c r="A175" s="499" t="e">
        <f t="shared" si="6"/>
        <v>#N/A</v>
      </c>
      <c r="B175" s="518" t="s">
        <v>684</v>
      </c>
      <c r="C175" s="518" t="s">
        <v>692</v>
      </c>
      <c r="D175" s="42"/>
      <c r="E175" s="42"/>
      <c r="F175" s="42"/>
      <c r="G175" s="42"/>
      <c r="H175" s="42"/>
      <c r="I175" s="42"/>
      <c r="J175" s="624"/>
      <c r="K175" s="624"/>
      <c r="L175" s="622"/>
      <c r="M175" s="622"/>
      <c r="N175" s="74"/>
      <c r="O175" s="74"/>
    </row>
    <row r="176" spans="1:15" hidden="1" x14ac:dyDescent="0.25">
      <c r="A176" s="499" t="e">
        <f t="shared" si="6"/>
        <v>#N/A</v>
      </c>
      <c r="B176" s="518" t="s">
        <v>684</v>
      </c>
      <c r="C176" s="518" t="s">
        <v>692</v>
      </c>
      <c r="D176" s="42"/>
      <c r="E176" s="42"/>
      <c r="F176" s="42"/>
      <c r="G176" s="42"/>
      <c r="H176" s="42"/>
      <c r="I176" s="42"/>
      <c r="J176" s="624"/>
      <c r="K176" s="624"/>
      <c r="L176" s="622"/>
      <c r="M176" s="622"/>
      <c r="N176" s="74"/>
      <c r="O176" s="74"/>
    </row>
    <row r="177" spans="1:15" hidden="1" x14ac:dyDescent="0.25">
      <c r="A177" s="499" t="e">
        <f t="shared" si="6"/>
        <v>#N/A</v>
      </c>
      <c r="B177" s="518" t="s">
        <v>684</v>
      </c>
      <c r="C177" s="518" t="s">
        <v>692</v>
      </c>
      <c r="D177" s="42"/>
      <c r="E177" s="42"/>
      <c r="F177" s="42"/>
      <c r="G177" s="42"/>
      <c r="H177" s="42"/>
      <c r="I177" s="42"/>
      <c r="J177" s="624"/>
      <c r="K177" s="624"/>
      <c r="L177" s="622"/>
      <c r="M177" s="622"/>
      <c r="N177" s="74"/>
      <c r="O177" s="74"/>
    </row>
    <row r="178" spans="1:15" hidden="1" x14ac:dyDescent="0.25">
      <c r="A178" s="499" t="e">
        <f t="shared" si="6"/>
        <v>#N/A</v>
      </c>
      <c r="B178" s="518" t="s">
        <v>684</v>
      </c>
      <c r="C178" s="518" t="s">
        <v>692</v>
      </c>
      <c r="D178" s="42"/>
      <c r="E178" s="42"/>
      <c r="F178" s="42"/>
      <c r="G178" s="42"/>
      <c r="H178" s="42"/>
      <c r="I178" s="42"/>
      <c r="J178" s="624"/>
      <c r="K178" s="624"/>
      <c r="L178" s="622"/>
      <c r="M178" s="622"/>
      <c r="N178" s="74"/>
      <c r="O178" s="74"/>
    </row>
    <row r="179" spans="1:15" hidden="1" x14ac:dyDescent="0.25">
      <c r="A179" s="499" t="e">
        <f t="shared" si="6"/>
        <v>#N/A</v>
      </c>
      <c r="B179" s="518" t="s">
        <v>684</v>
      </c>
      <c r="C179" s="518" t="s">
        <v>692</v>
      </c>
      <c r="D179" s="42"/>
      <c r="E179" s="42"/>
      <c r="F179" s="42"/>
      <c r="G179" s="42"/>
      <c r="H179" s="42"/>
      <c r="I179" s="42"/>
      <c r="J179" s="624"/>
      <c r="K179" s="624"/>
      <c r="L179" s="622"/>
      <c r="M179" s="622"/>
      <c r="N179" s="74"/>
      <c r="O179" s="74"/>
    </row>
    <row r="180" spans="1:15" hidden="1" x14ac:dyDescent="0.25">
      <c r="A180" s="499" t="e">
        <f t="shared" si="6"/>
        <v>#N/A</v>
      </c>
      <c r="B180" s="518" t="s">
        <v>684</v>
      </c>
      <c r="C180" s="518" t="s">
        <v>692</v>
      </c>
      <c r="D180" s="42"/>
      <c r="E180" s="42"/>
      <c r="F180" s="42"/>
      <c r="G180" s="42"/>
      <c r="H180" s="42"/>
      <c r="I180" s="42"/>
      <c r="J180" s="624"/>
      <c r="K180" s="624"/>
      <c r="L180" s="622"/>
      <c r="M180" s="622"/>
      <c r="N180" s="74"/>
      <c r="O180" s="74"/>
    </row>
    <row r="181" spans="1:15" hidden="1" x14ac:dyDescent="0.25">
      <c r="A181" s="499" t="e">
        <f t="shared" si="6"/>
        <v>#N/A</v>
      </c>
      <c r="B181" s="518" t="s">
        <v>684</v>
      </c>
      <c r="C181" s="518" t="s">
        <v>692</v>
      </c>
      <c r="D181" s="42"/>
      <c r="E181" s="42"/>
      <c r="F181" s="42"/>
      <c r="G181" s="42"/>
      <c r="H181" s="42"/>
      <c r="I181" s="42"/>
      <c r="J181" s="624"/>
      <c r="K181" s="624"/>
      <c r="L181" s="622"/>
      <c r="M181" s="622"/>
      <c r="N181" s="74"/>
      <c r="O181" s="74"/>
    </row>
    <row r="182" spans="1:15" hidden="1" x14ac:dyDescent="0.25">
      <c r="A182" s="499" t="e">
        <f t="shared" si="6"/>
        <v>#N/A</v>
      </c>
      <c r="B182" s="518" t="s">
        <v>684</v>
      </c>
      <c r="C182" s="518" t="s">
        <v>692</v>
      </c>
      <c r="D182" s="42"/>
      <c r="E182" s="42"/>
      <c r="F182" s="42"/>
      <c r="G182" s="42"/>
      <c r="H182" s="42"/>
      <c r="I182" s="42"/>
      <c r="J182" s="624"/>
      <c r="K182" s="624"/>
      <c r="L182" s="622"/>
      <c r="M182" s="622"/>
      <c r="N182" s="74"/>
      <c r="O182" s="74"/>
    </row>
    <row r="183" spans="1:15" hidden="1" x14ac:dyDescent="0.25">
      <c r="A183" s="499" t="e">
        <f t="shared" si="6"/>
        <v>#N/A</v>
      </c>
      <c r="B183" s="518" t="s">
        <v>684</v>
      </c>
      <c r="C183" s="518" t="s">
        <v>692</v>
      </c>
      <c r="D183" s="42"/>
      <c r="E183" s="42"/>
      <c r="F183" s="42"/>
      <c r="G183" s="42"/>
      <c r="H183" s="42"/>
      <c r="I183" s="42"/>
      <c r="J183" s="624"/>
      <c r="K183" s="624"/>
      <c r="L183" s="622"/>
      <c r="M183" s="622"/>
      <c r="N183" s="74"/>
      <c r="O183" s="74"/>
    </row>
    <row r="184" spans="1:15" hidden="1" x14ac:dyDescent="0.25">
      <c r="A184" s="499" t="e">
        <f t="shared" si="6"/>
        <v>#N/A</v>
      </c>
      <c r="B184" s="518" t="s">
        <v>684</v>
      </c>
      <c r="C184" s="518" t="s">
        <v>692</v>
      </c>
      <c r="D184" s="42"/>
      <c r="E184" s="42"/>
      <c r="F184" s="42"/>
      <c r="G184" s="42"/>
      <c r="H184" s="42"/>
      <c r="I184" s="42"/>
      <c r="J184" s="624"/>
      <c r="K184" s="624"/>
      <c r="L184" s="622"/>
      <c r="M184" s="622"/>
      <c r="N184" s="74"/>
      <c r="O184" s="74"/>
    </row>
    <row r="185" spans="1:15" hidden="1" x14ac:dyDescent="0.25">
      <c r="A185" s="499" t="e">
        <f t="shared" si="6"/>
        <v>#N/A</v>
      </c>
      <c r="B185" s="518" t="s">
        <v>684</v>
      </c>
      <c r="C185" s="518" t="s">
        <v>692</v>
      </c>
      <c r="D185" s="42"/>
      <c r="E185" s="42"/>
      <c r="F185" s="42"/>
      <c r="G185" s="42"/>
      <c r="H185" s="42"/>
      <c r="I185" s="42"/>
      <c r="J185" s="624"/>
      <c r="K185" s="624"/>
      <c r="L185" s="622"/>
      <c r="M185" s="622"/>
      <c r="N185" s="74"/>
      <c r="O185" s="74"/>
    </row>
    <row r="186" spans="1:15" hidden="1" x14ac:dyDescent="0.25">
      <c r="A186" s="499" t="e">
        <f t="shared" si="6"/>
        <v>#N/A</v>
      </c>
      <c r="B186" s="518" t="s">
        <v>684</v>
      </c>
      <c r="C186" s="518" t="s">
        <v>692</v>
      </c>
      <c r="D186" s="42"/>
      <c r="E186" s="42"/>
      <c r="F186" s="42"/>
      <c r="G186" s="42"/>
      <c r="H186" s="42"/>
      <c r="I186" s="42"/>
      <c r="J186" s="624"/>
      <c r="K186" s="624"/>
      <c r="L186" s="622"/>
      <c r="M186" s="622"/>
      <c r="N186" s="74"/>
      <c r="O186" s="74"/>
    </row>
    <row r="187" spans="1:15" hidden="1" x14ac:dyDescent="0.25">
      <c r="A187" s="499" t="e">
        <f t="shared" si="6"/>
        <v>#N/A</v>
      </c>
      <c r="B187" s="518" t="s">
        <v>684</v>
      </c>
      <c r="C187" s="518" t="s">
        <v>692</v>
      </c>
      <c r="D187" s="42"/>
      <c r="E187" s="42"/>
      <c r="F187" s="42"/>
      <c r="G187" s="42"/>
      <c r="H187" s="42"/>
      <c r="I187" s="42"/>
      <c r="J187" s="624"/>
      <c r="K187" s="624"/>
      <c r="L187" s="622"/>
      <c r="M187" s="622"/>
      <c r="N187" s="74"/>
      <c r="O187" s="74"/>
    </row>
    <row r="188" spans="1:15" hidden="1" x14ac:dyDescent="0.25">
      <c r="A188" s="499" t="e">
        <f t="shared" si="6"/>
        <v>#N/A</v>
      </c>
      <c r="B188" s="518" t="s">
        <v>684</v>
      </c>
      <c r="C188" s="518" t="s">
        <v>692</v>
      </c>
      <c r="D188" s="42"/>
      <c r="E188" s="42"/>
      <c r="F188" s="42"/>
      <c r="G188" s="42"/>
      <c r="H188" s="42"/>
      <c r="I188" s="42"/>
      <c r="J188" s="624"/>
      <c r="K188" s="624"/>
      <c r="L188" s="622"/>
      <c r="M188" s="622"/>
      <c r="N188" s="74"/>
      <c r="O188" s="74"/>
    </row>
    <row r="189" spans="1:15" hidden="1" x14ac:dyDescent="0.25">
      <c r="A189" s="499" t="e">
        <f t="shared" si="6"/>
        <v>#N/A</v>
      </c>
      <c r="B189" s="518" t="s">
        <v>684</v>
      </c>
      <c r="C189" s="518" t="s">
        <v>692</v>
      </c>
      <c r="D189" s="42"/>
      <c r="E189" s="42"/>
      <c r="F189" s="42"/>
      <c r="G189" s="42"/>
      <c r="H189" s="42"/>
      <c r="I189" s="42"/>
      <c r="J189" s="624"/>
      <c r="K189" s="624"/>
      <c r="L189" s="622"/>
      <c r="M189" s="622"/>
      <c r="N189" s="74"/>
      <c r="O189" s="74"/>
    </row>
    <row r="190" spans="1:15" hidden="1" x14ac:dyDescent="0.25">
      <c r="A190" s="499" t="e">
        <f t="shared" si="6"/>
        <v>#N/A</v>
      </c>
      <c r="B190" s="518" t="s">
        <v>684</v>
      </c>
      <c r="C190" s="518" t="s">
        <v>692</v>
      </c>
      <c r="D190" s="42"/>
      <c r="E190" s="42"/>
      <c r="F190" s="42"/>
      <c r="G190" s="42"/>
      <c r="H190" s="42"/>
      <c r="I190" s="42"/>
      <c r="J190" s="624"/>
      <c r="K190" s="624"/>
      <c r="L190" s="622"/>
      <c r="M190" s="622"/>
      <c r="N190" s="74"/>
      <c r="O190" s="74"/>
    </row>
    <row r="191" spans="1:15" hidden="1" x14ac:dyDescent="0.25">
      <c r="A191" s="499" t="e">
        <f t="shared" si="6"/>
        <v>#N/A</v>
      </c>
      <c r="B191" s="518" t="s">
        <v>684</v>
      </c>
      <c r="C191" s="518" t="s">
        <v>692</v>
      </c>
      <c r="D191" s="42"/>
      <c r="E191" s="42"/>
      <c r="F191" s="42"/>
      <c r="G191" s="42"/>
      <c r="H191" s="42"/>
      <c r="I191" s="42"/>
      <c r="J191" s="624"/>
      <c r="K191" s="624"/>
      <c r="L191" s="622"/>
      <c r="M191" s="622"/>
      <c r="N191" s="74"/>
      <c r="O191" s="74"/>
    </row>
    <row r="192" spans="1:15" hidden="1" x14ac:dyDescent="0.25">
      <c r="A192" s="499" t="e">
        <f t="shared" si="6"/>
        <v>#N/A</v>
      </c>
      <c r="B192" s="518" t="s">
        <v>684</v>
      </c>
      <c r="C192" s="518" t="s">
        <v>692</v>
      </c>
      <c r="D192" s="42"/>
      <c r="E192" s="42"/>
      <c r="F192" s="42"/>
      <c r="G192" s="42"/>
      <c r="H192" s="42"/>
      <c r="I192" s="42"/>
      <c r="J192" s="624"/>
      <c r="K192" s="624"/>
      <c r="L192" s="622"/>
      <c r="M192" s="622"/>
      <c r="N192" s="74"/>
      <c r="O192" s="74"/>
    </row>
    <row r="193" spans="1:15" hidden="1" x14ac:dyDescent="0.25">
      <c r="A193" s="499" t="e">
        <f t="shared" si="6"/>
        <v>#N/A</v>
      </c>
      <c r="B193" s="518" t="s">
        <v>684</v>
      </c>
      <c r="C193" s="518" t="s">
        <v>692</v>
      </c>
      <c r="D193" s="42"/>
      <c r="E193" s="42"/>
      <c r="F193" s="42"/>
      <c r="G193" s="42"/>
      <c r="H193" s="42"/>
      <c r="I193" s="42"/>
      <c r="J193" s="624"/>
      <c r="K193" s="624"/>
      <c r="L193" s="622"/>
      <c r="M193" s="622"/>
      <c r="N193" s="74"/>
      <c r="O193" s="74"/>
    </row>
    <row r="194" spans="1:15" hidden="1" x14ac:dyDescent="0.25">
      <c r="A194" s="499" t="e">
        <f t="shared" si="6"/>
        <v>#N/A</v>
      </c>
      <c r="B194" s="518" t="s">
        <v>684</v>
      </c>
      <c r="C194" s="518" t="s">
        <v>692</v>
      </c>
      <c r="D194" s="42"/>
      <c r="E194" s="42"/>
      <c r="F194" s="42"/>
      <c r="G194" s="42"/>
      <c r="H194" s="42"/>
      <c r="I194" s="42"/>
      <c r="J194" s="624"/>
      <c r="K194" s="624"/>
      <c r="L194" s="622"/>
      <c r="M194" s="622"/>
      <c r="N194" s="74"/>
      <c r="O194" s="74"/>
    </row>
    <row r="195" spans="1:15" hidden="1" x14ac:dyDescent="0.25">
      <c r="A195" s="499" t="e">
        <f t="shared" si="6"/>
        <v>#N/A</v>
      </c>
      <c r="B195" s="518" t="s">
        <v>684</v>
      </c>
      <c r="C195" s="518" t="s">
        <v>692</v>
      </c>
      <c r="D195" s="42"/>
      <c r="E195" s="42"/>
      <c r="F195" s="42"/>
      <c r="G195" s="42"/>
      <c r="H195" s="42"/>
      <c r="I195" s="42"/>
      <c r="J195" s="624"/>
      <c r="K195" s="624"/>
      <c r="L195" s="622"/>
      <c r="M195" s="622"/>
      <c r="N195" s="74"/>
      <c r="O195" s="74"/>
    </row>
    <row r="196" spans="1:15" hidden="1" x14ac:dyDescent="0.25">
      <c r="A196" s="499" t="e">
        <f t="shared" si="6"/>
        <v>#N/A</v>
      </c>
      <c r="B196" s="518" t="s">
        <v>684</v>
      </c>
      <c r="C196" s="518" t="s">
        <v>692</v>
      </c>
      <c r="D196" s="42"/>
      <c r="E196" s="42"/>
      <c r="F196" s="42"/>
      <c r="G196" s="42"/>
      <c r="H196" s="42"/>
      <c r="I196" s="42"/>
      <c r="J196" s="624"/>
      <c r="K196" s="624"/>
      <c r="L196" s="622"/>
      <c r="M196" s="622"/>
      <c r="N196" s="74"/>
      <c r="O196" s="74"/>
    </row>
    <row r="197" spans="1:15" hidden="1" x14ac:dyDescent="0.25">
      <c r="A197" s="499" t="e">
        <f t="shared" si="6"/>
        <v>#N/A</v>
      </c>
      <c r="B197" s="518" t="s">
        <v>684</v>
      </c>
      <c r="C197" s="518" t="s">
        <v>692</v>
      </c>
      <c r="D197" s="42"/>
      <c r="E197" s="42"/>
      <c r="F197" s="42"/>
      <c r="G197" s="42"/>
      <c r="H197" s="42"/>
      <c r="I197" s="42"/>
      <c r="J197" s="624"/>
      <c r="K197" s="624"/>
      <c r="L197" s="622"/>
      <c r="M197" s="622"/>
      <c r="N197" s="74"/>
      <c r="O197" s="74"/>
    </row>
    <row r="198" spans="1:15" hidden="1" x14ac:dyDescent="0.25">
      <c r="A198" s="499" t="e">
        <f t="shared" si="6"/>
        <v>#N/A</v>
      </c>
      <c r="B198" s="518" t="s">
        <v>684</v>
      </c>
      <c r="C198" s="518" t="s">
        <v>692</v>
      </c>
      <c r="D198" s="42"/>
      <c r="E198" s="42"/>
      <c r="F198" s="42"/>
      <c r="G198" s="42"/>
      <c r="H198" s="42"/>
      <c r="I198" s="42"/>
      <c r="J198" s="624"/>
      <c r="K198" s="624"/>
      <c r="L198" s="622"/>
      <c r="M198" s="622"/>
      <c r="N198" s="74"/>
      <c r="O198" s="74"/>
    </row>
    <row r="199" spans="1:15" hidden="1" x14ac:dyDescent="0.25">
      <c r="A199" s="499" t="e">
        <f t="shared" si="6"/>
        <v>#N/A</v>
      </c>
      <c r="B199" s="518" t="s">
        <v>684</v>
      </c>
      <c r="C199" s="518" t="s">
        <v>692</v>
      </c>
      <c r="D199" s="42"/>
      <c r="E199" s="42"/>
      <c r="F199" s="42"/>
      <c r="G199" s="42"/>
      <c r="H199" s="42"/>
      <c r="I199" s="42"/>
      <c r="J199" s="624"/>
      <c r="K199" s="624"/>
      <c r="L199" s="622"/>
      <c r="M199" s="622"/>
      <c r="N199" s="74"/>
      <c r="O199" s="74"/>
    </row>
    <row r="200" spans="1:15" hidden="1" x14ac:dyDescent="0.25">
      <c r="A200" s="499" t="e">
        <f t="shared" si="6"/>
        <v>#N/A</v>
      </c>
      <c r="B200" s="518" t="s">
        <v>684</v>
      </c>
      <c r="C200" s="518" t="s">
        <v>692</v>
      </c>
      <c r="D200" s="42"/>
      <c r="E200" s="42"/>
      <c r="F200" s="42"/>
      <c r="G200" s="42"/>
      <c r="H200" s="42"/>
      <c r="I200" s="42"/>
      <c r="J200" s="624"/>
      <c r="K200" s="624"/>
      <c r="L200" s="622"/>
      <c r="M200" s="622"/>
      <c r="N200" s="74"/>
      <c r="O200" s="74"/>
    </row>
    <row r="201" spans="1:15" hidden="1" x14ac:dyDescent="0.25">
      <c r="A201" s="499" t="e">
        <f t="shared" si="6"/>
        <v>#N/A</v>
      </c>
      <c r="B201" s="518" t="s">
        <v>684</v>
      </c>
      <c r="C201" s="518" t="s">
        <v>692</v>
      </c>
      <c r="D201" s="42"/>
      <c r="E201" s="42"/>
      <c r="F201" s="42"/>
      <c r="G201" s="42"/>
      <c r="H201" s="42"/>
      <c r="I201" s="42"/>
      <c r="J201" s="624"/>
      <c r="K201" s="624"/>
      <c r="L201" s="622"/>
      <c r="M201" s="622"/>
      <c r="N201" s="74"/>
      <c r="O201" s="74"/>
    </row>
    <row r="202" spans="1:15" hidden="1" x14ac:dyDescent="0.25">
      <c r="A202" s="499" t="e">
        <f t="shared" si="6"/>
        <v>#N/A</v>
      </c>
      <c r="B202" s="518" t="s">
        <v>684</v>
      </c>
      <c r="C202" s="518" t="s">
        <v>692</v>
      </c>
      <c r="D202" s="42"/>
      <c r="E202" s="42"/>
      <c r="F202" s="42"/>
      <c r="G202" s="42"/>
      <c r="H202" s="42"/>
      <c r="I202" s="42"/>
      <c r="J202" s="624"/>
      <c r="K202" s="624"/>
      <c r="L202" s="622"/>
      <c r="M202" s="622"/>
      <c r="N202" s="74"/>
      <c r="O202" s="74"/>
    </row>
    <row r="203" spans="1:15" hidden="1" x14ac:dyDescent="0.25">
      <c r="A203" s="499" t="e">
        <f t="shared" si="6"/>
        <v>#N/A</v>
      </c>
      <c r="B203" s="518" t="s">
        <v>684</v>
      </c>
      <c r="C203" s="518" t="s">
        <v>692</v>
      </c>
      <c r="D203" s="42"/>
      <c r="E203" s="42"/>
      <c r="F203" s="42"/>
      <c r="G203" s="42"/>
      <c r="H203" s="42"/>
      <c r="I203" s="42"/>
      <c r="J203" s="624"/>
      <c r="K203" s="624"/>
      <c r="L203" s="622"/>
      <c r="M203" s="622"/>
      <c r="N203" s="74"/>
      <c r="O203" s="74"/>
    </row>
    <row r="204" spans="1:15" hidden="1" x14ac:dyDescent="0.25">
      <c r="A204" s="499" t="e">
        <f t="shared" si="6"/>
        <v>#N/A</v>
      </c>
      <c r="B204" s="518" t="s">
        <v>684</v>
      </c>
      <c r="C204" s="518" t="s">
        <v>692</v>
      </c>
      <c r="D204" s="42"/>
      <c r="E204" s="42"/>
      <c r="F204" s="42"/>
      <c r="G204" s="42"/>
      <c r="H204" s="42"/>
      <c r="I204" s="42"/>
      <c r="J204" s="624"/>
      <c r="K204" s="624"/>
      <c r="L204" s="622"/>
      <c r="M204" s="622"/>
      <c r="N204" s="74"/>
      <c r="O204" s="74"/>
    </row>
    <row r="205" spans="1:15" hidden="1" x14ac:dyDescent="0.25">
      <c r="A205" s="499" t="e">
        <f t="shared" si="6"/>
        <v>#N/A</v>
      </c>
      <c r="B205" s="518" t="s">
        <v>684</v>
      </c>
      <c r="C205" s="518" t="s">
        <v>692</v>
      </c>
      <c r="D205" s="42"/>
      <c r="E205" s="42"/>
      <c r="F205" s="42"/>
      <c r="G205" s="42"/>
      <c r="H205" s="42"/>
      <c r="I205" s="42"/>
      <c r="J205" s="624"/>
      <c r="K205" s="624"/>
      <c r="L205" s="622"/>
      <c r="M205" s="622"/>
      <c r="N205" s="74"/>
      <c r="O205" s="74"/>
    </row>
    <row r="206" spans="1:15" hidden="1" x14ac:dyDescent="0.25">
      <c r="A206" s="499" t="e">
        <f t="shared" si="6"/>
        <v>#N/A</v>
      </c>
      <c r="B206" s="518" t="s">
        <v>684</v>
      </c>
      <c r="C206" s="518" t="s">
        <v>692</v>
      </c>
      <c r="D206" s="42"/>
      <c r="E206" s="42"/>
      <c r="F206" s="42"/>
      <c r="G206" s="42"/>
      <c r="H206" s="42"/>
      <c r="I206" s="42"/>
      <c r="J206" s="624"/>
      <c r="K206" s="624"/>
      <c r="L206" s="622"/>
      <c r="M206" s="622"/>
      <c r="N206" s="74"/>
      <c r="O206" s="74"/>
    </row>
    <row r="207" spans="1:15" hidden="1" x14ac:dyDescent="0.25">
      <c r="A207" s="499" t="e">
        <f t="shared" si="6"/>
        <v>#N/A</v>
      </c>
      <c r="B207" s="518" t="s">
        <v>684</v>
      </c>
      <c r="C207" s="518" t="s">
        <v>692</v>
      </c>
      <c r="D207" s="42"/>
      <c r="E207" s="42"/>
      <c r="F207" s="42"/>
      <c r="G207" s="42"/>
      <c r="H207" s="42"/>
      <c r="I207" s="42"/>
      <c r="J207" s="624"/>
      <c r="K207" s="624"/>
      <c r="L207" s="622"/>
      <c r="M207" s="622"/>
      <c r="N207" s="74"/>
      <c r="O207" s="74"/>
    </row>
    <row r="208" spans="1:15" hidden="1" x14ac:dyDescent="0.25">
      <c r="A208" s="499" t="e">
        <f t="shared" si="6"/>
        <v>#N/A</v>
      </c>
      <c r="B208" s="518" t="s">
        <v>684</v>
      </c>
      <c r="C208" s="518" t="s">
        <v>692</v>
      </c>
      <c r="D208" s="42"/>
      <c r="E208" s="42"/>
      <c r="F208" s="42"/>
      <c r="G208" s="42"/>
      <c r="H208" s="42"/>
      <c r="I208" s="42"/>
      <c r="J208" s="624"/>
      <c r="K208" s="624"/>
      <c r="L208" s="622"/>
      <c r="M208" s="622"/>
      <c r="N208" s="74"/>
      <c r="O208" s="74"/>
    </row>
    <row r="209" spans="1:15" hidden="1" x14ac:dyDescent="0.25">
      <c r="A209" s="499" t="e">
        <f t="shared" si="6"/>
        <v>#N/A</v>
      </c>
      <c r="B209" s="518" t="s">
        <v>684</v>
      </c>
      <c r="C209" s="518" t="s">
        <v>692</v>
      </c>
      <c r="D209" s="42"/>
      <c r="E209" s="42"/>
      <c r="F209" s="42"/>
      <c r="G209" s="42"/>
      <c r="H209" s="42"/>
      <c r="I209" s="42"/>
      <c r="J209" s="624"/>
      <c r="K209" s="624"/>
      <c r="L209" s="622"/>
      <c r="M209" s="622"/>
      <c r="N209" s="74"/>
      <c r="O209" s="74"/>
    </row>
    <row r="210" spans="1:15" hidden="1" x14ac:dyDescent="0.25">
      <c r="A210" s="499" t="e">
        <f t="shared" si="6"/>
        <v>#N/A</v>
      </c>
      <c r="B210" s="518" t="s">
        <v>684</v>
      </c>
      <c r="C210" s="518" t="s">
        <v>692</v>
      </c>
      <c r="D210" s="42"/>
      <c r="E210" s="42"/>
      <c r="F210" s="42"/>
      <c r="G210" s="42"/>
      <c r="H210" s="42"/>
      <c r="I210" s="42"/>
      <c r="J210" s="624"/>
      <c r="K210" s="624"/>
      <c r="L210" s="622"/>
      <c r="M210" s="622"/>
      <c r="N210" s="74"/>
      <c r="O210" s="74"/>
    </row>
    <row r="211" spans="1:15" hidden="1" x14ac:dyDescent="0.25">
      <c r="A211" s="499" t="e">
        <f t="shared" si="6"/>
        <v>#N/A</v>
      </c>
      <c r="B211" s="518" t="s">
        <v>684</v>
      </c>
      <c r="C211" s="518" t="s">
        <v>692</v>
      </c>
      <c r="D211" s="42"/>
      <c r="E211" s="42"/>
      <c r="F211" s="42"/>
      <c r="G211" s="42"/>
      <c r="H211" s="42"/>
      <c r="I211" s="42"/>
      <c r="J211" s="624"/>
      <c r="K211" s="624"/>
      <c r="L211" s="622"/>
      <c r="M211" s="622"/>
      <c r="N211" s="74"/>
      <c r="O211" s="74"/>
    </row>
    <row r="212" spans="1:15" hidden="1" x14ac:dyDescent="0.25">
      <c r="A212" s="499" t="e">
        <f t="shared" si="6"/>
        <v>#N/A</v>
      </c>
      <c r="B212" s="518" t="s">
        <v>684</v>
      </c>
      <c r="C212" s="518" t="s">
        <v>692</v>
      </c>
      <c r="D212" s="42"/>
      <c r="E212" s="42"/>
      <c r="F212" s="42"/>
      <c r="G212" s="42"/>
      <c r="H212" s="42"/>
      <c r="I212" s="42"/>
      <c r="J212" s="624"/>
      <c r="K212" s="624"/>
      <c r="L212" s="622"/>
      <c r="M212" s="622"/>
      <c r="N212" s="74"/>
      <c r="O212" s="74"/>
    </row>
    <row r="213" spans="1:15" hidden="1" x14ac:dyDescent="0.25">
      <c r="A213" s="499" t="e">
        <f t="shared" si="6"/>
        <v>#N/A</v>
      </c>
      <c r="B213" s="518" t="s">
        <v>684</v>
      </c>
      <c r="C213" s="518" t="s">
        <v>692</v>
      </c>
      <c r="D213" s="42"/>
      <c r="E213" s="42"/>
      <c r="F213" s="42"/>
      <c r="G213" s="42"/>
      <c r="H213" s="42"/>
      <c r="I213" s="42"/>
      <c r="J213" s="624"/>
      <c r="K213" s="624"/>
      <c r="L213" s="622"/>
      <c r="M213" s="622"/>
      <c r="N213" s="74"/>
      <c r="O213" s="74"/>
    </row>
    <row r="214" spans="1:15" hidden="1" x14ac:dyDescent="0.25">
      <c r="A214" s="499" t="e">
        <f t="shared" si="6"/>
        <v>#N/A</v>
      </c>
      <c r="B214" s="518" t="s">
        <v>684</v>
      </c>
      <c r="C214" s="518" t="s">
        <v>692</v>
      </c>
      <c r="D214" s="42"/>
      <c r="E214" s="42"/>
      <c r="F214" s="42"/>
      <c r="G214" s="42"/>
      <c r="H214" s="42"/>
      <c r="I214" s="42"/>
      <c r="J214" s="624"/>
      <c r="K214" s="624"/>
      <c r="L214" s="622"/>
      <c r="M214" s="622"/>
      <c r="N214" s="74"/>
      <c r="O214" s="74"/>
    </row>
    <row r="215" spans="1:15" hidden="1" x14ac:dyDescent="0.25">
      <c r="A215" s="499" t="e">
        <f t="shared" si="6"/>
        <v>#N/A</v>
      </c>
      <c r="B215" s="518" t="s">
        <v>684</v>
      </c>
      <c r="C215" s="518" t="s">
        <v>692</v>
      </c>
      <c r="D215" s="42"/>
      <c r="E215" s="42"/>
      <c r="F215" s="42"/>
      <c r="G215" s="42"/>
      <c r="H215" s="42"/>
      <c r="I215" s="42"/>
      <c r="J215" s="624"/>
      <c r="K215" s="624"/>
      <c r="L215" s="622"/>
      <c r="M215" s="622"/>
      <c r="N215" s="74"/>
      <c r="O215" s="74"/>
    </row>
    <row r="216" spans="1:15" hidden="1" x14ac:dyDescent="0.25">
      <c r="A216" s="499" t="e">
        <f t="shared" si="6"/>
        <v>#N/A</v>
      </c>
      <c r="B216" s="518" t="s">
        <v>684</v>
      </c>
      <c r="C216" s="518" t="s">
        <v>692</v>
      </c>
      <c r="D216" s="42"/>
      <c r="E216" s="42"/>
      <c r="F216" s="42"/>
      <c r="G216" s="42"/>
      <c r="H216" s="42"/>
      <c r="I216" s="42"/>
      <c r="J216" s="624"/>
      <c r="K216" s="624"/>
      <c r="L216" s="622"/>
      <c r="M216" s="622"/>
      <c r="N216" s="74"/>
      <c r="O216" s="74"/>
    </row>
    <row r="217" spans="1:15" hidden="1" x14ac:dyDescent="0.25">
      <c r="A217" s="499" t="e">
        <f t="shared" si="6"/>
        <v>#N/A</v>
      </c>
      <c r="B217" s="518" t="s">
        <v>684</v>
      </c>
      <c r="C217" s="518" t="s">
        <v>692</v>
      </c>
      <c r="D217" s="42"/>
      <c r="E217" s="42"/>
      <c r="F217" s="42"/>
      <c r="G217" s="42"/>
      <c r="H217" s="42"/>
      <c r="I217" s="42"/>
      <c r="J217" s="624"/>
      <c r="K217" s="624"/>
      <c r="L217" s="622"/>
      <c r="M217" s="622"/>
      <c r="N217" s="74"/>
      <c r="O217" s="74"/>
    </row>
    <row r="218" spans="1:15" hidden="1" x14ac:dyDescent="0.25">
      <c r="A218" s="499" t="e">
        <f t="shared" si="6"/>
        <v>#N/A</v>
      </c>
      <c r="B218" s="518" t="s">
        <v>684</v>
      </c>
      <c r="C218" s="518" t="s">
        <v>692</v>
      </c>
      <c r="D218" s="42"/>
      <c r="E218" s="42"/>
      <c r="F218" s="42"/>
      <c r="G218" s="42"/>
      <c r="H218" s="42"/>
      <c r="I218" s="42"/>
      <c r="J218" s="624"/>
      <c r="K218" s="624"/>
      <c r="L218" s="622"/>
      <c r="M218" s="622"/>
      <c r="N218" s="74"/>
      <c r="O218" s="74"/>
    </row>
    <row r="219" spans="1:15" hidden="1" x14ac:dyDescent="0.25">
      <c r="A219" s="499" t="e">
        <f t="shared" si="6"/>
        <v>#N/A</v>
      </c>
      <c r="B219" s="518" t="s">
        <v>684</v>
      </c>
      <c r="C219" s="518" t="s">
        <v>692</v>
      </c>
      <c r="D219" s="42"/>
      <c r="E219" s="42"/>
      <c r="F219" s="42"/>
      <c r="G219" s="42"/>
      <c r="H219" s="42"/>
      <c r="I219" s="42"/>
      <c r="J219" s="624"/>
      <c r="K219" s="624"/>
      <c r="L219" s="622"/>
      <c r="M219" s="622"/>
      <c r="N219" s="74"/>
      <c r="O219" s="74"/>
    </row>
    <row r="220" spans="1:15" hidden="1" x14ac:dyDescent="0.25">
      <c r="A220" s="499" t="e">
        <f t="shared" si="6"/>
        <v>#N/A</v>
      </c>
      <c r="B220" s="518" t="s">
        <v>684</v>
      </c>
      <c r="C220" s="518" t="s">
        <v>692</v>
      </c>
      <c r="D220" s="42"/>
      <c r="E220" s="42"/>
      <c r="F220" s="42"/>
      <c r="G220" s="42"/>
      <c r="H220" s="42"/>
      <c r="I220" s="42"/>
      <c r="J220" s="624"/>
      <c r="K220" s="624"/>
      <c r="L220" s="622"/>
      <c r="M220" s="622"/>
      <c r="N220" s="74"/>
      <c r="O220" s="74"/>
    </row>
    <row r="221" spans="1:15" hidden="1" x14ac:dyDescent="0.25">
      <c r="A221" s="499" t="e">
        <f t="shared" si="6"/>
        <v>#N/A</v>
      </c>
      <c r="B221" s="518" t="s">
        <v>684</v>
      </c>
      <c r="C221" s="518" t="s">
        <v>692</v>
      </c>
      <c r="D221" s="42"/>
      <c r="E221" s="42"/>
      <c r="F221" s="42"/>
      <c r="G221" s="42"/>
      <c r="H221" s="42"/>
      <c r="I221" s="42"/>
      <c r="J221" s="624"/>
      <c r="K221" s="624"/>
      <c r="L221" s="622"/>
      <c r="M221" s="622"/>
      <c r="N221" s="74"/>
      <c r="O221" s="74"/>
    </row>
    <row r="222" spans="1:15" hidden="1" x14ac:dyDescent="0.25">
      <c r="A222" s="499" t="e">
        <f t="shared" si="6"/>
        <v>#N/A</v>
      </c>
      <c r="B222" s="518" t="s">
        <v>684</v>
      </c>
      <c r="C222" s="518" t="s">
        <v>692</v>
      </c>
      <c r="D222" s="42"/>
      <c r="E222" s="42"/>
      <c r="F222" s="42"/>
      <c r="G222" s="42"/>
      <c r="H222" s="42"/>
      <c r="I222" s="42"/>
      <c r="J222" s="624"/>
      <c r="K222" s="624"/>
      <c r="L222" s="622"/>
      <c r="M222" s="622"/>
      <c r="N222" s="74"/>
      <c r="O222" s="74"/>
    </row>
    <row r="223" spans="1:15" hidden="1" x14ac:dyDescent="0.25">
      <c r="A223" s="499" t="e">
        <f t="shared" si="6"/>
        <v>#N/A</v>
      </c>
      <c r="B223" s="518" t="s">
        <v>684</v>
      </c>
      <c r="C223" s="518" t="s">
        <v>692</v>
      </c>
      <c r="D223" s="42"/>
      <c r="E223" s="42"/>
      <c r="F223" s="42"/>
      <c r="G223" s="42"/>
      <c r="H223" s="42"/>
      <c r="I223" s="42"/>
      <c r="J223" s="624"/>
      <c r="K223" s="624"/>
      <c r="L223" s="622"/>
      <c r="M223" s="622"/>
      <c r="N223" s="74"/>
      <c r="O223" s="74"/>
    </row>
    <row r="224" spans="1:15" hidden="1" x14ac:dyDescent="0.25">
      <c r="A224" s="499" t="e">
        <f t="shared" ref="A224:A278" si="7">VLOOKUP(D224,BldgExpCodes,2)</f>
        <v>#N/A</v>
      </c>
      <c r="B224" s="518" t="s">
        <v>684</v>
      </c>
      <c r="C224" s="518" t="s">
        <v>692</v>
      </c>
      <c r="D224" s="42"/>
      <c r="E224" s="42"/>
      <c r="F224" s="42"/>
      <c r="G224" s="42"/>
      <c r="H224" s="42"/>
      <c r="I224" s="42"/>
      <c r="J224" s="624"/>
      <c r="K224" s="624"/>
      <c r="L224" s="622"/>
      <c r="M224" s="622"/>
      <c r="N224" s="74"/>
      <c r="O224" s="74"/>
    </row>
    <row r="225" spans="1:15" hidden="1" x14ac:dyDescent="0.25">
      <c r="A225" s="499" t="e">
        <f t="shared" si="7"/>
        <v>#N/A</v>
      </c>
      <c r="B225" s="518" t="s">
        <v>684</v>
      </c>
      <c r="C225" s="518" t="s">
        <v>692</v>
      </c>
      <c r="D225" s="42"/>
      <c r="E225" s="42"/>
      <c r="F225" s="42"/>
      <c r="G225" s="42"/>
      <c r="H225" s="42"/>
      <c r="I225" s="42"/>
      <c r="J225" s="624"/>
      <c r="K225" s="624"/>
      <c r="L225" s="622"/>
      <c r="M225" s="622"/>
      <c r="N225" s="74"/>
      <c r="O225" s="74"/>
    </row>
    <row r="226" spans="1:15" hidden="1" x14ac:dyDescent="0.25">
      <c r="A226" s="499" t="e">
        <f t="shared" si="7"/>
        <v>#N/A</v>
      </c>
      <c r="B226" s="518" t="s">
        <v>684</v>
      </c>
      <c r="C226" s="518" t="s">
        <v>692</v>
      </c>
      <c r="D226" s="42"/>
      <c r="E226" s="42"/>
      <c r="F226" s="42"/>
      <c r="G226" s="42"/>
      <c r="H226" s="42"/>
      <c r="I226" s="42"/>
      <c r="J226" s="624"/>
      <c r="K226" s="624"/>
      <c r="L226" s="622"/>
      <c r="M226" s="622"/>
      <c r="N226" s="74"/>
      <c r="O226" s="74"/>
    </row>
    <row r="227" spans="1:15" hidden="1" x14ac:dyDescent="0.25">
      <c r="A227" s="499" t="e">
        <f t="shared" si="7"/>
        <v>#N/A</v>
      </c>
      <c r="B227" s="518" t="s">
        <v>684</v>
      </c>
      <c r="C227" s="518" t="s">
        <v>692</v>
      </c>
      <c r="D227" s="42"/>
      <c r="E227" s="42"/>
      <c r="F227" s="42"/>
      <c r="G227" s="42"/>
      <c r="H227" s="42"/>
      <c r="I227" s="42"/>
      <c r="J227" s="624"/>
      <c r="K227" s="624"/>
      <c r="L227" s="622"/>
      <c r="M227" s="622"/>
      <c r="N227" s="74"/>
      <c r="O227" s="74"/>
    </row>
    <row r="228" spans="1:15" hidden="1" x14ac:dyDescent="0.25">
      <c r="A228" s="499" t="e">
        <f t="shared" si="7"/>
        <v>#N/A</v>
      </c>
      <c r="B228" s="518" t="s">
        <v>684</v>
      </c>
      <c r="C228" s="518" t="s">
        <v>692</v>
      </c>
      <c r="D228" s="42"/>
      <c r="E228" s="42"/>
      <c r="F228" s="42"/>
      <c r="G228" s="42"/>
      <c r="H228" s="42"/>
      <c r="I228" s="42"/>
      <c r="J228" s="624"/>
      <c r="K228" s="624"/>
      <c r="L228" s="622"/>
      <c r="M228" s="622"/>
      <c r="N228" s="74"/>
      <c r="O228" s="74"/>
    </row>
    <row r="229" spans="1:15" hidden="1" x14ac:dyDescent="0.25">
      <c r="A229" s="499" t="e">
        <f t="shared" si="7"/>
        <v>#N/A</v>
      </c>
      <c r="B229" s="518" t="s">
        <v>684</v>
      </c>
      <c r="C229" s="518" t="s">
        <v>692</v>
      </c>
      <c r="D229" s="42"/>
      <c r="E229" s="42"/>
      <c r="F229" s="42"/>
      <c r="G229" s="42"/>
      <c r="H229" s="42"/>
      <c r="I229" s="42"/>
      <c r="J229" s="624"/>
      <c r="K229" s="624"/>
      <c r="L229" s="622"/>
      <c r="M229" s="622"/>
      <c r="N229" s="74"/>
      <c r="O229" s="74"/>
    </row>
    <row r="230" spans="1:15" hidden="1" x14ac:dyDescent="0.25">
      <c r="A230" s="499" t="e">
        <f t="shared" si="7"/>
        <v>#N/A</v>
      </c>
      <c r="B230" s="518" t="s">
        <v>684</v>
      </c>
      <c r="C230" s="518" t="s">
        <v>692</v>
      </c>
      <c r="D230" s="42"/>
      <c r="E230" s="42"/>
      <c r="F230" s="42"/>
      <c r="G230" s="42"/>
      <c r="H230" s="42"/>
      <c r="I230" s="42"/>
      <c r="J230" s="624"/>
      <c r="K230" s="624"/>
      <c r="L230" s="622"/>
      <c r="M230" s="622"/>
      <c r="N230" s="74"/>
      <c r="O230" s="74"/>
    </row>
    <row r="231" spans="1:15" hidden="1" x14ac:dyDescent="0.25">
      <c r="A231" s="499" t="e">
        <f t="shared" si="7"/>
        <v>#N/A</v>
      </c>
      <c r="B231" s="518" t="s">
        <v>684</v>
      </c>
      <c r="C231" s="518" t="s">
        <v>692</v>
      </c>
      <c r="D231" s="42"/>
      <c r="E231" s="42"/>
      <c r="F231" s="42"/>
      <c r="G231" s="42"/>
      <c r="H231" s="42"/>
      <c r="I231" s="42"/>
      <c r="J231" s="624"/>
      <c r="K231" s="624"/>
      <c r="L231" s="622"/>
      <c r="M231" s="622"/>
      <c r="N231" s="74"/>
      <c r="O231" s="74"/>
    </row>
    <row r="232" spans="1:15" hidden="1" x14ac:dyDescent="0.25">
      <c r="A232" s="499" t="e">
        <f t="shared" si="7"/>
        <v>#N/A</v>
      </c>
      <c r="B232" s="518" t="s">
        <v>684</v>
      </c>
      <c r="C232" s="518" t="s">
        <v>692</v>
      </c>
      <c r="D232" s="42"/>
      <c r="E232" s="42"/>
      <c r="F232" s="42"/>
      <c r="G232" s="42"/>
      <c r="H232" s="42"/>
      <c r="I232" s="42"/>
      <c r="J232" s="624"/>
      <c r="K232" s="624"/>
      <c r="L232" s="622"/>
      <c r="M232" s="622"/>
      <c r="N232" s="74"/>
      <c r="O232" s="74"/>
    </row>
    <row r="233" spans="1:15" hidden="1" x14ac:dyDescent="0.25">
      <c r="A233" s="499" t="e">
        <f t="shared" si="7"/>
        <v>#N/A</v>
      </c>
      <c r="B233" s="518" t="s">
        <v>684</v>
      </c>
      <c r="C233" s="518" t="s">
        <v>692</v>
      </c>
      <c r="D233" s="42"/>
      <c r="E233" s="42"/>
      <c r="F233" s="42"/>
      <c r="G233" s="42"/>
      <c r="H233" s="42"/>
      <c r="I233" s="42"/>
      <c r="J233" s="624"/>
      <c r="K233" s="624"/>
      <c r="L233" s="622"/>
      <c r="M233" s="622"/>
      <c r="N233" s="74"/>
      <c r="O233" s="74"/>
    </row>
    <row r="234" spans="1:15" hidden="1" x14ac:dyDescent="0.25">
      <c r="A234" s="499" t="e">
        <f t="shared" si="7"/>
        <v>#N/A</v>
      </c>
      <c r="B234" s="518" t="s">
        <v>684</v>
      </c>
      <c r="C234" s="518" t="s">
        <v>692</v>
      </c>
      <c r="D234" s="42"/>
      <c r="E234" s="42"/>
      <c r="F234" s="42"/>
      <c r="G234" s="42"/>
      <c r="H234" s="42"/>
      <c r="I234" s="42"/>
      <c r="J234" s="624"/>
      <c r="K234" s="624"/>
      <c r="L234" s="622"/>
      <c r="M234" s="622"/>
      <c r="N234" s="74"/>
      <c r="O234" s="74"/>
    </row>
    <row r="235" spans="1:15" hidden="1" x14ac:dyDescent="0.25">
      <c r="A235" s="499" t="e">
        <f t="shared" si="7"/>
        <v>#N/A</v>
      </c>
      <c r="B235" s="518" t="s">
        <v>684</v>
      </c>
      <c r="C235" s="518" t="s">
        <v>692</v>
      </c>
      <c r="D235" s="42"/>
      <c r="E235" s="42"/>
      <c r="F235" s="42"/>
      <c r="G235" s="42"/>
      <c r="H235" s="42"/>
      <c r="I235" s="42"/>
      <c r="J235" s="624"/>
      <c r="K235" s="624"/>
      <c r="L235" s="622"/>
      <c r="M235" s="622"/>
      <c r="N235" s="74"/>
      <c r="O235" s="74"/>
    </row>
    <row r="236" spans="1:15" hidden="1" x14ac:dyDescent="0.25">
      <c r="A236" s="499" t="e">
        <f t="shared" si="7"/>
        <v>#N/A</v>
      </c>
      <c r="B236" s="518" t="s">
        <v>684</v>
      </c>
      <c r="C236" s="518" t="s">
        <v>692</v>
      </c>
      <c r="D236" s="42"/>
      <c r="E236" s="42"/>
      <c r="F236" s="42"/>
      <c r="G236" s="42"/>
      <c r="H236" s="42"/>
      <c r="I236" s="42"/>
      <c r="J236" s="624"/>
      <c r="K236" s="624"/>
      <c r="L236" s="622"/>
      <c r="M236" s="622"/>
      <c r="N236" s="74"/>
      <c r="O236" s="74"/>
    </row>
    <row r="237" spans="1:15" hidden="1" x14ac:dyDescent="0.25">
      <c r="A237" s="499" t="e">
        <f t="shared" si="7"/>
        <v>#N/A</v>
      </c>
      <c r="B237" s="518" t="s">
        <v>684</v>
      </c>
      <c r="C237" s="518" t="s">
        <v>692</v>
      </c>
      <c r="D237" s="42"/>
      <c r="E237" s="42"/>
      <c r="F237" s="42"/>
      <c r="G237" s="42"/>
      <c r="H237" s="42"/>
      <c r="I237" s="42"/>
      <c r="J237" s="624"/>
      <c r="K237" s="624"/>
      <c r="L237" s="622"/>
      <c r="M237" s="622"/>
      <c r="N237" s="74"/>
      <c r="O237" s="74"/>
    </row>
    <row r="238" spans="1:15" hidden="1" x14ac:dyDescent="0.25">
      <c r="A238" s="499" t="e">
        <f t="shared" si="7"/>
        <v>#N/A</v>
      </c>
      <c r="B238" s="518" t="s">
        <v>684</v>
      </c>
      <c r="C238" s="518" t="s">
        <v>692</v>
      </c>
      <c r="D238" s="42"/>
      <c r="E238" s="42"/>
      <c r="F238" s="42"/>
      <c r="G238" s="42"/>
      <c r="H238" s="42"/>
      <c r="I238" s="42"/>
      <c r="J238" s="624"/>
      <c r="K238" s="624"/>
      <c r="L238" s="622"/>
      <c r="M238" s="622"/>
      <c r="N238" s="74"/>
      <c r="O238" s="74"/>
    </row>
    <row r="239" spans="1:15" hidden="1" x14ac:dyDescent="0.25">
      <c r="A239" s="499" t="e">
        <f t="shared" si="7"/>
        <v>#N/A</v>
      </c>
      <c r="B239" s="518" t="s">
        <v>684</v>
      </c>
      <c r="C239" s="518" t="s">
        <v>692</v>
      </c>
      <c r="D239" s="42"/>
      <c r="E239" s="42"/>
      <c r="F239" s="42"/>
      <c r="G239" s="42"/>
      <c r="H239" s="42"/>
      <c r="I239" s="42"/>
      <c r="J239" s="624"/>
      <c r="K239" s="624"/>
      <c r="L239" s="622"/>
      <c r="M239" s="622"/>
      <c r="N239" s="74"/>
      <c r="O239" s="74"/>
    </row>
    <row r="240" spans="1:15" hidden="1" x14ac:dyDescent="0.25">
      <c r="A240" s="499" t="e">
        <f t="shared" si="7"/>
        <v>#N/A</v>
      </c>
      <c r="B240" s="518" t="s">
        <v>684</v>
      </c>
      <c r="C240" s="518" t="s">
        <v>692</v>
      </c>
      <c r="D240" s="42"/>
      <c r="E240" s="42"/>
      <c r="F240" s="42"/>
      <c r="G240" s="42"/>
      <c r="H240" s="42"/>
      <c r="I240" s="42"/>
      <c r="J240" s="624"/>
      <c r="K240" s="624"/>
      <c r="L240" s="622"/>
      <c r="M240" s="622"/>
      <c r="N240" s="74"/>
      <c r="O240" s="74"/>
    </row>
    <row r="241" spans="1:15" hidden="1" x14ac:dyDescent="0.25">
      <c r="A241" s="499" t="e">
        <f t="shared" si="7"/>
        <v>#N/A</v>
      </c>
      <c r="B241" s="518" t="s">
        <v>684</v>
      </c>
      <c r="C241" s="518" t="s">
        <v>692</v>
      </c>
      <c r="D241" s="42"/>
      <c r="E241" s="42"/>
      <c r="F241" s="42"/>
      <c r="G241" s="42"/>
      <c r="H241" s="42"/>
      <c r="I241" s="42"/>
      <c r="J241" s="624"/>
      <c r="K241" s="624"/>
      <c r="L241" s="622"/>
      <c r="M241" s="622"/>
      <c r="N241" s="74"/>
      <c r="O241" s="74"/>
    </row>
    <row r="242" spans="1:15" hidden="1" x14ac:dyDescent="0.25">
      <c r="A242" s="499" t="e">
        <f t="shared" si="7"/>
        <v>#N/A</v>
      </c>
      <c r="B242" s="518" t="s">
        <v>684</v>
      </c>
      <c r="C242" s="518" t="s">
        <v>692</v>
      </c>
      <c r="D242" s="42"/>
      <c r="E242" s="42"/>
      <c r="F242" s="42"/>
      <c r="G242" s="42"/>
      <c r="H242" s="42"/>
      <c r="I242" s="42"/>
      <c r="J242" s="624"/>
      <c r="K242" s="624"/>
      <c r="L242" s="622"/>
      <c r="M242" s="622"/>
      <c r="N242" s="74"/>
      <c r="O242" s="74"/>
    </row>
    <row r="243" spans="1:15" hidden="1" x14ac:dyDescent="0.25">
      <c r="A243" s="499" t="e">
        <f t="shared" si="7"/>
        <v>#N/A</v>
      </c>
      <c r="B243" s="518" t="s">
        <v>684</v>
      </c>
      <c r="C243" s="518" t="s">
        <v>692</v>
      </c>
      <c r="D243" s="42"/>
      <c r="E243" s="42"/>
      <c r="F243" s="42"/>
      <c r="G243" s="42"/>
      <c r="H243" s="42"/>
      <c r="I243" s="42"/>
      <c r="J243" s="624"/>
      <c r="K243" s="624"/>
      <c r="L243" s="622"/>
      <c r="M243" s="622"/>
      <c r="N243" s="74"/>
      <c r="O243" s="74"/>
    </row>
    <row r="244" spans="1:15" hidden="1" x14ac:dyDescent="0.25">
      <c r="A244" s="499" t="e">
        <f t="shared" si="7"/>
        <v>#N/A</v>
      </c>
      <c r="B244" s="518" t="s">
        <v>684</v>
      </c>
      <c r="C244" s="518" t="s">
        <v>692</v>
      </c>
      <c r="D244" s="42"/>
      <c r="E244" s="42"/>
      <c r="F244" s="42"/>
      <c r="G244" s="42"/>
      <c r="H244" s="42"/>
      <c r="I244" s="42"/>
      <c r="J244" s="624"/>
      <c r="K244" s="624"/>
      <c r="L244" s="622"/>
      <c r="M244" s="622"/>
      <c r="N244" s="74"/>
      <c r="O244" s="74"/>
    </row>
    <row r="245" spans="1:15" hidden="1" x14ac:dyDescent="0.25">
      <c r="A245" s="499" t="e">
        <f t="shared" si="7"/>
        <v>#N/A</v>
      </c>
      <c r="B245" s="518" t="s">
        <v>684</v>
      </c>
      <c r="C245" s="518" t="s">
        <v>692</v>
      </c>
      <c r="D245" s="42"/>
      <c r="E245" s="42"/>
      <c r="F245" s="42"/>
      <c r="G245" s="42"/>
      <c r="H245" s="42"/>
      <c r="I245" s="42"/>
      <c r="J245" s="624"/>
      <c r="K245" s="624"/>
      <c r="L245" s="622"/>
      <c r="M245" s="622"/>
      <c r="N245" s="74"/>
      <c r="O245" s="74"/>
    </row>
    <row r="246" spans="1:15" hidden="1" x14ac:dyDescent="0.25">
      <c r="A246" s="499" t="e">
        <f t="shared" si="7"/>
        <v>#N/A</v>
      </c>
      <c r="B246" s="518" t="s">
        <v>684</v>
      </c>
      <c r="C246" s="518" t="s">
        <v>692</v>
      </c>
      <c r="D246" s="42"/>
      <c r="E246" s="42"/>
      <c r="F246" s="42"/>
      <c r="G246" s="42"/>
      <c r="H246" s="42"/>
      <c r="I246" s="42"/>
      <c r="J246" s="624"/>
      <c r="K246" s="624"/>
      <c r="L246" s="622"/>
      <c r="M246" s="622"/>
      <c r="N246" s="74"/>
      <c r="O246" s="74"/>
    </row>
    <row r="247" spans="1:15" hidden="1" x14ac:dyDescent="0.25">
      <c r="A247" s="499" t="e">
        <f t="shared" si="7"/>
        <v>#N/A</v>
      </c>
      <c r="B247" s="518" t="s">
        <v>684</v>
      </c>
      <c r="C247" s="518" t="s">
        <v>692</v>
      </c>
      <c r="D247" s="42"/>
      <c r="E247" s="42"/>
      <c r="F247" s="42"/>
      <c r="G247" s="42"/>
      <c r="H247" s="42"/>
      <c r="I247" s="42"/>
      <c r="J247" s="624"/>
      <c r="K247" s="624"/>
      <c r="L247" s="622"/>
      <c r="M247" s="622"/>
      <c r="N247" s="74"/>
      <c r="O247" s="74"/>
    </row>
    <row r="248" spans="1:15" hidden="1" x14ac:dyDescent="0.25">
      <c r="A248" s="499" t="e">
        <f t="shared" si="7"/>
        <v>#N/A</v>
      </c>
      <c r="B248" s="518" t="s">
        <v>684</v>
      </c>
      <c r="C248" s="518" t="s">
        <v>692</v>
      </c>
      <c r="D248" s="42"/>
      <c r="E248" s="42"/>
      <c r="F248" s="42"/>
      <c r="G248" s="42"/>
      <c r="H248" s="42"/>
      <c r="I248" s="42"/>
      <c r="J248" s="624"/>
      <c r="K248" s="624"/>
      <c r="L248" s="622"/>
      <c r="M248" s="622"/>
      <c r="N248" s="74"/>
      <c r="O248" s="74"/>
    </row>
    <row r="249" spans="1:15" hidden="1" x14ac:dyDescent="0.25">
      <c r="A249" s="499" t="e">
        <f t="shared" si="7"/>
        <v>#N/A</v>
      </c>
      <c r="B249" s="518" t="s">
        <v>684</v>
      </c>
      <c r="C249" s="518" t="s">
        <v>692</v>
      </c>
      <c r="D249" s="42"/>
      <c r="E249" s="42"/>
      <c r="F249" s="42"/>
      <c r="G249" s="42"/>
      <c r="H249" s="42"/>
      <c r="I249" s="42"/>
      <c r="J249" s="624"/>
      <c r="K249" s="624"/>
      <c r="L249" s="622"/>
      <c r="M249" s="622"/>
      <c r="N249" s="74"/>
      <c r="O249" s="74"/>
    </row>
    <row r="250" spans="1:15" hidden="1" x14ac:dyDescent="0.25">
      <c r="A250" s="499" t="e">
        <f t="shared" si="7"/>
        <v>#N/A</v>
      </c>
      <c r="B250" s="518" t="s">
        <v>684</v>
      </c>
      <c r="C250" s="518" t="s">
        <v>692</v>
      </c>
      <c r="D250" s="42"/>
      <c r="E250" s="42"/>
      <c r="F250" s="42"/>
      <c r="G250" s="42"/>
      <c r="H250" s="42"/>
      <c r="I250" s="42"/>
      <c r="J250" s="624"/>
      <c r="K250" s="624"/>
      <c r="L250" s="622"/>
      <c r="M250" s="622"/>
      <c r="N250" s="74"/>
      <c r="O250" s="74"/>
    </row>
    <row r="251" spans="1:15" hidden="1" x14ac:dyDescent="0.25">
      <c r="A251" s="499" t="e">
        <f t="shared" si="7"/>
        <v>#N/A</v>
      </c>
      <c r="B251" s="518" t="s">
        <v>684</v>
      </c>
      <c r="C251" s="518" t="s">
        <v>692</v>
      </c>
      <c r="D251" s="42"/>
      <c r="E251" s="42"/>
      <c r="F251" s="42"/>
      <c r="G251" s="42"/>
      <c r="H251" s="42"/>
      <c r="I251" s="42"/>
      <c r="J251" s="624"/>
      <c r="K251" s="624"/>
      <c r="L251" s="622"/>
      <c r="M251" s="622"/>
      <c r="N251" s="74"/>
      <c r="O251" s="74"/>
    </row>
    <row r="252" spans="1:15" hidden="1" x14ac:dyDescent="0.25">
      <c r="A252" s="499" t="e">
        <f t="shared" si="7"/>
        <v>#N/A</v>
      </c>
      <c r="B252" s="518" t="s">
        <v>684</v>
      </c>
      <c r="C252" s="518" t="s">
        <v>692</v>
      </c>
      <c r="D252" s="42"/>
      <c r="E252" s="42"/>
      <c r="F252" s="42"/>
      <c r="G252" s="42"/>
      <c r="H252" s="42"/>
      <c r="I252" s="42"/>
      <c r="J252" s="624"/>
      <c r="K252" s="624"/>
      <c r="L252" s="622"/>
      <c r="M252" s="622"/>
      <c r="N252" s="74"/>
      <c r="O252" s="74"/>
    </row>
    <row r="253" spans="1:15" hidden="1" x14ac:dyDescent="0.25">
      <c r="A253" s="499" t="e">
        <f t="shared" si="7"/>
        <v>#N/A</v>
      </c>
      <c r="B253" s="518" t="s">
        <v>684</v>
      </c>
      <c r="C253" s="518" t="s">
        <v>692</v>
      </c>
      <c r="D253" s="42"/>
      <c r="E253" s="42"/>
      <c r="F253" s="42"/>
      <c r="G253" s="42"/>
      <c r="H253" s="42"/>
      <c r="I253" s="42"/>
      <c r="J253" s="624"/>
      <c r="K253" s="624"/>
      <c r="L253" s="622"/>
      <c r="M253" s="622"/>
      <c r="N253" s="74"/>
      <c r="O253" s="74"/>
    </row>
    <row r="254" spans="1:15" hidden="1" x14ac:dyDescent="0.25">
      <c r="A254" s="499" t="e">
        <f t="shared" si="7"/>
        <v>#N/A</v>
      </c>
      <c r="B254" s="518" t="s">
        <v>684</v>
      </c>
      <c r="C254" s="518" t="s">
        <v>692</v>
      </c>
      <c r="D254" s="42"/>
      <c r="E254" s="42"/>
      <c r="F254" s="42"/>
      <c r="G254" s="42"/>
      <c r="H254" s="42"/>
      <c r="I254" s="42"/>
      <c r="J254" s="624"/>
      <c r="K254" s="624"/>
      <c r="L254" s="622"/>
      <c r="M254" s="622"/>
      <c r="N254" s="74"/>
      <c r="O254" s="74"/>
    </row>
    <row r="255" spans="1:15" hidden="1" x14ac:dyDescent="0.25">
      <c r="A255" s="499" t="e">
        <f t="shared" si="7"/>
        <v>#N/A</v>
      </c>
      <c r="B255" s="518" t="s">
        <v>684</v>
      </c>
      <c r="C255" s="518" t="s">
        <v>692</v>
      </c>
      <c r="D255" s="42"/>
      <c r="E255" s="42"/>
      <c r="F255" s="42"/>
      <c r="G255" s="42"/>
      <c r="H255" s="42"/>
      <c r="I255" s="42"/>
      <c r="J255" s="624"/>
      <c r="K255" s="624"/>
      <c r="L255" s="622"/>
      <c r="M255" s="622"/>
      <c r="N255" s="74"/>
      <c r="O255" s="74"/>
    </row>
    <row r="256" spans="1:15" hidden="1" x14ac:dyDescent="0.25">
      <c r="A256" s="499" t="e">
        <f t="shared" si="7"/>
        <v>#N/A</v>
      </c>
      <c r="B256" s="518" t="s">
        <v>684</v>
      </c>
      <c r="C256" s="518" t="s">
        <v>692</v>
      </c>
      <c r="D256" s="42"/>
      <c r="E256" s="42"/>
      <c r="F256" s="42"/>
      <c r="G256" s="42"/>
      <c r="H256" s="42"/>
      <c r="I256" s="42"/>
      <c r="J256" s="624"/>
      <c r="K256" s="624"/>
      <c r="L256" s="622"/>
      <c r="M256" s="622"/>
      <c r="N256" s="74"/>
      <c r="O256" s="74"/>
    </row>
    <row r="257" spans="1:15" hidden="1" x14ac:dyDescent="0.25">
      <c r="A257" s="499" t="e">
        <f t="shared" si="7"/>
        <v>#N/A</v>
      </c>
      <c r="B257" s="518" t="s">
        <v>684</v>
      </c>
      <c r="C257" s="518" t="s">
        <v>692</v>
      </c>
      <c r="D257" s="42"/>
      <c r="E257" s="42"/>
      <c r="F257" s="42"/>
      <c r="G257" s="42"/>
      <c r="H257" s="42"/>
      <c r="I257" s="42"/>
      <c r="J257" s="624"/>
      <c r="K257" s="624"/>
      <c r="L257" s="622"/>
      <c r="M257" s="622"/>
      <c r="N257" s="74"/>
      <c r="O257" s="74"/>
    </row>
    <row r="258" spans="1:15" hidden="1" x14ac:dyDescent="0.25">
      <c r="A258" s="499" t="e">
        <f t="shared" si="7"/>
        <v>#N/A</v>
      </c>
      <c r="B258" s="518" t="s">
        <v>684</v>
      </c>
      <c r="C258" s="518" t="s">
        <v>692</v>
      </c>
      <c r="D258" s="42"/>
      <c r="E258" s="42"/>
      <c r="F258" s="42"/>
      <c r="G258" s="42"/>
      <c r="H258" s="42"/>
      <c r="I258" s="42"/>
      <c r="J258" s="624"/>
      <c r="K258" s="624"/>
      <c r="L258" s="622"/>
      <c r="M258" s="622"/>
      <c r="N258" s="74"/>
      <c r="O258" s="74"/>
    </row>
    <row r="259" spans="1:15" hidden="1" x14ac:dyDescent="0.25">
      <c r="A259" s="499" t="e">
        <f t="shared" si="7"/>
        <v>#N/A</v>
      </c>
      <c r="B259" s="518" t="s">
        <v>684</v>
      </c>
      <c r="C259" s="518" t="s">
        <v>692</v>
      </c>
      <c r="D259" s="42"/>
      <c r="E259" s="42"/>
      <c r="F259" s="42"/>
      <c r="G259" s="42"/>
      <c r="H259" s="42"/>
      <c r="I259" s="42"/>
      <c r="J259" s="624"/>
      <c r="K259" s="624"/>
      <c r="L259" s="622"/>
      <c r="M259" s="622"/>
      <c r="N259" s="74"/>
      <c r="O259" s="74"/>
    </row>
    <row r="260" spans="1:15" hidden="1" x14ac:dyDescent="0.25">
      <c r="A260" s="499" t="e">
        <f t="shared" si="7"/>
        <v>#N/A</v>
      </c>
      <c r="B260" s="518" t="s">
        <v>684</v>
      </c>
      <c r="C260" s="518" t="s">
        <v>692</v>
      </c>
      <c r="D260" s="42"/>
      <c r="E260" s="42"/>
      <c r="F260" s="42"/>
      <c r="G260" s="42"/>
      <c r="H260" s="42"/>
      <c r="I260" s="42"/>
      <c r="J260" s="624"/>
      <c r="K260" s="624"/>
      <c r="L260" s="622"/>
      <c r="M260" s="622"/>
      <c r="N260" s="74"/>
      <c r="O260" s="74"/>
    </row>
    <row r="261" spans="1:15" hidden="1" x14ac:dyDescent="0.25">
      <c r="A261" s="499" t="e">
        <f t="shared" si="7"/>
        <v>#N/A</v>
      </c>
      <c r="B261" s="518" t="s">
        <v>684</v>
      </c>
      <c r="C261" s="518" t="s">
        <v>692</v>
      </c>
      <c r="D261" s="42"/>
      <c r="E261" s="42"/>
      <c r="F261" s="42"/>
      <c r="G261" s="42"/>
      <c r="H261" s="42"/>
      <c r="I261" s="42"/>
      <c r="J261" s="624"/>
      <c r="K261" s="624"/>
      <c r="L261" s="622"/>
      <c r="M261" s="622"/>
      <c r="N261" s="74"/>
      <c r="O261" s="74"/>
    </row>
    <row r="262" spans="1:15" hidden="1" x14ac:dyDescent="0.25">
      <c r="A262" s="499" t="e">
        <f t="shared" si="7"/>
        <v>#N/A</v>
      </c>
      <c r="B262" s="518" t="s">
        <v>684</v>
      </c>
      <c r="C262" s="518" t="s">
        <v>692</v>
      </c>
      <c r="D262" s="42"/>
      <c r="E262" s="42"/>
      <c r="F262" s="42"/>
      <c r="G262" s="42"/>
      <c r="H262" s="42"/>
      <c r="I262" s="42"/>
      <c r="J262" s="624"/>
      <c r="K262" s="624"/>
      <c r="L262" s="622"/>
      <c r="M262" s="622"/>
      <c r="N262" s="74"/>
      <c r="O262" s="74"/>
    </row>
    <row r="263" spans="1:15" hidden="1" x14ac:dyDescent="0.25">
      <c r="A263" s="499" t="e">
        <f t="shared" si="7"/>
        <v>#N/A</v>
      </c>
      <c r="B263" s="518" t="s">
        <v>684</v>
      </c>
      <c r="C263" s="518" t="s">
        <v>692</v>
      </c>
      <c r="D263" s="42"/>
      <c r="E263" s="42"/>
      <c r="F263" s="42"/>
      <c r="G263" s="42"/>
      <c r="H263" s="42"/>
      <c r="I263" s="42"/>
      <c r="J263" s="624"/>
      <c r="K263" s="624"/>
      <c r="L263" s="622"/>
      <c r="M263" s="622"/>
      <c r="N263" s="74"/>
      <c r="O263" s="74"/>
    </row>
    <row r="264" spans="1:15" hidden="1" x14ac:dyDescent="0.25">
      <c r="A264" s="499" t="e">
        <f t="shared" si="7"/>
        <v>#N/A</v>
      </c>
      <c r="B264" s="518" t="s">
        <v>684</v>
      </c>
      <c r="C264" s="518" t="s">
        <v>692</v>
      </c>
      <c r="D264" s="42"/>
      <c r="E264" s="42"/>
      <c r="F264" s="42"/>
      <c r="G264" s="42"/>
      <c r="H264" s="42"/>
      <c r="I264" s="42"/>
      <c r="J264" s="624"/>
      <c r="K264" s="624"/>
      <c r="L264" s="622"/>
      <c r="M264" s="622"/>
      <c r="N264" s="74"/>
      <c r="O264" s="74"/>
    </row>
    <row r="265" spans="1:15" hidden="1" x14ac:dyDescent="0.25">
      <c r="A265" s="499" t="e">
        <f t="shared" si="7"/>
        <v>#N/A</v>
      </c>
      <c r="B265" s="518" t="s">
        <v>684</v>
      </c>
      <c r="C265" s="518" t="s">
        <v>692</v>
      </c>
      <c r="D265" s="42"/>
      <c r="E265" s="42"/>
      <c r="F265" s="42"/>
      <c r="G265" s="42"/>
      <c r="H265" s="42"/>
      <c r="I265" s="42"/>
      <c r="J265" s="624"/>
      <c r="K265" s="624"/>
      <c r="L265" s="622"/>
      <c r="M265" s="622"/>
      <c r="N265" s="74"/>
      <c r="O265" s="74"/>
    </row>
    <row r="266" spans="1:15" hidden="1" x14ac:dyDescent="0.25">
      <c r="A266" s="499" t="e">
        <f t="shared" si="7"/>
        <v>#N/A</v>
      </c>
      <c r="B266" s="518" t="s">
        <v>684</v>
      </c>
      <c r="C266" s="518" t="s">
        <v>692</v>
      </c>
      <c r="D266" s="42"/>
      <c r="E266" s="42"/>
      <c r="F266" s="42"/>
      <c r="G266" s="42"/>
      <c r="H266" s="42"/>
      <c r="I266" s="42"/>
      <c r="J266" s="624"/>
      <c r="K266" s="624"/>
      <c r="L266" s="622"/>
      <c r="M266" s="622"/>
      <c r="N266" s="74"/>
      <c r="O266" s="74"/>
    </row>
    <row r="267" spans="1:15" hidden="1" x14ac:dyDescent="0.25">
      <c r="A267" s="499" t="e">
        <f t="shared" si="7"/>
        <v>#N/A</v>
      </c>
      <c r="B267" s="518" t="s">
        <v>684</v>
      </c>
      <c r="C267" s="518" t="s">
        <v>692</v>
      </c>
      <c r="D267" s="42"/>
      <c r="E267" s="42"/>
      <c r="F267" s="42"/>
      <c r="G267" s="42"/>
      <c r="H267" s="42"/>
      <c r="I267" s="42"/>
      <c r="J267" s="624"/>
      <c r="K267" s="624"/>
      <c r="L267" s="622"/>
      <c r="M267" s="622"/>
      <c r="N267" s="74"/>
      <c r="O267" s="74"/>
    </row>
    <row r="268" spans="1:15" hidden="1" x14ac:dyDescent="0.25">
      <c r="A268" s="499" t="e">
        <f t="shared" si="7"/>
        <v>#N/A</v>
      </c>
      <c r="B268" s="518" t="s">
        <v>684</v>
      </c>
      <c r="C268" s="518" t="s">
        <v>692</v>
      </c>
      <c r="D268" s="42"/>
      <c r="E268" s="42"/>
      <c r="F268" s="42"/>
      <c r="G268" s="42"/>
      <c r="H268" s="42"/>
      <c r="I268" s="42"/>
      <c r="J268" s="624"/>
      <c r="K268" s="624"/>
      <c r="L268" s="622"/>
      <c r="M268" s="622"/>
      <c r="N268" s="74"/>
      <c r="O268" s="74"/>
    </row>
    <row r="269" spans="1:15" hidden="1" x14ac:dyDescent="0.25">
      <c r="A269" s="499" t="e">
        <f t="shared" si="7"/>
        <v>#N/A</v>
      </c>
      <c r="B269" s="518" t="s">
        <v>684</v>
      </c>
      <c r="C269" s="518" t="s">
        <v>692</v>
      </c>
      <c r="D269" s="42"/>
      <c r="E269" s="42"/>
      <c r="F269" s="42"/>
      <c r="G269" s="42"/>
      <c r="H269" s="42"/>
      <c r="I269" s="42"/>
      <c r="J269" s="624"/>
      <c r="K269" s="624"/>
      <c r="L269" s="622"/>
      <c r="M269" s="622"/>
      <c r="N269" s="74"/>
      <c r="O269" s="74"/>
    </row>
    <row r="270" spans="1:15" hidden="1" x14ac:dyDescent="0.25">
      <c r="A270" s="499" t="e">
        <f t="shared" si="7"/>
        <v>#N/A</v>
      </c>
      <c r="B270" s="518" t="s">
        <v>684</v>
      </c>
      <c r="C270" s="518" t="s">
        <v>692</v>
      </c>
      <c r="D270" s="42"/>
      <c r="E270" s="42"/>
      <c r="F270" s="42"/>
      <c r="G270" s="42"/>
      <c r="H270" s="42"/>
      <c r="I270" s="42"/>
      <c r="J270" s="624"/>
      <c r="K270" s="624"/>
      <c r="L270" s="622"/>
      <c r="M270" s="622"/>
      <c r="N270" s="74"/>
      <c r="O270" s="74"/>
    </row>
    <row r="271" spans="1:15" hidden="1" x14ac:dyDescent="0.25">
      <c r="A271" s="499" t="e">
        <f t="shared" si="7"/>
        <v>#N/A</v>
      </c>
      <c r="B271" s="518" t="s">
        <v>684</v>
      </c>
      <c r="C271" s="518" t="s">
        <v>692</v>
      </c>
      <c r="D271" s="42"/>
      <c r="E271" s="42"/>
      <c r="F271" s="42"/>
      <c r="G271" s="42"/>
      <c r="H271" s="42"/>
      <c r="I271" s="42"/>
      <c r="J271" s="624"/>
      <c r="K271" s="624"/>
      <c r="L271" s="622"/>
      <c r="M271" s="622"/>
      <c r="N271" s="74"/>
      <c r="O271" s="74"/>
    </row>
    <row r="272" spans="1:15" hidden="1" x14ac:dyDescent="0.25">
      <c r="A272" s="499" t="e">
        <f t="shared" si="7"/>
        <v>#N/A</v>
      </c>
      <c r="B272" s="518" t="s">
        <v>684</v>
      </c>
      <c r="C272" s="518" t="s">
        <v>692</v>
      </c>
      <c r="D272" s="42"/>
      <c r="E272" s="42"/>
      <c r="F272" s="42"/>
      <c r="G272" s="42"/>
      <c r="H272" s="42"/>
      <c r="I272" s="42"/>
      <c r="J272" s="624"/>
      <c r="K272" s="624"/>
      <c r="L272" s="622"/>
      <c r="M272" s="622"/>
      <c r="N272" s="74"/>
      <c r="O272" s="74"/>
    </row>
    <row r="273" spans="1:18" hidden="1" x14ac:dyDescent="0.25">
      <c r="A273" s="499" t="e">
        <f t="shared" si="7"/>
        <v>#N/A</v>
      </c>
      <c r="B273" s="518" t="s">
        <v>684</v>
      </c>
      <c r="C273" s="518" t="s">
        <v>692</v>
      </c>
      <c r="D273" s="42"/>
      <c r="E273" s="42"/>
      <c r="F273" s="42"/>
      <c r="G273" s="42"/>
      <c r="H273" s="42"/>
      <c r="I273" s="42"/>
      <c r="J273" s="624"/>
      <c r="K273" s="624"/>
      <c r="L273" s="622"/>
      <c r="M273" s="622"/>
      <c r="N273" s="74"/>
      <c r="O273" s="74"/>
    </row>
    <row r="274" spans="1:18" hidden="1" x14ac:dyDescent="0.25">
      <c r="A274" s="499" t="e">
        <f t="shared" si="7"/>
        <v>#N/A</v>
      </c>
      <c r="B274" s="518" t="s">
        <v>684</v>
      </c>
      <c r="C274" s="518" t="s">
        <v>692</v>
      </c>
      <c r="D274" s="42"/>
      <c r="E274" s="42"/>
      <c r="F274" s="42"/>
      <c r="G274" s="42"/>
      <c r="H274" s="42"/>
      <c r="I274" s="42"/>
      <c r="J274" s="624"/>
      <c r="K274" s="624"/>
      <c r="L274" s="622"/>
      <c r="M274" s="622"/>
      <c r="N274" s="74"/>
      <c r="O274" s="74"/>
    </row>
    <row r="275" spans="1:18" hidden="1" x14ac:dyDescent="0.25">
      <c r="A275" s="499" t="e">
        <f t="shared" si="7"/>
        <v>#N/A</v>
      </c>
      <c r="B275" s="518" t="s">
        <v>684</v>
      </c>
      <c r="C275" s="518" t="s">
        <v>692</v>
      </c>
      <c r="D275" s="42"/>
      <c r="E275" s="42"/>
      <c r="F275" s="42"/>
      <c r="G275" s="42"/>
      <c r="H275" s="42"/>
      <c r="I275" s="42"/>
      <c r="J275" s="624"/>
      <c r="K275" s="624"/>
      <c r="L275" s="622"/>
      <c r="M275" s="622"/>
      <c r="N275" s="74"/>
      <c r="O275" s="74"/>
    </row>
    <row r="276" spans="1:18" hidden="1" x14ac:dyDescent="0.25">
      <c r="A276" s="499" t="e">
        <f t="shared" si="7"/>
        <v>#N/A</v>
      </c>
      <c r="B276" s="518" t="s">
        <v>684</v>
      </c>
      <c r="C276" s="518" t="s">
        <v>692</v>
      </c>
      <c r="D276" s="42"/>
      <c r="E276" s="42"/>
      <c r="F276" s="42"/>
      <c r="G276" s="42"/>
      <c r="H276" s="42"/>
      <c r="I276" s="42"/>
      <c r="J276" s="624"/>
      <c r="K276" s="624"/>
      <c r="L276" s="622"/>
      <c r="M276" s="622"/>
      <c r="N276" s="74"/>
      <c r="O276" s="74"/>
    </row>
    <row r="277" spans="1:18" hidden="1" x14ac:dyDescent="0.25">
      <c r="A277" s="499" t="e">
        <f t="shared" si="7"/>
        <v>#N/A</v>
      </c>
      <c r="B277" s="518" t="s">
        <v>684</v>
      </c>
      <c r="C277" s="518" t="s">
        <v>692</v>
      </c>
      <c r="D277" s="42"/>
      <c r="E277" s="42"/>
      <c r="F277" s="42"/>
      <c r="G277" s="42"/>
      <c r="H277" s="42"/>
      <c r="I277" s="42"/>
      <c r="J277" s="624"/>
      <c r="K277" s="624"/>
      <c r="L277" s="622"/>
      <c r="M277" s="622"/>
      <c r="N277" s="74"/>
      <c r="O277" s="74"/>
    </row>
    <row r="278" spans="1:18" ht="15.75" hidden="1" thickBot="1" x14ac:dyDescent="0.3">
      <c r="A278" s="499" t="e">
        <f t="shared" si="7"/>
        <v>#N/A</v>
      </c>
      <c r="B278" s="518" t="s">
        <v>684</v>
      </c>
      <c r="C278" s="518" t="s">
        <v>692</v>
      </c>
      <c r="D278" s="42"/>
      <c r="E278" s="42"/>
      <c r="F278" s="42"/>
      <c r="G278" s="42"/>
      <c r="H278" s="42"/>
      <c r="I278" s="42"/>
      <c r="J278" s="624"/>
      <c r="K278" s="624"/>
      <c r="L278" s="622"/>
      <c r="M278" s="622"/>
      <c r="N278" s="74"/>
      <c r="O278" s="74"/>
    </row>
    <row r="279" spans="1:18" ht="15.75" thickBot="1" x14ac:dyDescent="0.3">
      <c r="A279" s="109"/>
      <c r="B279" s="110"/>
      <c r="C279" s="110"/>
      <c r="D279" s="111">
        <f>COUNTA(D28:D278)</f>
        <v>32</v>
      </c>
      <c r="E279" s="112"/>
      <c r="F279" s="112"/>
      <c r="G279" s="112"/>
      <c r="H279" s="113"/>
      <c r="I279" s="113"/>
      <c r="J279" s="112"/>
      <c r="K279" s="114">
        <f>SUM(K28:K278)</f>
        <v>385269</v>
      </c>
      <c r="L279" s="114">
        <f>SUM(L28:L278)</f>
        <v>381425.6</v>
      </c>
      <c r="M279" s="654">
        <f>SUM(M28:M278)</f>
        <v>325376.5</v>
      </c>
      <c r="N279" s="655">
        <f>SUM(N28:N278)</f>
        <v>316360.28666666662</v>
      </c>
      <c r="O279" s="654">
        <f>SUM(O28:O278)</f>
        <v>357727</v>
      </c>
      <c r="P279" s="125"/>
      <c r="Q279" s="125"/>
      <c r="R279" s="125"/>
    </row>
    <row r="280" spans="1:18" x14ac:dyDescent="0.25">
      <c r="A280" s="118"/>
      <c r="B280" s="318" t="s">
        <v>684</v>
      </c>
      <c r="C280" s="120" t="s">
        <v>692</v>
      </c>
      <c r="D280" s="319" t="s">
        <v>557</v>
      </c>
      <c r="E280" s="121"/>
      <c r="F280" s="121"/>
      <c r="G280" s="121"/>
      <c r="H280" s="121"/>
      <c r="I280" s="121"/>
      <c r="J280" s="121"/>
      <c r="K280" s="121"/>
      <c r="L280" s="316">
        <f t="shared" ref="L280:O301" si="8">SUMIF($D$28:$D$278,$D280,L$28:L$278)</f>
        <v>0</v>
      </c>
      <c r="M280" s="316">
        <f t="shared" si="8"/>
        <v>114</v>
      </c>
      <c r="N280" s="316">
        <f t="shared" si="8"/>
        <v>1000</v>
      </c>
      <c r="O280" s="316">
        <f t="shared" si="8"/>
        <v>1200</v>
      </c>
      <c r="P280" s="126"/>
      <c r="Q280" s="126"/>
      <c r="R280" s="126"/>
    </row>
    <row r="281" spans="1:18" x14ac:dyDescent="0.25">
      <c r="A281" s="122"/>
      <c r="B281" s="320" t="s">
        <v>684</v>
      </c>
      <c r="C281" s="123" t="s">
        <v>692</v>
      </c>
      <c r="D281" s="321" t="s">
        <v>565</v>
      </c>
      <c r="E281" s="124"/>
      <c r="F281" s="124"/>
      <c r="G281" s="124"/>
      <c r="H281" s="124"/>
      <c r="I281" s="124"/>
      <c r="J281" s="124"/>
      <c r="K281" s="124"/>
      <c r="L281" s="317">
        <f t="shared" si="8"/>
        <v>0</v>
      </c>
      <c r="M281" s="317">
        <f t="shared" si="8"/>
        <v>0</v>
      </c>
      <c r="N281" s="317">
        <f t="shared" si="8"/>
        <v>0</v>
      </c>
      <c r="O281" s="317">
        <f t="shared" si="8"/>
        <v>3500</v>
      </c>
      <c r="P281" s="126"/>
      <c r="Q281" s="126"/>
      <c r="R281" s="126"/>
    </row>
    <row r="282" spans="1:18" x14ac:dyDescent="0.25">
      <c r="A282" s="122"/>
      <c r="B282" s="320" t="s">
        <v>684</v>
      </c>
      <c r="C282" s="123" t="s">
        <v>692</v>
      </c>
      <c r="D282" s="321" t="s">
        <v>548</v>
      </c>
      <c r="E282" s="124"/>
      <c r="F282" s="124"/>
      <c r="G282" s="124"/>
      <c r="H282" s="124"/>
      <c r="I282" s="124"/>
      <c r="J282" s="124"/>
      <c r="K282" s="124"/>
      <c r="L282" s="317">
        <f t="shared" si="8"/>
        <v>0</v>
      </c>
      <c r="M282" s="317">
        <f t="shared" si="8"/>
        <v>850</v>
      </c>
      <c r="N282" s="317">
        <f t="shared" si="8"/>
        <v>1000</v>
      </c>
      <c r="O282" s="317">
        <f t="shared" si="8"/>
        <v>6500</v>
      </c>
      <c r="P282" s="126"/>
      <c r="Q282" s="126"/>
      <c r="R282" s="126"/>
    </row>
    <row r="283" spans="1:18" x14ac:dyDescent="0.25">
      <c r="A283" s="122"/>
      <c r="B283" s="320" t="s">
        <v>684</v>
      </c>
      <c r="C283" s="123" t="s">
        <v>692</v>
      </c>
      <c r="D283" s="321" t="s">
        <v>555</v>
      </c>
      <c r="E283" s="124"/>
      <c r="F283" s="124"/>
      <c r="G283" s="124"/>
      <c r="H283" s="124"/>
      <c r="I283" s="124"/>
      <c r="J283" s="124"/>
      <c r="K283" s="124"/>
      <c r="L283" s="317">
        <f t="shared" si="8"/>
        <v>16047.6</v>
      </c>
      <c r="M283" s="317">
        <f t="shared" si="8"/>
        <v>15138</v>
      </c>
      <c r="N283" s="317">
        <f t="shared" si="8"/>
        <v>4692</v>
      </c>
      <c r="O283" s="317">
        <f t="shared" si="8"/>
        <v>4692</v>
      </c>
      <c r="P283" s="126"/>
      <c r="Q283" s="126"/>
      <c r="R283" s="126"/>
    </row>
    <row r="284" spans="1:18" x14ac:dyDescent="0.25">
      <c r="A284" s="122"/>
      <c r="B284" s="320" t="s">
        <v>684</v>
      </c>
      <c r="C284" s="123" t="s">
        <v>692</v>
      </c>
      <c r="D284" s="321" t="s">
        <v>554</v>
      </c>
      <c r="E284" s="124"/>
      <c r="F284" s="124"/>
      <c r="G284" s="124"/>
      <c r="H284" s="124"/>
      <c r="I284" s="124"/>
      <c r="J284" s="124"/>
      <c r="K284" s="124"/>
      <c r="L284" s="317">
        <f t="shared" si="8"/>
        <v>0</v>
      </c>
      <c r="M284" s="317">
        <f t="shared" si="8"/>
        <v>4800</v>
      </c>
      <c r="N284" s="317">
        <f t="shared" si="8"/>
        <v>2000</v>
      </c>
      <c r="O284" s="317">
        <f t="shared" si="8"/>
        <v>2100</v>
      </c>
      <c r="P284" s="126"/>
      <c r="Q284" s="126"/>
      <c r="R284" s="126"/>
    </row>
    <row r="285" spans="1:18" x14ac:dyDescent="0.25">
      <c r="A285" s="122"/>
      <c r="B285" s="320" t="s">
        <v>684</v>
      </c>
      <c r="C285" s="123" t="s">
        <v>692</v>
      </c>
      <c r="D285" s="321" t="s">
        <v>556</v>
      </c>
      <c r="E285" s="124"/>
      <c r="F285" s="124"/>
      <c r="G285" s="124"/>
      <c r="H285" s="124"/>
      <c r="I285" s="124"/>
      <c r="J285" s="124"/>
      <c r="K285" s="124"/>
      <c r="L285" s="317">
        <f t="shared" si="8"/>
        <v>64112</v>
      </c>
      <c r="M285" s="317">
        <f t="shared" si="8"/>
        <v>36256.25</v>
      </c>
      <c r="N285" s="317">
        <f t="shared" si="8"/>
        <v>21737.5</v>
      </c>
      <c r="O285" s="317">
        <f t="shared" si="8"/>
        <v>18000</v>
      </c>
      <c r="P285" s="126"/>
      <c r="Q285" s="126"/>
      <c r="R285" s="126"/>
    </row>
    <row r="286" spans="1:18" x14ac:dyDescent="0.25">
      <c r="A286" s="122"/>
      <c r="B286" s="320" t="s">
        <v>684</v>
      </c>
      <c r="C286" s="123" t="s">
        <v>692</v>
      </c>
      <c r="D286" s="321" t="s">
        <v>551</v>
      </c>
      <c r="E286" s="124"/>
      <c r="F286" s="124"/>
      <c r="G286" s="124"/>
      <c r="H286" s="124"/>
      <c r="I286" s="124"/>
      <c r="J286" s="124"/>
      <c r="K286" s="124"/>
      <c r="L286" s="317">
        <f t="shared" si="8"/>
        <v>27500</v>
      </c>
      <c r="M286" s="317">
        <f t="shared" si="8"/>
        <v>19300</v>
      </c>
      <c r="N286" s="317">
        <f t="shared" si="8"/>
        <v>25000</v>
      </c>
      <c r="O286" s="317">
        <f t="shared" si="8"/>
        <v>25000</v>
      </c>
      <c r="P286" s="126"/>
      <c r="Q286" s="126"/>
      <c r="R286" s="126"/>
    </row>
    <row r="287" spans="1:18" x14ac:dyDescent="0.25">
      <c r="A287" s="122"/>
      <c r="B287" s="320" t="s">
        <v>684</v>
      </c>
      <c r="C287" s="123" t="s">
        <v>692</v>
      </c>
      <c r="D287" s="321" t="s">
        <v>550</v>
      </c>
      <c r="E287" s="124"/>
      <c r="F287" s="124"/>
      <c r="G287" s="124"/>
      <c r="H287" s="124"/>
      <c r="I287" s="124"/>
      <c r="J287" s="124"/>
      <c r="K287" s="124"/>
      <c r="L287" s="317">
        <f t="shared" si="8"/>
        <v>75270</v>
      </c>
      <c r="M287" s="317">
        <f t="shared" si="8"/>
        <v>31326</v>
      </c>
      <c r="N287" s="317">
        <f t="shared" si="8"/>
        <v>34000</v>
      </c>
      <c r="O287" s="317">
        <f t="shared" si="8"/>
        <v>35000</v>
      </c>
      <c r="P287" s="126"/>
      <c r="Q287" s="126"/>
      <c r="R287" s="126"/>
    </row>
    <row r="288" spans="1:18" x14ac:dyDescent="0.25">
      <c r="A288" s="122"/>
      <c r="B288" s="320" t="s">
        <v>684</v>
      </c>
      <c r="C288" s="123" t="s">
        <v>692</v>
      </c>
      <c r="D288" s="321" t="s">
        <v>552</v>
      </c>
      <c r="E288" s="124"/>
      <c r="F288" s="124"/>
      <c r="G288" s="124"/>
      <c r="H288" s="124"/>
      <c r="I288" s="124"/>
      <c r="J288" s="124"/>
      <c r="K288" s="124"/>
      <c r="L288" s="317">
        <f t="shared" si="8"/>
        <v>128496</v>
      </c>
      <c r="M288" s="317">
        <f t="shared" si="8"/>
        <v>79165</v>
      </c>
      <c r="N288" s="317">
        <f t="shared" si="8"/>
        <v>64248</v>
      </c>
      <c r="O288" s="317">
        <f t="shared" si="8"/>
        <v>74000</v>
      </c>
      <c r="P288" s="126"/>
      <c r="Q288" s="126"/>
      <c r="R288" s="126"/>
    </row>
    <row r="289" spans="1:18" x14ac:dyDescent="0.25">
      <c r="A289" s="122"/>
      <c r="B289" s="320" t="s">
        <v>684</v>
      </c>
      <c r="C289" s="123" t="s">
        <v>692</v>
      </c>
      <c r="D289" s="321" t="s">
        <v>553</v>
      </c>
      <c r="E289" s="124"/>
      <c r="F289" s="124"/>
      <c r="G289" s="124"/>
      <c r="H289" s="124"/>
      <c r="I289" s="124"/>
      <c r="J289" s="124"/>
      <c r="K289" s="124"/>
      <c r="L289" s="317">
        <f t="shared" si="8"/>
        <v>0</v>
      </c>
      <c r="M289" s="317">
        <f t="shared" si="8"/>
        <v>11376.630000000001</v>
      </c>
      <c r="N289" s="317">
        <f t="shared" si="8"/>
        <v>12406</v>
      </c>
      <c r="O289" s="317">
        <f t="shared" si="8"/>
        <v>12500</v>
      </c>
      <c r="P289" s="126"/>
      <c r="Q289" s="126"/>
      <c r="R289" s="126"/>
    </row>
    <row r="290" spans="1:18" x14ac:dyDescent="0.25">
      <c r="A290" s="122"/>
      <c r="B290" s="320" t="s">
        <v>684</v>
      </c>
      <c r="C290" s="123" t="s">
        <v>692</v>
      </c>
      <c r="D290" s="321" t="s">
        <v>560</v>
      </c>
      <c r="E290" s="124"/>
      <c r="F290" s="124"/>
      <c r="G290" s="124"/>
      <c r="H290" s="124"/>
      <c r="I290" s="124"/>
      <c r="J290" s="124"/>
      <c r="K290" s="124"/>
      <c r="L290" s="317">
        <f t="shared" si="8"/>
        <v>0</v>
      </c>
      <c r="M290" s="317">
        <f t="shared" si="8"/>
        <v>6798.59</v>
      </c>
      <c r="N290" s="317">
        <f t="shared" si="8"/>
        <v>7500</v>
      </c>
      <c r="O290" s="317">
        <f t="shared" si="8"/>
        <v>7525</v>
      </c>
      <c r="P290" s="126"/>
      <c r="Q290" s="126"/>
      <c r="R290" s="126"/>
    </row>
    <row r="291" spans="1:18" x14ac:dyDescent="0.25">
      <c r="A291" s="122"/>
      <c r="B291" s="320" t="s">
        <v>684</v>
      </c>
      <c r="C291" s="123" t="s">
        <v>692</v>
      </c>
      <c r="D291" s="321" t="s">
        <v>558</v>
      </c>
      <c r="E291" s="124"/>
      <c r="F291" s="124"/>
      <c r="G291" s="124"/>
      <c r="H291" s="124"/>
      <c r="I291" s="124"/>
      <c r="J291" s="124"/>
      <c r="K291" s="124"/>
      <c r="L291" s="317">
        <f t="shared" si="8"/>
        <v>0</v>
      </c>
      <c r="M291" s="317">
        <f t="shared" si="8"/>
        <v>81.08</v>
      </c>
      <c r="N291" s="317">
        <f t="shared" si="8"/>
        <v>500</v>
      </c>
      <c r="O291" s="317">
        <f t="shared" si="8"/>
        <v>500</v>
      </c>
      <c r="P291" s="126"/>
      <c r="Q291" s="126"/>
      <c r="R291" s="126"/>
    </row>
    <row r="292" spans="1:18" x14ac:dyDescent="0.25">
      <c r="A292" s="122"/>
      <c r="B292" s="320" t="s">
        <v>684</v>
      </c>
      <c r="C292" s="123" t="s">
        <v>692</v>
      </c>
      <c r="D292" s="321" t="s">
        <v>562</v>
      </c>
      <c r="E292" s="124"/>
      <c r="F292" s="124"/>
      <c r="G292" s="124"/>
      <c r="H292" s="124"/>
      <c r="I292" s="124"/>
      <c r="J292" s="124"/>
      <c r="K292" s="124"/>
      <c r="L292" s="317">
        <f t="shared" si="8"/>
        <v>0</v>
      </c>
      <c r="M292" s="317">
        <f t="shared" si="8"/>
        <v>0</v>
      </c>
      <c r="N292" s="317">
        <f t="shared" si="8"/>
        <v>0</v>
      </c>
      <c r="O292" s="317">
        <f t="shared" si="8"/>
        <v>0</v>
      </c>
      <c r="P292" s="126"/>
      <c r="Q292" s="126"/>
      <c r="R292" s="126"/>
    </row>
    <row r="293" spans="1:18" x14ac:dyDescent="0.25">
      <c r="A293" s="122"/>
      <c r="B293" s="320" t="s">
        <v>684</v>
      </c>
      <c r="C293" s="123" t="s">
        <v>692</v>
      </c>
      <c r="D293" s="321" t="s">
        <v>563</v>
      </c>
      <c r="E293" s="124"/>
      <c r="F293" s="124"/>
      <c r="G293" s="124"/>
      <c r="H293" s="124"/>
      <c r="I293" s="124"/>
      <c r="J293" s="124"/>
      <c r="K293" s="124"/>
      <c r="L293" s="317">
        <f t="shared" si="8"/>
        <v>0</v>
      </c>
      <c r="M293" s="317">
        <f t="shared" si="8"/>
        <v>113</v>
      </c>
      <c r="N293" s="317">
        <f t="shared" si="8"/>
        <v>1764</v>
      </c>
      <c r="O293" s="317">
        <f t="shared" si="8"/>
        <v>8800</v>
      </c>
      <c r="P293" s="126"/>
      <c r="Q293" s="126"/>
      <c r="R293" s="126"/>
    </row>
    <row r="294" spans="1:18" x14ac:dyDescent="0.25">
      <c r="A294" s="122"/>
      <c r="B294" s="320" t="s">
        <v>684</v>
      </c>
      <c r="C294" s="123" t="s">
        <v>692</v>
      </c>
      <c r="D294" s="321" t="s">
        <v>564</v>
      </c>
      <c r="E294" s="124"/>
      <c r="F294" s="124"/>
      <c r="G294" s="124"/>
      <c r="H294" s="124"/>
      <c r="I294" s="124"/>
      <c r="J294" s="124"/>
      <c r="K294" s="124"/>
      <c r="L294" s="317">
        <f t="shared" si="8"/>
        <v>0</v>
      </c>
      <c r="M294" s="317">
        <f t="shared" si="8"/>
        <v>757</v>
      </c>
      <c r="N294" s="317">
        <f t="shared" si="8"/>
        <v>1500</v>
      </c>
      <c r="O294" s="317">
        <f t="shared" si="8"/>
        <v>12010</v>
      </c>
      <c r="P294" s="126"/>
      <c r="Q294" s="126"/>
      <c r="R294" s="126"/>
    </row>
    <row r="295" spans="1:18" x14ac:dyDescent="0.25">
      <c r="A295" s="122"/>
      <c r="B295" s="320" t="s">
        <v>684</v>
      </c>
      <c r="C295" s="123" t="s">
        <v>692</v>
      </c>
      <c r="D295" s="321" t="s">
        <v>549</v>
      </c>
      <c r="E295" s="124"/>
      <c r="F295" s="124"/>
      <c r="G295" s="124"/>
      <c r="H295" s="124"/>
      <c r="I295" s="124"/>
      <c r="J295" s="124"/>
      <c r="K295" s="124"/>
      <c r="L295" s="317">
        <f t="shared" si="8"/>
        <v>0</v>
      </c>
      <c r="M295" s="317">
        <f t="shared" si="8"/>
        <v>627</v>
      </c>
      <c r="N295" s="317">
        <f t="shared" si="8"/>
        <v>800</v>
      </c>
      <c r="O295" s="317">
        <f t="shared" si="8"/>
        <v>1500</v>
      </c>
      <c r="P295" s="126"/>
      <c r="Q295" s="126"/>
      <c r="R295" s="126"/>
    </row>
    <row r="296" spans="1:18" x14ac:dyDescent="0.25">
      <c r="A296" s="122"/>
      <c r="B296" s="320" t="s">
        <v>684</v>
      </c>
      <c r="C296" s="123" t="s">
        <v>692</v>
      </c>
      <c r="D296" s="321" t="s">
        <v>566</v>
      </c>
      <c r="E296" s="124"/>
      <c r="F296" s="124"/>
      <c r="G296" s="124"/>
      <c r="H296" s="124"/>
      <c r="I296" s="124"/>
      <c r="J296" s="124"/>
      <c r="K296" s="124"/>
      <c r="L296" s="317">
        <f t="shared" si="8"/>
        <v>70000</v>
      </c>
      <c r="M296" s="317">
        <f t="shared" si="8"/>
        <v>11176</v>
      </c>
      <c r="N296" s="317">
        <f t="shared" si="8"/>
        <v>12325</v>
      </c>
      <c r="O296" s="317">
        <f t="shared" si="8"/>
        <v>4900</v>
      </c>
      <c r="P296" s="126"/>
      <c r="Q296" s="126"/>
      <c r="R296" s="126"/>
    </row>
    <row r="297" spans="1:18" x14ac:dyDescent="0.25">
      <c r="A297" s="122"/>
      <c r="B297" s="320" t="s">
        <v>684</v>
      </c>
      <c r="C297" s="123" t="s">
        <v>692</v>
      </c>
      <c r="D297" s="321" t="s">
        <v>568</v>
      </c>
      <c r="E297" s="124"/>
      <c r="F297" s="124"/>
      <c r="G297" s="124"/>
      <c r="H297" s="124"/>
      <c r="I297" s="124"/>
      <c r="J297" s="124"/>
      <c r="K297" s="124"/>
      <c r="L297" s="317">
        <f t="shared" si="8"/>
        <v>0</v>
      </c>
      <c r="M297" s="317">
        <f t="shared" si="8"/>
        <v>85746.72</v>
      </c>
      <c r="N297" s="317">
        <f t="shared" si="8"/>
        <v>105000</v>
      </c>
      <c r="O297" s="317">
        <f t="shared" si="8"/>
        <v>117000</v>
      </c>
      <c r="P297" s="126"/>
      <c r="Q297" s="126"/>
      <c r="R297" s="126"/>
    </row>
    <row r="298" spans="1:18" x14ac:dyDescent="0.25">
      <c r="A298" s="122"/>
      <c r="B298" s="320" t="s">
        <v>684</v>
      </c>
      <c r="C298" s="123" t="s">
        <v>692</v>
      </c>
      <c r="D298" s="321" t="s">
        <v>569</v>
      </c>
      <c r="E298" s="124"/>
      <c r="F298" s="124"/>
      <c r="G298" s="124"/>
      <c r="H298" s="124"/>
      <c r="I298" s="124"/>
      <c r="J298" s="124"/>
      <c r="K298" s="124"/>
      <c r="L298" s="317">
        <f t="shared" si="8"/>
        <v>0</v>
      </c>
      <c r="M298" s="317">
        <f t="shared" si="8"/>
        <v>11760.39</v>
      </c>
      <c r="N298" s="317">
        <f t="shared" si="8"/>
        <v>13000</v>
      </c>
      <c r="O298" s="317">
        <f t="shared" si="8"/>
        <v>15800</v>
      </c>
      <c r="P298" s="126"/>
      <c r="Q298" s="126"/>
      <c r="R298" s="126"/>
    </row>
    <row r="299" spans="1:18" x14ac:dyDescent="0.25">
      <c r="A299" s="122"/>
      <c r="B299" s="320" t="s">
        <v>684</v>
      </c>
      <c r="C299" s="123" t="s">
        <v>692</v>
      </c>
      <c r="D299" s="321" t="s">
        <v>567</v>
      </c>
      <c r="E299" s="124"/>
      <c r="F299" s="124"/>
      <c r="G299" s="124"/>
      <c r="H299" s="124"/>
      <c r="I299" s="124"/>
      <c r="J299" s="124"/>
      <c r="K299" s="124"/>
      <c r="L299" s="317">
        <f t="shared" si="8"/>
        <v>0</v>
      </c>
      <c r="M299" s="317">
        <f t="shared" si="8"/>
        <v>3815.84</v>
      </c>
      <c r="N299" s="317">
        <f t="shared" si="8"/>
        <v>5087.7866666666669</v>
      </c>
      <c r="O299" s="317">
        <f t="shared" si="8"/>
        <v>5000</v>
      </c>
      <c r="P299" s="126"/>
      <c r="Q299" s="126"/>
      <c r="R299" s="126"/>
    </row>
    <row r="300" spans="1:18" x14ac:dyDescent="0.25">
      <c r="A300" s="122"/>
      <c r="B300" s="320" t="s">
        <v>684</v>
      </c>
      <c r="C300" s="123" t="s">
        <v>692</v>
      </c>
      <c r="D300" s="321" t="s">
        <v>559</v>
      </c>
      <c r="E300" s="124"/>
      <c r="F300" s="124"/>
      <c r="G300" s="124"/>
      <c r="H300" s="124"/>
      <c r="I300" s="124"/>
      <c r="J300" s="124"/>
      <c r="K300" s="124"/>
      <c r="L300" s="317">
        <f t="shared" si="8"/>
        <v>0</v>
      </c>
      <c r="M300" s="317">
        <f t="shared" si="8"/>
        <v>6175</v>
      </c>
      <c r="N300" s="317">
        <f t="shared" si="8"/>
        <v>800</v>
      </c>
      <c r="O300" s="317">
        <f t="shared" si="8"/>
        <v>1200</v>
      </c>
      <c r="P300" s="126"/>
      <c r="Q300" s="126"/>
      <c r="R300" s="126"/>
    </row>
    <row r="301" spans="1:18" x14ac:dyDescent="0.25">
      <c r="A301" s="122"/>
      <c r="B301" s="320" t="s">
        <v>684</v>
      </c>
      <c r="C301" s="123" t="s">
        <v>692</v>
      </c>
      <c r="D301" s="321" t="s">
        <v>561</v>
      </c>
      <c r="E301" s="124"/>
      <c r="F301" s="124"/>
      <c r="G301" s="124"/>
      <c r="H301" s="124"/>
      <c r="I301" s="124"/>
      <c r="J301" s="124"/>
      <c r="K301" s="124"/>
      <c r="L301" s="317">
        <f t="shared" si="8"/>
        <v>0</v>
      </c>
      <c r="M301" s="317">
        <f t="shared" si="8"/>
        <v>0</v>
      </c>
      <c r="N301" s="317">
        <f t="shared" si="8"/>
        <v>2000</v>
      </c>
      <c r="O301" s="317">
        <f t="shared" si="8"/>
        <v>1000</v>
      </c>
      <c r="P301" s="126"/>
      <c r="Q301" s="126"/>
      <c r="R301" s="126"/>
    </row>
    <row r="305" spans="1:16" customFormat="1" ht="12.75" x14ac:dyDescent="0.2">
      <c r="A305" s="36" t="s">
        <v>376</v>
      </c>
      <c r="B305" s="36"/>
      <c r="E305" s="36"/>
      <c r="F305" s="36"/>
    </row>
    <row r="306" spans="1:16" customFormat="1" ht="12.75" x14ac:dyDescent="0.2"/>
    <row r="307" spans="1:16" customFormat="1" ht="12.75" x14ac:dyDescent="0.2">
      <c r="A307" s="1" t="s">
        <v>377</v>
      </c>
      <c r="B307" s="1"/>
      <c r="E307" s="1"/>
      <c r="F307" s="1"/>
    </row>
    <row r="308" spans="1:16" customFormat="1" ht="12.75" x14ac:dyDescent="0.2">
      <c r="A308" s="1" t="s">
        <v>378</v>
      </c>
      <c r="B308" s="1"/>
      <c r="E308" s="1"/>
      <c r="F308" s="1"/>
    </row>
    <row r="309" spans="1:16" customFormat="1" ht="12.75" x14ac:dyDescent="0.2"/>
    <row r="310" spans="1:16" customFormat="1" ht="12.75" x14ac:dyDescent="0.2"/>
    <row r="311" spans="1:16" customFormat="1" ht="12.75" x14ac:dyDescent="0.2"/>
    <row r="312" spans="1:16" customFormat="1" ht="12.75" x14ac:dyDescent="0.2"/>
    <row r="313" spans="1:16" customFormat="1" ht="12.75" x14ac:dyDescent="0.2"/>
    <row r="314" spans="1:16" customFormat="1" ht="12.75" x14ac:dyDescent="0.2"/>
    <row r="315" spans="1:16" customFormat="1" ht="12.75" x14ac:dyDescent="0.2">
      <c r="A315" s="36" t="s">
        <v>380</v>
      </c>
      <c r="D315" s="39" t="s">
        <v>381</v>
      </c>
      <c r="G315" s="39" t="s">
        <v>382</v>
      </c>
      <c r="L315" s="39"/>
      <c r="M315" s="39"/>
      <c r="N315" s="39"/>
      <c r="O315" s="39"/>
      <c r="P315" s="39"/>
    </row>
    <row r="316" spans="1:16" customFormat="1" ht="12.75" x14ac:dyDescent="0.2">
      <c r="A316" s="1" t="s">
        <v>377</v>
      </c>
    </row>
    <row r="317" spans="1:16" customFormat="1" ht="12.75" x14ac:dyDescent="0.2">
      <c r="A317" s="1" t="s">
        <v>378</v>
      </c>
    </row>
    <row r="318" spans="1:16" customFormat="1" ht="12.75" x14ac:dyDescent="0.2"/>
  </sheetData>
  <autoFilter ref="A27:O301"/>
  <sortState ref="A28:O58">
    <sortCondition ref="B28:B58"/>
    <sortCondition ref="C28:C58"/>
  </sortState>
  <dataValidations count="11">
    <dataValidation allowBlank="1" showInputMessage="1" showErrorMessage="1" promptTitle="Old Contractor" prompt="Enter the old contractor's name if applicable." sqref="D279"/>
    <dataValidation allowBlank="1" showInputMessage="1" showErrorMessage="1" promptTitle="Description/Purpose" prompt="Enter a short description and purpose for the service." sqref="E28:E278"/>
    <dataValidation allowBlank="1" showInputMessage="1" showErrorMessage="1" promptTitle="Contractor/Provider" prompt="Enter the old contractor's name if applicable." sqref="H28:H278"/>
    <dataValidation allowBlank="1" showInputMessage="1" showErrorMessage="1" promptTitle="Contract End Date" prompt="Enter the Contract End Date" sqref="I279 K28:K278"/>
    <dataValidation allowBlank="1" showInputMessage="1" showErrorMessage="1" promptTitle="Contract Start Date" prompt="Enter the Contract Start Date." sqref="H279 J28:J278"/>
    <dataValidation type="list" allowBlank="1" showInputMessage="1" showErrorMessage="1" errorTitle="Error" error="You must choose Yes or No." promptTitle="Existing Contract" prompt="Yes or No" sqref="J279">
      <formula1>Existing</formula1>
    </dataValidation>
    <dataValidation type="list" allowBlank="1" showInputMessage="1" showErrorMessage="1" errorTitle="Error" error="You must choose a funding source from the list." promptTitle="Funding Source" prompt="Choose the appropriate funding source." sqref="C28:C129">
      <formula1>Funding</formula1>
    </dataValidation>
    <dataValidation type="list" allowBlank="1" showInputMessage="1" showErrorMessage="1" errorTitle="Error" error="You must select a choice from the list." promptTitle="Type of Service/Supplies" prompt="Please select the type of building supplies or services from the list." sqref="D28:D278">
      <formula1>BuildingExpenses</formula1>
    </dataValidation>
    <dataValidation type="list" errorStyle="warning" allowBlank="1" showInputMessage="1" showErrorMessage="1" errorTitle="Warning" error="Choose the appropriate option." promptTitle="Existing/State Contract" prompt="Select the most appropriate answer. If there is an existing LHC contract, enter the contract number (see Sharepoint)." sqref="G28:G278">
      <formula1>ContractStatus</formula1>
    </dataValidation>
    <dataValidation type="list" allowBlank="1" showInputMessage="1" showErrorMessage="1" errorTitle="Error" error="You must choose a budget unit from the list." promptTitle="Budget Unit" prompt="Choose the appropriate budget unit. Env Review has been combined with Compliance and Facilities/Fleet has been combined with Operations Admin." sqref="B28:B278">
      <formula1>Budgets</formula1>
    </dataValidation>
    <dataValidation type="list" allowBlank="1" showInputMessage="1" showErrorMessage="1" promptTitle="Location" prompt="Choose the appropriate location for the good or service." sqref="F28:F278">
      <formula1>Location</formula1>
    </dataValidation>
  </dataValidations>
  <printOptions horizontalCentered="1"/>
  <pageMargins left="0.5" right="0.5" top="1" bottom="0.5" header="0.5" footer="0.5"/>
  <pageSetup scale="65"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613"/>
  <sheetViews>
    <sheetView zoomScale="75" zoomScaleNormal="75" zoomScaleSheetLayoutView="100" workbookViewId="0">
      <pane xSplit="1" ySplit="27" topLeftCell="B28" activePane="bottomRight" state="frozen"/>
      <selection activeCell="F24" sqref="F24"/>
      <selection pane="topRight" activeCell="F24" sqref="F24"/>
      <selection pane="bottomLeft" activeCell="F24" sqref="F24"/>
      <selection pane="bottomRight" activeCell="G37" sqref="G37"/>
    </sheetView>
  </sheetViews>
  <sheetFormatPr defaultRowHeight="15" x14ac:dyDescent="0.25"/>
  <cols>
    <col min="1" max="1" width="8.7109375" style="4" customWidth="1"/>
    <col min="2" max="2" width="17.140625" style="3" customWidth="1"/>
    <col min="3" max="3" width="19.42578125" style="3" customWidth="1"/>
    <col min="4" max="4" width="26.140625" style="4" customWidth="1"/>
    <col min="5" max="5" width="42.7109375" style="4" customWidth="1"/>
    <col min="6" max="6" width="16.28515625" style="4" customWidth="1"/>
    <col min="7" max="7" width="23.28515625" style="4" customWidth="1"/>
    <col min="8" max="8" width="19.85546875" style="4" customWidth="1"/>
    <col min="9" max="9" width="14" style="4" customWidth="1"/>
    <col min="10" max="10" width="13.5703125" style="4" customWidth="1"/>
    <col min="11" max="11" width="14.28515625" style="4" hidden="1" customWidth="1"/>
    <col min="12" max="12" width="14.5703125" style="4" hidden="1" customWidth="1"/>
    <col min="13" max="13" width="14.140625" style="4" hidden="1" customWidth="1"/>
    <col min="14" max="14" width="15.28515625" style="4" customWidth="1"/>
    <col min="15" max="20" width="9.140625" style="4" customWidth="1"/>
    <col min="21" max="16384" width="9.140625" style="4"/>
  </cols>
  <sheetData>
    <row r="1" spans="1:18" ht="19.5" thickBot="1" x14ac:dyDescent="0.35">
      <c r="B1" s="27" t="s">
        <v>524</v>
      </c>
      <c r="D1" s="3"/>
      <c r="E1" s="3"/>
      <c r="F1" s="3"/>
      <c r="G1" s="3"/>
      <c r="H1" s="3"/>
      <c r="I1" s="3"/>
      <c r="J1" s="3"/>
      <c r="K1" s="3"/>
      <c r="L1" s="3"/>
      <c r="M1" s="3"/>
      <c r="N1" s="3"/>
    </row>
    <row r="2" spans="1:18" ht="33" thickBot="1" x14ac:dyDescent="0.35">
      <c r="A2" s="27"/>
      <c r="D2" s="3"/>
      <c r="F2" s="744" t="s">
        <v>1585</v>
      </c>
      <c r="G2" s="745" t="s">
        <v>712</v>
      </c>
      <c r="H2" s="746" t="s">
        <v>470</v>
      </c>
      <c r="I2" s="747" t="s">
        <v>541</v>
      </c>
      <c r="J2" s="748" t="s">
        <v>516</v>
      </c>
      <c r="K2" s="3"/>
      <c r="L2" s="3"/>
      <c r="M2" s="3"/>
      <c r="N2" s="3"/>
      <c r="O2" s="3"/>
      <c r="P2" s="3"/>
      <c r="Q2" s="3"/>
      <c r="R2" s="3"/>
    </row>
    <row r="3" spans="1:18" customFormat="1" ht="15" customHeight="1" x14ac:dyDescent="0.3">
      <c r="A3" s="4"/>
      <c r="B3" s="96" t="s">
        <v>515</v>
      </c>
      <c r="C3" s="87"/>
      <c r="D3" s="88"/>
      <c r="E3" s="238">
        <f t="shared" ref="E3:J3" si="0">E4+E11+E14+E15+E16+E19+E22+E23+E24+E25</f>
        <v>1747959.02</v>
      </c>
      <c r="F3" s="703">
        <f t="shared" si="0"/>
        <v>33350</v>
      </c>
      <c r="G3" s="703">
        <f t="shared" si="0"/>
        <v>12500</v>
      </c>
      <c r="H3" s="703">
        <f t="shared" si="0"/>
        <v>1379609.02</v>
      </c>
      <c r="I3" s="727">
        <f t="shared" si="0"/>
        <v>222500</v>
      </c>
      <c r="J3" s="535">
        <f t="shared" si="0"/>
        <v>100000</v>
      </c>
      <c r="K3" s="403">
        <f>E3-N276</f>
        <v>0</v>
      </c>
    </row>
    <row r="4" spans="1:18" customFormat="1" ht="15" customHeight="1" x14ac:dyDescent="0.3">
      <c r="A4" s="4"/>
      <c r="B4" s="648" t="s">
        <v>511</v>
      </c>
      <c r="C4" s="649"/>
      <c r="D4" s="29"/>
      <c r="E4" s="215">
        <f>SUM(E5:E10)</f>
        <v>392708</v>
      </c>
      <c r="F4" s="704">
        <f>SUM(F5:F10)</f>
        <v>33350</v>
      </c>
      <c r="G4" s="704">
        <f>SUM(G5:G10)</f>
        <v>12500</v>
      </c>
      <c r="H4" s="704">
        <f>SUM(H5:H10)</f>
        <v>191858</v>
      </c>
      <c r="I4" s="728">
        <f t="shared" ref="I4:J4" si="1">SUM(I5:I10)</f>
        <v>155000</v>
      </c>
      <c r="J4" s="536">
        <f t="shared" si="1"/>
        <v>0</v>
      </c>
    </row>
    <row r="5" spans="1:18" customFormat="1" ht="15" customHeight="1" x14ac:dyDescent="0.25">
      <c r="A5" s="4"/>
      <c r="B5" s="648"/>
      <c r="C5" s="649" t="s">
        <v>513</v>
      </c>
      <c r="D5" s="29"/>
      <c r="E5" s="239">
        <f>SUM(F5:J5)</f>
        <v>159608</v>
      </c>
      <c r="F5" s="704">
        <v>0</v>
      </c>
      <c r="G5" s="704">
        <v>0</v>
      </c>
      <c r="H5" s="704">
        <f>N295+N331+N349+N367-F5-G5</f>
        <v>4608</v>
      </c>
      <c r="I5" s="728">
        <f>N277</f>
        <v>155000</v>
      </c>
      <c r="J5" s="536">
        <f>N313</f>
        <v>0</v>
      </c>
    </row>
    <row r="6" spans="1:18" customFormat="1" ht="15" customHeight="1" x14ac:dyDescent="0.25">
      <c r="A6" s="4"/>
      <c r="B6" s="648"/>
      <c r="C6" s="649" t="s">
        <v>32</v>
      </c>
      <c r="D6" s="29"/>
      <c r="E6" s="239">
        <f t="shared" ref="E6:E10" si="2">SUM(F6:J6)</f>
        <v>103850</v>
      </c>
      <c r="F6" s="704">
        <f>SUM(N45:N56)</f>
        <v>33350</v>
      </c>
      <c r="G6" s="704">
        <f>N37</f>
        <v>12500</v>
      </c>
      <c r="H6" s="704">
        <f>N297+N333+N351+N369-F6-G6</f>
        <v>58000</v>
      </c>
      <c r="I6" s="728">
        <f>N279</f>
        <v>0</v>
      </c>
      <c r="J6" s="536">
        <f>N315</f>
        <v>0</v>
      </c>
    </row>
    <row r="7" spans="1:18" customFormat="1" ht="15" customHeight="1" x14ac:dyDescent="0.25">
      <c r="A7" s="4"/>
      <c r="B7" s="648"/>
      <c r="C7" s="649" t="s">
        <v>536</v>
      </c>
      <c r="D7" s="29"/>
      <c r="E7" s="239">
        <f t="shared" si="2"/>
        <v>250</v>
      </c>
      <c r="F7" s="704">
        <v>0</v>
      </c>
      <c r="G7" s="704">
        <v>0</v>
      </c>
      <c r="H7" s="704">
        <f>N303+N339+N357+N375-F7-G7</f>
        <v>250</v>
      </c>
      <c r="I7" s="728">
        <f>N285</f>
        <v>0</v>
      </c>
      <c r="J7" s="536">
        <f>N321</f>
        <v>0</v>
      </c>
    </row>
    <row r="8" spans="1:18" customFormat="1" ht="15" customHeight="1" x14ac:dyDescent="0.25">
      <c r="A8" s="4"/>
      <c r="B8" s="648"/>
      <c r="C8" s="649" t="s">
        <v>36</v>
      </c>
      <c r="D8" s="29"/>
      <c r="E8" s="239">
        <f t="shared" si="2"/>
        <v>99000</v>
      </c>
      <c r="F8" s="704">
        <v>0</v>
      </c>
      <c r="G8" s="704">
        <v>0</v>
      </c>
      <c r="H8" s="704">
        <f>N376+N358+N340+N304-F8-G8</f>
        <v>99000</v>
      </c>
      <c r="I8" s="728">
        <f>N286</f>
        <v>0</v>
      </c>
      <c r="J8" s="536">
        <f>N322</f>
        <v>0</v>
      </c>
    </row>
    <row r="9" spans="1:18" customFormat="1" ht="15" customHeight="1" x14ac:dyDescent="0.25">
      <c r="A9" s="4"/>
      <c r="B9" s="648"/>
      <c r="C9" s="649" t="s">
        <v>683</v>
      </c>
      <c r="D9" s="29"/>
      <c r="E9" s="239">
        <f t="shared" si="2"/>
        <v>30000</v>
      </c>
      <c r="F9" s="704">
        <v>0</v>
      </c>
      <c r="G9" s="704">
        <v>0</v>
      </c>
      <c r="H9" s="704">
        <f>N308+N344+N362+N380-F9-G9</f>
        <v>30000</v>
      </c>
      <c r="I9" s="728">
        <f>N290</f>
        <v>0</v>
      </c>
      <c r="J9" s="536">
        <f>N326</f>
        <v>0</v>
      </c>
    </row>
    <row r="10" spans="1:18" customFormat="1" ht="15" customHeight="1" x14ac:dyDescent="0.25">
      <c r="A10" s="4"/>
      <c r="B10" s="648"/>
      <c r="C10" s="649" t="s">
        <v>35</v>
      </c>
      <c r="D10" s="29"/>
      <c r="E10" s="239">
        <f t="shared" si="2"/>
        <v>0</v>
      </c>
      <c r="F10" s="704">
        <v>0</v>
      </c>
      <c r="G10" s="704">
        <v>0</v>
      </c>
      <c r="H10" s="704">
        <f>N382+N364+N346+N310-F10-G10</f>
        <v>0</v>
      </c>
      <c r="I10" s="728">
        <f>N292</f>
        <v>0</v>
      </c>
      <c r="J10" s="536">
        <f>N328</f>
        <v>0</v>
      </c>
    </row>
    <row r="11" spans="1:18" customFormat="1" ht="15" customHeight="1" x14ac:dyDescent="0.3">
      <c r="A11" s="4"/>
      <c r="B11" s="648" t="s">
        <v>514</v>
      </c>
      <c r="C11" s="649"/>
      <c r="D11" s="29"/>
      <c r="E11" s="215">
        <f>SUM(E12:E13)</f>
        <v>30000</v>
      </c>
      <c r="F11" s="704">
        <f>SUM(F12:F13)</f>
        <v>0</v>
      </c>
      <c r="G11" s="704">
        <f>SUM(G12:G13)</f>
        <v>0</v>
      </c>
      <c r="H11" s="704">
        <f>SUM(H12:H13)</f>
        <v>30000</v>
      </c>
      <c r="I11" s="728">
        <f t="shared" ref="I11:J11" si="3">SUM(I12:I13)</f>
        <v>0</v>
      </c>
      <c r="J11" s="536">
        <f t="shared" si="3"/>
        <v>0</v>
      </c>
    </row>
    <row r="12" spans="1:18" customFormat="1" ht="15" customHeight="1" x14ac:dyDescent="0.25">
      <c r="A12" s="4"/>
      <c r="B12" s="648"/>
      <c r="C12" s="649" t="s">
        <v>682</v>
      </c>
      <c r="D12" s="29"/>
      <c r="E12" s="239">
        <f t="shared" ref="E12:E15" si="4">SUM(F12:J12)</f>
        <v>30000</v>
      </c>
      <c r="F12" s="704">
        <v>0</v>
      </c>
      <c r="G12" s="704">
        <v>0</v>
      </c>
      <c r="H12" s="704">
        <f>N298+N334+N352+N370-F12-G12</f>
        <v>30000</v>
      </c>
      <c r="I12" s="728">
        <f>N280</f>
        <v>0</v>
      </c>
      <c r="J12" s="536">
        <f>N316</f>
        <v>0</v>
      </c>
    </row>
    <row r="13" spans="1:18" customFormat="1" ht="15" customHeight="1" x14ac:dyDescent="0.25">
      <c r="A13" s="4"/>
      <c r="B13" s="648"/>
      <c r="C13" s="649" t="s">
        <v>41</v>
      </c>
      <c r="D13" s="29"/>
      <c r="E13" s="239">
        <f t="shared" si="4"/>
        <v>0</v>
      </c>
      <c r="F13" s="704">
        <v>0</v>
      </c>
      <c r="G13" s="704">
        <v>0</v>
      </c>
      <c r="H13" s="704">
        <f>N299+N335+N353+N371-F13-G13</f>
        <v>0</v>
      </c>
      <c r="I13" s="728">
        <f>N281</f>
        <v>0</v>
      </c>
      <c r="J13" s="536">
        <f>N317</f>
        <v>0</v>
      </c>
    </row>
    <row r="14" spans="1:18" customFormat="1" ht="15" customHeight="1" x14ac:dyDescent="0.3">
      <c r="A14" s="4"/>
      <c r="B14" s="648" t="s">
        <v>775</v>
      </c>
      <c r="C14" s="649"/>
      <c r="D14" s="29"/>
      <c r="E14" s="215">
        <f t="shared" si="4"/>
        <v>286250</v>
      </c>
      <c r="F14" s="704">
        <v>0</v>
      </c>
      <c r="G14" s="704">
        <v>0</v>
      </c>
      <c r="H14" s="704">
        <f>N300+N336+N354+N372-F14-G14</f>
        <v>286250</v>
      </c>
      <c r="I14" s="728">
        <f>N282</f>
        <v>0</v>
      </c>
      <c r="J14" s="536">
        <f>N318</f>
        <v>0</v>
      </c>
    </row>
    <row r="15" spans="1:18" customFormat="1" ht="15" customHeight="1" x14ac:dyDescent="0.3">
      <c r="A15" s="4"/>
      <c r="B15" s="648" t="s">
        <v>660</v>
      </c>
      <c r="C15" s="649"/>
      <c r="D15" s="29"/>
      <c r="E15" s="215">
        <f t="shared" si="4"/>
        <v>122000</v>
      </c>
      <c r="F15" s="704">
        <v>0</v>
      </c>
      <c r="G15" s="704">
        <v>0</v>
      </c>
      <c r="H15" s="704">
        <f>N301+N337+N355+N373-F15-G15</f>
        <v>122000</v>
      </c>
      <c r="I15" s="728">
        <f>N283</f>
        <v>0</v>
      </c>
      <c r="J15" s="536">
        <f>N319</f>
        <v>0</v>
      </c>
    </row>
    <row r="16" spans="1:18" customFormat="1" ht="15" customHeight="1" x14ac:dyDescent="0.3">
      <c r="A16" s="4"/>
      <c r="B16" s="648" t="s">
        <v>518</v>
      </c>
      <c r="C16" s="649"/>
      <c r="D16" s="29"/>
      <c r="E16" s="215">
        <f>SUM(E17:E18)</f>
        <v>155000</v>
      </c>
      <c r="F16" s="704">
        <f>SUM(F17:F18)</f>
        <v>0</v>
      </c>
      <c r="G16" s="704">
        <f>SUM(G17:G18)</f>
        <v>0</v>
      </c>
      <c r="H16" s="704">
        <f>SUM(H17:H18)</f>
        <v>155000</v>
      </c>
      <c r="I16" s="728">
        <f t="shared" ref="I16:J16" si="5">SUM(I17:I18)</f>
        <v>0</v>
      </c>
      <c r="J16" s="536">
        <f t="shared" si="5"/>
        <v>0</v>
      </c>
    </row>
    <row r="17" spans="1:15" customFormat="1" ht="15" customHeight="1" x14ac:dyDescent="0.3">
      <c r="A17" s="4"/>
      <c r="B17" s="648"/>
      <c r="C17" s="649" t="s">
        <v>512</v>
      </c>
      <c r="D17" s="29"/>
      <c r="E17" s="215">
        <f t="shared" ref="E17:E18" si="6">SUM(F17:J17)</f>
        <v>15000</v>
      </c>
      <c r="F17" s="704">
        <v>0</v>
      </c>
      <c r="G17" s="704">
        <v>0</v>
      </c>
      <c r="H17" s="704">
        <f>N296+N332+N350+N368-F17-G17</f>
        <v>15000</v>
      </c>
      <c r="I17" s="728">
        <f>N278</f>
        <v>0</v>
      </c>
      <c r="J17" s="536">
        <f>N314</f>
        <v>0</v>
      </c>
    </row>
    <row r="18" spans="1:15" customFormat="1" ht="15" customHeight="1" x14ac:dyDescent="0.3">
      <c r="A18" s="4"/>
      <c r="B18" s="648"/>
      <c r="C18" s="649" t="s">
        <v>29</v>
      </c>
      <c r="D18" s="29"/>
      <c r="E18" s="215">
        <f t="shared" si="6"/>
        <v>140000</v>
      </c>
      <c r="F18" s="704">
        <v>0</v>
      </c>
      <c r="G18" s="704">
        <v>0</v>
      </c>
      <c r="H18" s="704">
        <f>N374+N356+N338+N302-F18-G18</f>
        <v>140000</v>
      </c>
      <c r="I18" s="728">
        <f>N284</f>
        <v>0</v>
      </c>
      <c r="J18" s="536">
        <f>N320</f>
        <v>0</v>
      </c>
    </row>
    <row r="19" spans="1:15" customFormat="1" ht="15" customHeight="1" x14ac:dyDescent="0.3">
      <c r="A19" s="4"/>
      <c r="B19" s="648" t="s">
        <v>519</v>
      </c>
      <c r="C19" s="649"/>
      <c r="D19" s="29"/>
      <c r="E19" s="215">
        <f>SUM(E20:E21)</f>
        <v>475001.02</v>
      </c>
      <c r="F19" s="704">
        <f>SUM(F20:F21)</f>
        <v>0</v>
      </c>
      <c r="G19" s="704">
        <f>SUM(G20:G21)</f>
        <v>0</v>
      </c>
      <c r="H19" s="704">
        <f t="shared" ref="H19" si="7">SUM(H20:H21)</f>
        <v>475001.02</v>
      </c>
      <c r="I19" s="728">
        <f t="shared" ref="I19" si="8">SUM(I20:I21)</f>
        <v>0</v>
      </c>
      <c r="J19" s="536">
        <f t="shared" ref="J19" si="9">SUM(J20:J21)</f>
        <v>0</v>
      </c>
    </row>
    <row r="20" spans="1:15" customFormat="1" ht="15" customHeight="1" x14ac:dyDescent="0.25">
      <c r="A20" s="4"/>
      <c r="B20" s="648"/>
      <c r="C20" s="649" t="s">
        <v>526</v>
      </c>
      <c r="D20" s="29"/>
      <c r="E20" s="239">
        <f t="shared" ref="E20:E25" si="10">SUM(F20:J20)</f>
        <v>407001.02</v>
      </c>
      <c r="F20" s="704">
        <v>0</v>
      </c>
      <c r="G20" s="704">
        <v>0</v>
      </c>
      <c r="H20" s="704">
        <f>N311+N347+N365+N383-F20-G20</f>
        <v>407001.02</v>
      </c>
      <c r="I20" s="728">
        <f>N293</f>
        <v>0</v>
      </c>
      <c r="J20" s="536">
        <f>N329</f>
        <v>0</v>
      </c>
    </row>
    <row r="21" spans="1:15" customFormat="1" ht="15" customHeight="1" x14ac:dyDescent="0.25">
      <c r="A21" s="4"/>
      <c r="B21" s="648"/>
      <c r="C21" s="649" t="s">
        <v>525</v>
      </c>
      <c r="D21" s="29"/>
      <c r="E21" s="239">
        <f t="shared" si="10"/>
        <v>68000</v>
      </c>
      <c r="F21" s="704">
        <v>0</v>
      </c>
      <c r="G21" s="704">
        <v>0</v>
      </c>
      <c r="H21" s="704">
        <f>N312+N348+N366+N384-F21-G21</f>
        <v>68000</v>
      </c>
      <c r="I21" s="728">
        <f>N294</f>
        <v>0</v>
      </c>
      <c r="J21" s="536">
        <f>N330</f>
        <v>0</v>
      </c>
    </row>
    <row r="22" spans="1:15" customFormat="1" ht="15" customHeight="1" x14ac:dyDescent="0.3">
      <c r="A22" s="4"/>
      <c r="B22" s="648" t="s">
        <v>31</v>
      </c>
      <c r="C22" s="649"/>
      <c r="D22" s="29"/>
      <c r="E22" s="215">
        <f t="shared" si="10"/>
        <v>67500</v>
      </c>
      <c r="F22" s="704">
        <v>0</v>
      </c>
      <c r="G22" s="704">
        <v>0</v>
      </c>
      <c r="H22" s="704">
        <f>N305+N341+N359+N377-F22-G22</f>
        <v>0</v>
      </c>
      <c r="I22" s="728">
        <f>N287</f>
        <v>67500</v>
      </c>
      <c r="J22" s="536">
        <f>N323</f>
        <v>0</v>
      </c>
    </row>
    <row r="23" spans="1:15" customFormat="1" ht="15" customHeight="1" x14ac:dyDescent="0.3">
      <c r="A23" s="4"/>
      <c r="B23" s="648" t="s">
        <v>516</v>
      </c>
      <c r="C23" s="649"/>
      <c r="D23" s="29"/>
      <c r="E23" s="215">
        <f t="shared" si="10"/>
        <v>100000</v>
      </c>
      <c r="F23" s="704">
        <v>0</v>
      </c>
      <c r="G23" s="704">
        <v>0</v>
      </c>
      <c r="H23" s="704">
        <f>N306+N342+N360+N378-F23-G23</f>
        <v>0</v>
      </c>
      <c r="I23" s="728">
        <f>N288</f>
        <v>0</v>
      </c>
      <c r="J23" s="536">
        <f>N324</f>
        <v>100000</v>
      </c>
    </row>
    <row r="24" spans="1:15" customFormat="1" ht="15" customHeight="1" x14ac:dyDescent="0.3">
      <c r="A24" s="4"/>
      <c r="B24" s="648" t="s">
        <v>517</v>
      </c>
      <c r="C24" s="649"/>
      <c r="D24" s="29"/>
      <c r="E24" s="215">
        <f t="shared" si="10"/>
        <v>111000</v>
      </c>
      <c r="F24" s="704">
        <v>0</v>
      </c>
      <c r="G24" s="704">
        <v>0</v>
      </c>
      <c r="H24" s="704">
        <f>N307+N343+N361+N379-F24-G24</f>
        <v>111000</v>
      </c>
      <c r="I24" s="728">
        <f>N289</f>
        <v>0</v>
      </c>
      <c r="J24" s="536">
        <f>N325</f>
        <v>0</v>
      </c>
    </row>
    <row r="25" spans="1:15" customFormat="1" ht="15" customHeight="1" thickBot="1" x14ac:dyDescent="0.35">
      <c r="A25" s="4"/>
      <c r="B25" s="650" t="s">
        <v>759</v>
      </c>
      <c r="C25" s="651"/>
      <c r="D25" s="94"/>
      <c r="E25" s="216">
        <f t="shared" si="10"/>
        <v>8500</v>
      </c>
      <c r="F25" s="705">
        <v>0</v>
      </c>
      <c r="G25" s="705">
        <v>0</v>
      </c>
      <c r="H25" s="705">
        <f>N309+N345+N363+N381-F25-G25</f>
        <v>8500</v>
      </c>
      <c r="I25" s="729">
        <f>N291</f>
        <v>0</v>
      </c>
      <c r="J25" s="730">
        <f>N327</f>
        <v>0</v>
      </c>
    </row>
    <row r="26" spans="1:15" ht="15.75" thickBot="1" x14ac:dyDescent="0.3">
      <c r="A26" s="3"/>
      <c r="D26" s="3"/>
      <c r="E26" s="3"/>
      <c r="F26" s="3"/>
      <c r="G26" s="3"/>
      <c r="H26" s="3"/>
      <c r="I26" s="3"/>
      <c r="J26" s="3"/>
      <c r="K26" s="3"/>
      <c r="L26" s="3"/>
      <c r="M26" s="3"/>
      <c r="N26" s="3"/>
    </row>
    <row r="27" spans="1:15" ht="30.75" thickTop="1" x14ac:dyDescent="0.25">
      <c r="A27" s="5" t="s">
        <v>464</v>
      </c>
      <c r="B27" s="8" t="s">
        <v>379</v>
      </c>
      <c r="C27" s="8" t="s">
        <v>15</v>
      </c>
      <c r="D27" s="6" t="s">
        <v>471</v>
      </c>
      <c r="E27" s="6" t="s">
        <v>509</v>
      </c>
      <c r="F27" s="6" t="s">
        <v>9</v>
      </c>
      <c r="G27" s="6" t="s">
        <v>510</v>
      </c>
      <c r="H27" s="6" t="s">
        <v>742</v>
      </c>
      <c r="I27" s="6" t="s">
        <v>11</v>
      </c>
      <c r="J27" s="6" t="s">
        <v>12</v>
      </c>
      <c r="K27" s="7" t="s">
        <v>13</v>
      </c>
      <c r="L27" s="6" t="s">
        <v>14</v>
      </c>
      <c r="M27" s="6" t="s">
        <v>474</v>
      </c>
      <c r="N27" s="8" t="s">
        <v>504</v>
      </c>
    </row>
    <row r="28" spans="1:15" x14ac:dyDescent="0.25">
      <c r="A28" s="254">
        <f t="shared" ref="A28:A43" si="11">VLOOKUP(D28,ProfExpCodes,2)</f>
        <v>6400</v>
      </c>
      <c r="B28" s="518" t="s">
        <v>28</v>
      </c>
      <c r="C28" s="518" t="s">
        <v>692</v>
      </c>
      <c r="D28" s="467" t="s">
        <v>756</v>
      </c>
      <c r="E28" s="698" t="s">
        <v>1599</v>
      </c>
      <c r="F28" s="467" t="s">
        <v>16</v>
      </c>
      <c r="G28" s="467" t="s">
        <v>997</v>
      </c>
      <c r="H28" s="467" t="s">
        <v>998</v>
      </c>
      <c r="I28" s="466">
        <v>41821</v>
      </c>
      <c r="J28" s="466">
        <v>42643</v>
      </c>
      <c r="K28" s="589">
        <v>250000</v>
      </c>
      <c r="L28" s="516">
        <v>145800</v>
      </c>
      <c r="M28" s="516">
        <v>74800</v>
      </c>
      <c r="N28" s="516">
        <v>80000</v>
      </c>
      <c r="O28" s="4" t="s">
        <v>1287</v>
      </c>
    </row>
    <row r="29" spans="1:15" x14ac:dyDescent="0.25">
      <c r="A29" s="365">
        <f t="shared" si="11"/>
        <v>6400</v>
      </c>
      <c r="B29" s="518" t="s">
        <v>28</v>
      </c>
      <c r="C29" s="518" t="s">
        <v>692</v>
      </c>
      <c r="D29" s="467" t="s">
        <v>756</v>
      </c>
      <c r="E29" s="698" t="s">
        <v>1600</v>
      </c>
      <c r="F29" s="467" t="s">
        <v>16</v>
      </c>
      <c r="G29" s="588" t="s">
        <v>999</v>
      </c>
      <c r="H29" s="588" t="s">
        <v>1000</v>
      </c>
      <c r="I29" s="466">
        <v>41801</v>
      </c>
      <c r="J29" s="466">
        <v>42614</v>
      </c>
      <c r="K29" s="589">
        <v>195000</v>
      </c>
      <c r="L29" s="516">
        <v>130000</v>
      </c>
      <c r="M29" s="516">
        <v>65000</v>
      </c>
      <c r="N29" s="516">
        <v>65000</v>
      </c>
      <c r="O29" s="4" t="s">
        <v>1287</v>
      </c>
    </row>
    <row r="30" spans="1:15" x14ac:dyDescent="0.25">
      <c r="A30" s="365">
        <f t="shared" si="11"/>
        <v>6420</v>
      </c>
      <c r="B30" s="518" t="s">
        <v>28</v>
      </c>
      <c r="C30" s="518" t="s">
        <v>692</v>
      </c>
      <c r="D30" s="467" t="s">
        <v>470</v>
      </c>
      <c r="E30" s="467" t="s">
        <v>1001</v>
      </c>
      <c r="F30" s="467" t="s">
        <v>17</v>
      </c>
      <c r="G30" s="588" t="s">
        <v>1002</v>
      </c>
      <c r="H30" s="588"/>
      <c r="I30" s="466"/>
      <c r="J30" s="466"/>
      <c r="K30" s="589"/>
      <c r="L30" s="516"/>
      <c r="M30" s="516"/>
      <c r="N30" s="516">
        <v>700</v>
      </c>
      <c r="O30" s="4" t="s">
        <v>1287</v>
      </c>
    </row>
    <row r="31" spans="1:15" x14ac:dyDescent="0.25">
      <c r="A31" s="365">
        <f t="shared" si="11"/>
        <v>6420</v>
      </c>
      <c r="B31" s="518" t="s">
        <v>28</v>
      </c>
      <c r="C31" s="518" t="s">
        <v>692</v>
      </c>
      <c r="D31" s="518" t="s">
        <v>470</v>
      </c>
      <c r="E31" s="467" t="s">
        <v>1085</v>
      </c>
      <c r="F31" s="467" t="s">
        <v>16</v>
      </c>
      <c r="G31" s="588" t="s">
        <v>1086</v>
      </c>
      <c r="H31" s="588" t="s">
        <v>1087</v>
      </c>
      <c r="I31" s="466">
        <v>41821</v>
      </c>
      <c r="J31" s="466">
        <v>42916</v>
      </c>
      <c r="K31" s="589">
        <v>39080</v>
      </c>
      <c r="L31" s="516">
        <v>35172</v>
      </c>
      <c r="M31" s="516">
        <v>35172</v>
      </c>
      <c r="N31" s="516">
        <v>3908</v>
      </c>
      <c r="O31" s="4" t="s">
        <v>1287</v>
      </c>
    </row>
    <row r="32" spans="1:15" x14ac:dyDescent="0.25">
      <c r="A32" s="365">
        <f t="shared" si="11"/>
        <v>6400</v>
      </c>
      <c r="B32" s="518" t="s">
        <v>28</v>
      </c>
      <c r="C32" s="518" t="s">
        <v>692</v>
      </c>
      <c r="D32" s="518" t="s">
        <v>756</v>
      </c>
      <c r="E32" s="518" t="s">
        <v>961</v>
      </c>
      <c r="F32" s="518" t="s">
        <v>16</v>
      </c>
      <c r="G32" s="518" t="s">
        <v>1494</v>
      </c>
      <c r="H32" s="518" t="s">
        <v>1495</v>
      </c>
      <c r="I32" s="596">
        <v>42248</v>
      </c>
      <c r="J32" s="596">
        <v>42613</v>
      </c>
      <c r="K32" s="589">
        <v>20895</v>
      </c>
      <c r="L32" s="516">
        <v>20895</v>
      </c>
      <c r="M32" s="516">
        <v>6965</v>
      </c>
      <c r="N32" s="516">
        <v>10000</v>
      </c>
      <c r="O32" s="4" t="s">
        <v>1287</v>
      </c>
    </row>
    <row r="33" spans="1:15" x14ac:dyDescent="0.25">
      <c r="A33" s="365">
        <f t="shared" si="11"/>
        <v>6420</v>
      </c>
      <c r="B33" s="518" t="s">
        <v>27</v>
      </c>
      <c r="C33" s="518" t="s">
        <v>62</v>
      </c>
      <c r="D33" s="518" t="s">
        <v>470</v>
      </c>
      <c r="E33" s="518" t="s">
        <v>1092</v>
      </c>
      <c r="F33" s="518" t="s">
        <v>17</v>
      </c>
      <c r="G33" s="518" t="s">
        <v>1093</v>
      </c>
      <c r="H33" s="518"/>
      <c r="I33" s="596"/>
      <c r="J33" s="596"/>
      <c r="K33" s="589">
        <v>18000</v>
      </c>
      <c r="L33" s="516">
        <v>2171</v>
      </c>
      <c r="M33" s="516">
        <v>4571</v>
      </c>
      <c r="N33" s="516">
        <v>15000</v>
      </c>
      <c r="O33" s="4" t="s">
        <v>1287</v>
      </c>
    </row>
    <row r="34" spans="1:15" x14ac:dyDescent="0.25">
      <c r="A34" s="365">
        <f t="shared" si="11"/>
        <v>6420</v>
      </c>
      <c r="B34" s="518" t="s">
        <v>32</v>
      </c>
      <c r="C34" s="518" t="s">
        <v>62</v>
      </c>
      <c r="D34" s="467" t="s">
        <v>470</v>
      </c>
      <c r="E34" s="467" t="s">
        <v>1432</v>
      </c>
      <c r="F34" s="467" t="s">
        <v>16</v>
      </c>
      <c r="G34" s="467" t="s">
        <v>1121</v>
      </c>
      <c r="H34" s="639"/>
      <c r="I34" s="466">
        <v>41456</v>
      </c>
      <c r="J34" s="466">
        <v>42522</v>
      </c>
      <c r="K34" s="589">
        <v>56700</v>
      </c>
      <c r="L34" s="516">
        <v>56700</v>
      </c>
      <c r="M34" s="516">
        <v>2400</v>
      </c>
      <c r="N34" s="516">
        <v>2400</v>
      </c>
      <c r="O34" s="4" t="s">
        <v>1287</v>
      </c>
    </row>
    <row r="35" spans="1:15" x14ac:dyDescent="0.25">
      <c r="A35" s="365">
        <f t="shared" si="11"/>
        <v>6305</v>
      </c>
      <c r="B35" s="518" t="s">
        <v>32</v>
      </c>
      <c r="C35" s="518" t="s">
        <v>62</v>
      </c>
      <c r="D35" s="467" t="s">
        <v>495</v>
      </c>
      <c r="E35" s="467" t="s">
        <v>1122</v>
      </c>
      <c r="F35" s="467" t="s">
        <v>17</v>
      </c>
      <c r="G35" s="588" t="s">
        <v>1123</v>
      </c>
      <c r="H35" s="588"/>
      <c r="I35" s="466"/>
      <c r="J35" s="466"/>
      <c r="K35" s="589"/>
      <c r="L35" s="516"/>
      <c r="M35" s="516">
        <v>7500</v>
      </c>
      <c r="N35" s="516">
        <v>7500</v>
      </c>
      <c r="O35" s="4" t="s">
        <v>1287</v>
      </c>
    </row>
    <row r="36" spans="1:15" x14ac:dyDescent="0.25">
      <c r="A36" s="365">
        <f t="shared" si="11"/>
        <v>6300</v>
      </c>
      <c r="B36" s="518" t="s">
        <v>32</v>
      </c>
      <c r="C36" s="518" t="s">
        <v>62</v>
      </c>
      <c r="D36" s="467" t="s">
        <v>695</v>
      </c>
      <c r="E36" s="467" t="s">
        <v>1124</v>
      </c>
      <c r="F36" s="467" t="s">
        <v>17</v>
      </c>
      <c r="G36" s="588" t="s">
        <v>1125</v>
      </c>
      <c r="H36" s="588"/>
      <c r="I36" s="466"/>
      <c r="J36" s="466"/>
      <c r="K36" s="589"/>
      <c r="L36" s="516"/>
      <c r="M36" s="516">
        <v>24000</v>
      </c>
      <c r="N36" s="516">
        <f>30000-30000</f>
        <v>0</v>
      </c>
    </row>
    <row r="37" spans="1:15" x14ac:dyDescent="0.25">
      <c r="A37" s="365">
        <f t="shared" si="11"/>
        <v>6305</v>
      </c>
      <c r="B37" s="518" t="s">
        <v>32</v>
      </c>
      <c r="C37" s="518" t="s">
        <v>62</v>
      </c>
      <c r="D37" s="467" t="s">
        <v>694</v>
      </c>
      <c r="E37" s="467" t="s">
        <v>1126</v>
      </c>
      <c r="F37" s="467" t="s">
        <v>17</v>
      </c>
      <c r="G37" s="588" t="s">
        <v>897</v>
      </c>
      <c r="H37" s="588"/>
      <c r="I37" s="466"/>
      <c r="J37" s="466"/>
      <c r="K37" s="589"/>
      <c r="L37" s="516"/>
      <c r="M37" s="516">
        <v>4250</v>
      </c>
      <c r="N37" s="516">
        <v>12500</v>
      </c>
      <c r="O37" s="4" t="s">
        <v>1287</v>
      </c>
    </row>
    <row r="38" spans="1:15" x14ac:dyDescent="0.25">
      <c r="A38" s="365">
        <f t="shared" si="11"/>
        <v>6420</v>
      </c>
      <c r="B38" s="518" t="s">
        <v>32</v>
      </c>
      <c r="C38" s="518" t="s">
        <v>62</v>
      </c>
      <c r="D38" s="518" t="s">
        <v>470</v>
      </c>
      <c r="E38" s="467" t="s">
        <v>1127</v>
      </c>
      <c r="F38" s="467" t="s">
        <v>17</v>
      </c>
      <c r="G38" s="588" t="s">
        <v>897</v>
      </c>
      <c r="H38" s="588"/>
      <c r="I38" s="466"/>
      <c r="J38" s="466"/>
      <c r="K38" s="589"/>
      <c r="L38" s="516"/>
      <c r="M38" s="516">
        <v>10610</v>
      </c>
      <c r="N38" s="516">
        <v>30000</v>
      </c>
      <c r="O38" s="4" t="s">
        <v>1287</v>
      </c>
    </row>
    <row r="39" spans="1:15" x14ac:dyDescent="0.25">
      <c r="A39" s="365">
        <f t="shared" si="11"/>
        <v>6300</v>
      </c>
      <c r="B39" s="518" t="s">
        <v>32</v>
      </c>
      <c r="C39" s="755" t="s">
        <v>62</v>
      </c>
      <c r="D39" s="518" t="s">
        <v>695</v>
      </c>
      <c r="E39" s="467" t="s">
        <v>1128</v>
      </c>
      <c r="F39" s="467" t="s">
        <v>17</v>
      </c>
      <c r="G39" s="588" t="s">
        <v>1129</v>
      </c>
      <c r="H39" s="588"/>
      <c r="I39" s="596"/>
      <c r="J39" s="596"/>
      <c r="K39" s="589"/>
      <c r="L39" s="516"/>
      <c r="M39" s="516">
        <v>2600</v>
      </c>
      <c r="N39" s="757">
        <v>5000</v>
      </c>
      <c r="O39" s="4" t="s">
        <v>1287</v>
      </c>
    </row>
    <row r="40" spans="1:15" x14ac:dyDescent="0.25">
      <c r="A40" s="365">
        <f t="shared" si="11"/>
        <v>6420</v>
      </c>
      <c r="B40" s="518" t="s">
        <v>32</v>
      </c>
      <c r="C40" s="518" t="s">
        <v>62</v>
      </c>
      <c r="D40" s="467" t="s">
        <v>470</v>
      </c>
      <c r="E40" s="467" t="s">
        <v>1130</v>
      </c>
      <c r="F40" s="467" t="s">
        <v>17</v>
      </c>
      <c r="G40" s="588" t="s">
        <v>1131</v>
      </c>
      <c r="H40" s="588"/>
      <c r="I40" s="466"/>
      <c r="J40" s="466"/>
      <c r="K40" s="589"/>
      <c r="L40" s="516"/>
      <c r="M40" s="516">
        <v>250</v>
      </c>
      <c r="N40" s="516">
        <v>500</v>
      </c>
      <c r="O40" s="4" t="s">
        <v>1287</v>
      </c>
    </row>
    <row r="41" spans="1:15" x14ac:dyDescent="0.25">
      <c r="A41" s="365">
        <f t="shared" si="11"/>
        <v>6305</v>
      </c>
      <c r="B41" s="518" t="s">
        <v>32</v>
      </c>
      <c r="C41" s="518" t="s">
        <v>62</v>
      </c>
      <c r="D41" s="518" t="s">
        <v>495</v>
      </c>
      <c r="E41" s="467" t="s">
        <v>1436</v>
      </c>
      <c r="F41" s="518" t="s">
        <v>16</v>
      </c>
      <c r="G41" s="518" t="s">
        <v>1132</v>
      </c>
      <c r="H41" s="518"/>
      <c r="I41" s="596"/>
      <c r="J41" s="596"/>
      <c r="K41" s="589"/>
      <c r="L41" s="516"/>
      <c r="M41" s="516">
        <v>1500</v>
      </c>
      <c r="N41" s="516">
        <f>1500-1500</f>
        <v>0</v>
      </c>
    </row>
    <row r="42" spans="1:15" x14ac:dyDescent="0.25">
      <c r="A42" s="365">
        <f t="shared" si="11"/>
        <v>6305</v>
      </c>
      <c r="B42" s="518" t="s">
        <v>32</v>
      </c>
      <c r="C42" s="518" t="s">
        <v>62</v>
      </c>
      <c r="D42" s="518" t="s">
        <v>495</v>
      </c>
      <c r="E42" s="467" t="s">
        <v>1133</v>
      </c>
      <c r="F42" s="518" t="s">
        <v>17</v>
      </c>
      <c r="G42" s="518" t="s">
        <v>1134</v>
      </c>
      <c r="H42" s="518"/>
      <c r="I42" s="596"/>
      <c r="J42" s="596"/>
      <c r="K42" s="589"/>
      <c r="L42" s="516"/>
      <c r="M42" s="516">
        <v>700</v>
      </c>
      <c r="N42" s="516">
        <v>1000</v>
      </c>
      <c r="O42" s="4" t="s">
        <v>1287</v>
      </c>
    </row>
    <row r="43" spans="1:15" x14ac:dyDescent="0.25">
      <c r="A43" s="517">
        <f t="shared" si="11"/>
        <v>6300</v>
      </c>
      <c r="B43" s="518" t="s">
        <v>32</v>
      </c>
      <c r="C43" s="518" t="s">
        <v>62</v>
      </c>
      <c r="D43" s="467" t="s">
        <v>695</v>
      </c>
      <c r="E43" s="467" t="s">
        <v>1433</v>
      </c>
      <c r="F43" s="467"/>
      <c r="G43" s="588"/>
      <c r="H43" s="588"/>
      <c r="I43" s="466"/>
      <c r="J43" s="466"/>
      <c r="K43" s="586"/>
      <c r="L43" s="520"/>
      <c r="M43" s="520"/>
      <c r="N43" s="520">
        <f>75000-75000</f>
        <v>0</v>
      </c>
    </row>
    <row r="44" spans="1:15" x14ac:dyDescent="0.25">
      <c r="A44" s="691">
        <f t="shared" ref="A44:A77" si="12">VLOOKUP(D44,ProfExpCodes,2)</f>
        <v>6300</v>
      </c>
      <c r="B44" s="700" t="s">
        <v>32</v>
      </c>
      <c r="C44" s="755" t="s">
        <v>62</v>
      </c>
      <c r="D44" s="700" t="s">
        <v>695</v>
      </c>
      <c r="E44" s="706" t="s">
        <v>1556</v>
      </c>
      <c r="F44" s="700" t="s">
        <v>17</v>
      </c>
      <c r="G44" s="700" t="s">
        <v>1120</v>
      </c>
      <c r="H44" s="700"/>
      <c r="I44" s="596"/>
      <c r="J44" s="596"/>
      <c r="K44" s="589"/>
      <c r="L44" s="699">
        <v>3047</v>
      </c>
      <c r="M44" s="699">
        <v>45000</v>
      </c>
      <c r="N44" s="756">
        <v>3500</v>
      </c>
      <c r="O44" s="4" t="s">
        <v>1287</v>
      </c>
    </row>
    <row r="45" spans="1:15" x14ac:dyDescent="0.25">
      <c r="A45" s="690">
        <f t="shared" si="12"/>
        <v>6300</v>
      </c>
      <c r="B45" s="700" t="s">
        <v>32</v>
      </c>
      <c r="C45" s="700" t="s">
        <v>114</v>
      </c>
      <c r="D45" s="700" t="s">
        <v>695</v>
      </c>
      <c r="E45" s="706" t="s">
        <v>1559</v>
      </c>
      <c r="F45" s="700" t="s">
        <v>17</v>
      </c>
      <c r="G45" s="700" t="s">
        <v>1120</v>
      </c>
      <c r="H45" s="700"/>
      <c r="I45" s="596"/>
      <c r="J45" s="596"/>
      <c r="K45" s="589"/>
      <c r="L45" s="689">
        <v>3074</v>
      </c>
      <c r="M45" s="689"/>
      <c r="N45" s="699">
        <v>3500</v>
      </c>
      <c r="O45" s="4" t="s">
        <v>1287</v>
      </c>
    </row>
    <row r="46" spans="1:15" x14ac:dyDescent="0.25">
      <c r="A46" s="690">
        <f t="shared" si="12"/>
        <v>6300</v>
      </c>
      <c r="B46" s="700" t="s">
        <v>32</v>
      </c>
      <c r="C46" s="700" t="s">
        <v>116</v>
      </c>
      <c r="D46" s="700" t="s">
        <v>695</v>
      </c>
      <c r="E46" s="706" t="s">
        <v>1559</v>
      </c>
      <c r="F46" s="700" t="s">
        <v>17</v>
      </c>
      <c r="G46" s="700" t="s">
        <v>1120</v>
      </c>
      <c r="H46" s="700"/>
      <c r="I46" s="596"/>
      <c r="J46" s="596"/>
      <c r="K46" s="589"/>
      <c r="L46" s="689">
        <v>325</v>
      </c>
      <c r="M46" s="689"/>
      <c r="N46" s="689">
        <v>400</v>
      </c>
      <c r="O46" s="4" t="s">
        <v>1287</v>
      </c>
    </row>
    <row r="47" spans="1:15" x14ac:dyDescent="0.25">
      <c r="A47" s="690">
        <f t="shared" si="12"/>
        <v>6300</v>
      </c>
      <c r="B47" s="700" t="s">
        <v>32</v>
      </c>
      <c r="C47" s="700" t="s">
        <v>117</v>
      </c>
      <c r="D47" s="700" t="s">
        <v>695</v>
      </c>
      <c r="E47" s="706" t="s">
        <v>1559</v>
      </c>
      <c r="F47" s="700" t="s">
        <v>17</v>
      </c>
      <c r="G47" s="700" t="s">
        <v>1120</v>
      </c>
      <c r="H47" s="700"/>
      <c r="I47" s="596"/>
      <c r="J47" s="596"/>
      <c r="K47" s="589"/>
      <c r="L47" s="689">
        <v>2018</v>
      </c>
      <c r="M47" s="689"/>
      <c r="N47" s="689">
        <v>5000</v>
      </c>
      <c r="O47" s="4" t="s">
        <v>1287</v>
      </c>
    </row>
    <row r="48" spans="1:15" x14ac:dyDescent="0.25">
      <c r="A48" s="691">
        <f t="shared" si="12"/>
        <v>6300</v>
      </c>
      <c r="B48" s="700" t="s">
        <v>32</v>
      </c>
      <c r="C48" s="700" t="s">
        <v>121</v>
      </c>
      <c r="D48" s="700" t="s">
        <v>695</v>
      </c>
      <c r="E48" s="706" t="s">
        <v>1559</v>
      </c>
      <c r="F48" s="700" t="s">
        <v>17</v>
      </c>
      <c r="G48" s="700" t="s">
        <v>1120</v>
      </c>
      <c r="H48" s="700"/>
      <c r="I48" s="596"/>
      <c r="J48" s="596"/>
      <c r="K48" s="589"/>
      <c r="L48" s="699">
        <v>9885</v>
      </c>
      <c r="M48" s="699"/>
      <c r="N48" s="699">
        <v>10000</v>
      </c>
      <c r="O48" s="4" t="s">
        <v>1287</v>
      </c>
    </row>
    <row r="49" spans="1:15" x14ac:dyDescent="0.25">
      <c r="A49" s="691">
        <f t="shared" si="12"/>
        <v>6300</v>
      </c>
      <c r="B49" s="700" t="s">
        <v>32</v>
      </c>
      <c r="C49" s="700" t="s">
        <v>124</v>
      </c>
      <c r="D49" s="700" t="s">
        <v>695</v>
      </c>
      <c r="E49" s="706" t="s">
        <v>1559</v>
      </c>
      <c r="F49" s="700" t="s">
        <v>17</v>
      </c>
      <c r="G49" s="700" t="s">
        <v>1120</v>
      </c>
      <c r="H49" s="700"/>
      <c r="I49" s="596"/>
      <c r="J49" s="596"/>
      <c r="K49" s="589"/>
      <c r="L49" s="689">
        <v>1672</v>
      </c>
      <c r="M49" s="689"/>
      <c r="N49" s="699">
        <v>2000</v>
      </c>
      <c r="O49" s="4" t="s">
        <v>1287</v>
      </c>
    </row>
    <row r="50" spans="1:15" x14ac:dyDescent="0.25">
      <c r="A50" s="691">
        <f t="shared" si="12"/>
        <v>6300</v>
      </c>
      <c r="B50" s="700" t="s">
        <v>32</v>
      </c>
      <c r="C50" s="700" t="s">
        <v>128</v>
      </c>
      <c r="D50" s="700" t="s">
        <v>695</v>
      </c>
      <c r="E50" s="706" t="s">
        <v>1559</v>
      </c>
      <c r="F50" s="700" t="s">
        <v>17</v>
      </c>
      <c r="G50" s="700" t="s">
        <v>1120</v>
      </c>
      <c r="H50" s="700"/>
      <c r="I50" s="596"/>
      <c r="J50" s="596"/>
      <c r="K50" s="589"/>
      <c r="L50" s="689">
        <v>3499</v>
      </c>
      <c r="M50" s="689"/>
      <c r="N50" s="689">
        <v>4500</v>
      </c>
      <c r="O50" s="4" t="s">
        <v>1287</v>
      </c>
    </row>
    <row r="51" spans="1:15" x14ac:dyDescent="0.25">
      <c r="A51" s="690">
        <f t="shared" si="12"/>
        <v>6300</v>
      </c>
      <c r="B51" s="700" t="s">
        <v>32</v>
      </c>
      <c r="C51" s="700" t="s">
        <v>129</v>
      </c>
      <c r="D51" s="700" t="s">
        <v>695</v>
      </c>
      <c r="E51" s="706" t="s">
        <v>1559</v>
      </c>
      <c r="F51" s="700" t="s">
        <v>17</v>
      </c>
      <c r="G51" s="700" t="s">
        <v>1120</v>
      </c>
      <c r="H51" s="700"/>
      <c r="I51" s="596"/>
      <c r="J51" s="596"/>
      <c r="K51" s="589"/>
      <c r="L51" s="699">
        <v>508</v>
      </c>
      <c r="M51" s="699"/>
      <c r="N51" s="699">
        <v>650</v>
      </c>
      <c r="O51" s="4" t="s">
        <v>1287</v>
      </c>
    </row>
    <row r="52" spans="1:15" x14ac:dyDescent="0.25">
      <c r="A52" s="690">
        <f t="shared" si="12"/>
        <v>6300</v>
      </c>
      <c r="B52" s="700" t="s">
        <v>32</v>
      </c>
      <c r="C52" s="700" t="s">
        <v>1478</v>
      </c>
      <c r="D52" s="700" t="s">
        <v>695</v>
      </c>
      <c r="E52" s="706" t="s">
        <v>1559</v>
      </c>
      <c r="F52" s="700" t="s">
        <v>17</v>
      </c>
      <c r="G52" s="700" t="s">
        <v>1120</v>
      </c>
      <c r="H52" s="700"/>
      <c r="I52" s="596"/>
      <c r="J52" s="596"/>
      <c r="K52" s="589"/>
      <c r="L52" s="699">
        <v>55</v>
      </c>
      <c r="M52" s="699"/>
      <c r="N52" s="699">
        <v>100</v>
      </c>
      <c r="O52" s="4" t="s">
        <v>1287</v>
      </c>
    </row>
    <row r="53" spans="1:15" x14ac:dyDescent="0.25">
      <c r="A53" s="690">
        <f t="shared" si="12"/>
        <v>6300</v>
      </c>
      <c r="B53" s="700" t="s">
        <v>32</v>
      </c>
      <c r="C53" s="700" t="s">
        <v>143</v>
      </c>
      <c r="D53" s="700" t="s">
        <v>695</v>
      </c>
      <c r="E53" s="706" t="s">
        <v>1559</v>
      </c>
      <c r="F53" s="700" t="s">
        <v>17</v>
      </c>
      <c r="G53" s="700" t="s">
        <v>1120</v>
      </c>
      <c r="H53" s="700"/>
      <c r="I53" s="596"/>
      <c r="J53" s="596"/>
      <c r="K53" s="589"/>
      <c r="L53" s="699">
        <v>5263</v>
      </c>
      <c r="M53" s="699">
        <v>0</v>
      </c>
      <c r="N53" s="699">
        <v>5500</v>
      </c>
      <c r="O53" s="4" t="s">
        <v>1287</v>
      </c>
    </row>
    <row r="54" spans="1:15" ht="16.5" customHeight="1" x14ac:dyDescent="0.25">
      <c r="A54" s="690">
        <f t="shared" si="12"/>
        <v>6300</v>
      </c>
      <c r="B54" s="700" t="s">
        <v>32</v>
      </c>
      <c r="C54" s="700" t="s">
        <v>1136</v>
      </c>
      <c r="D54" s="698" t="s">
        <v>695</v>
      </c>
      <c r="E54" s="706" t="s">
        <v>1559</v>
      </c>
      <c r="F54" s="698"/>
      <c r="G54" s="700" t="s">
        <v>1120</v>
      </c>
      <c r="H54" s="698"/>
      <c r="I54" s="466"/>
      <c r="J54" s="466"/>
      <c r="K54" s="589"/>
      <c r="L54" s="699">
        <v>508</v>
      </c>
      <c r="M54" s="699"/>
      <c r="N54" s="699">
        <v>700</v>
      </c>
      <c r="O54" s="4" t="s">
        <v>1287</v>
      </c>
    </row>
    <row r="55" spans="1:15" x14ac:dyDescent="0.25">
      <c r="A55" s="690">
        <f t="shared" si="12"/>
        <v>6300</v>
      </c>
      <c r="B55" s="700" t="s">
        <v>32</v>
      </c>
      <c r="C55" s="700" t="s">
        <v>159</v>
      </c>
      <c r="D55" s="700" t="s">
        <v>695</v>
      </c>
      <c r="E55" s="706" t="s">
        <v>1559</v>
      </c>
      <c r="F55" s="700" t="s">
        <v>16</v>
      </c>
      <c r="G55" s="700" t="s">
        <v>1120</v>
      </c>
      <c r="H55" s="700"/>
      <c r="I55" s="596"/>
      <c r="J55" s="596"/>
      <c r="K55" s="589"/>
      <c r="L55" s="699">
        <v>706</v>
      </c>
      <c r="M55" s="699">
        <v>0</v>
      </c>
      <c r="N55" s="699">
        <v>800</v>
      </c>
      <c r="O55" s="4" t="s">
        <v>1287</v>
      </c>
    </row>
    <row r="56" spans="1:15" x14ac:dyDescent="0.25">
      <c r="A56" s="690">
        <f t="shared" si="12"/>
        <v>6300</v>
      </c>
      <c r="B56" s="700" t="s">
        <v>32</v>
      </c>
      <c r="C56" s="700" t="s">
        <v>161</v>
      </c>
      <c r="D56" s="698" t="s">
        <v>695</v>
      </c>
      <c r="E56" s="706" t="s">
        <v>1559</v>
      </c>
      <c r="F56" s="698" t="s">
        <v>16</v>
      </c>
      <c r="G56" s="700" t="s">
        <v>1120</v>
      </c>
      <c r="H56" s="702"/>
      <c r="I56" s="466"/>
      <c r="J56" s="466"/>
      <c r="K56" s="701"/>
      <c r="L56" s="689">
        <v>110</v>
      </c>
      <c r="M56" s="689"/>
      <c r="N56" s="689">
        <v>200</v>
      </c>
      <c r="O56" s="4" t="s">
        <v>1287</v>
      </c>
    </row>
    <row r="57" spans="1:15" x14ac:dyDescent="0.25">
      <c r="A57" s="690">
        <f t="shared" si="12"/>
        <v>6300</v>
      </c>
      <c r="B57" s="700" t="s">
        <v>32</v>
      </c>
      <c r="C57" s="700" t="s">
        <v>692</v>
      </c>
      <c r="D57" s="700" t="s">
        <v>695</v>
      </c>
      <c r="E57" s="706" t="s">
        <v>1556</v>
      </c>
      <c r="F57" s="700" t="s">
        <v>17</v>
      </c>
      <c r="G57" s="700" t="s">
        <v>1120</v>
      </c>
      <c r="H57" s="700"/>
      <c r="I57" s="596"/>
      <c r="J57" s="596"/>
      <c r="K57" s="589"/>
      <c r="L57" s="699">
        <v>5804</v>
      </c>
      <c r="M57" s="699"/>
      <c r="N57" s="699">
        <v>5500</v>
      </c>
      <c r="O57" s="4" t="s">
        <v>1287</v>
      </c>
    </row>
    <row r="58" spans="1:15" x14ac:dyDescent="0.25">
      <c r="A58" s="551">
        <f t="shared" si="12"/>
        <v>6300</v>
      </c>
      <c r="B58" s="700" t="s">
        <v>32</v>
      </c>
      <c r="C58" s="700" t="s">
        <v>692</v>
      </c>
      <c r="D58" s="700" t="s">
        <v>695</v>
      </c>
      <c r="E58" s="700" t="s">
        <v>1557</v>
      </c>
      <c r="F58" s="700" t="s">
        <v>17</v>
      </c>
      <c r="G58" s="700" t="s">
        <v>1120</v>
      </c>
      <c r="H58" s="700"/>
      <c r="I58" s="596"/>
      <c r="J58" s="596"/>
      <c r="K58" s="589"/>
      <c r="L58" s="699"/>
      <c r="M58" s="699">
        <v>0</v>
      </c>
      <c r="N58" s="699">
        <v>0</v>
      </c>
    </row>
    <row r="59" spans="1:15" x14ac:dyDescent="0.25">
      <c r="A59" s="690">
        <f t="shared" si="12"/>
        <v>6300</v>
      </c>
      <c r="B59" s="700" t="s">
        <v>32</v>
      </c>
      <c r="C59" s="700" t="s">
        <v>692</v>
      </c>
      <c r="D59" s="698" t="s">
        <v>695</v>
      </c>
      <c r="E59" s="698" t="s">
        <v>1437</v>
      </c>
      <c r="F59" s="698"/>
      <c r="G59" s="698" t="s">
        <v>1438</v>
      </c>
      <c r="H59" s="698"/>
      <c r="I59" s="466"/>
      <c r="J59" s="466"/>
      <c r="K59" s="589"/>
      <c r="L59" s="699"/>
      <c r="M59" s="699"/>
      <c r="N59" s="699">
        <v>2600</v>
      </c>
      <c r="O59" s="4" t="s">
        <v>1287</v>
      </c>
    </row>
    <row r="60" spans="1:15" x14ac:dyDescent="0.25">
      <c r="A60" s="690">
        <f t="shared" si="12"/>
        <v>6420</v>
      </c>
      <c r="B60" s="700" t="s">
        <v>685</v>
      </c>
      <c r="C60" s="700" t="s">
        <v>692</v>
      </c>
      <c r="D60" s="700" t="s">
        <v>470</v>
      </c>
      <c r="E60" s="700" t="s">
        <v>930</v>
      </c>
      <c r="F60" s="700" t="s">
        <v>16</v>
      </c>
      <c r="G60" s="700" t="s">
        <v>931</v>
      </c>
      <c r="H60" s="700"/>
      <c r="I60" s="596">
        <v>42401</v>
      </c>
      <c r="J60" s="596">
        <v>42766</v>
      </c>
      <c r="K60" s="589">
        <v>30000</v>
      </c>
      <c r="L60" s="699">
        <v>0</v>
      </c>
      <c r="M60" s="699">
        <v>0</v>
      </c>
      <c r="N60" s="699">
        <v>30000</v>
      </c>
      <c r="O60" s="4" t="s">
        <v>1287</v>
      </c>
    </row>
    <row r="61" spans="1:15" x14ac:dyDescent="0.25">
      <c r="A61" s="690">
        <f t="shared" si="12"/>
        <v>6420</v>
      </c>
      <c r="B61" s="700" t="s">
        <v>775</v>
      </c>
      <c r="C61" s="700" t="s">
        <v>159</v>
      </c>
      <c r="D61" s="698" t="s">
        <v>470</v>
      </c>
      <c r="E61" s="698" t="s">
        <v>1283</v>
      </c>
      <c r="F61" s="698" t="s">
        <v>16</v>
      </c>
      <c r="G61" s="702" t="s">
        <v>1285</v>
      </c>
      <c r="H61" s="702"/>
      <c r="I61" s="466">
        <v>42461</v>
      </c>
      <c r="J61" s="466">
        <v>42735</v>
      </c>
      <c r="K61" s="701">
        <v>250000</v>
      </c>
      <c r="L61" s="689"/>
      <c r="M61" s="689"/>
      <c r="N61" s="689">
        <v>2500</v>
      </c>
      <c r="O61" s="4" t="s">
        <v>1287</v>
      </c>
    </row>
    <row r="62" spans="1:15" x14ac:dyDescent="0.25">
      <c r="A62" s="690">
        <f t="shared" si="12"/>
        <v>6420</v>
      </c>
      <c r="B62" s="700" t="s">
        <v>775</v>
      </c>
      <c r="C62" s="700" t="s">
        <v>159</v>
      </c>
      <c r="D62" s="700" t="s">
        <v>470</v>
      </c>
      <c r="E62" s="700" t="s">
        <v>1281</v>
      </c>
      <c r="F62" s="700" t="s">
        <v>16</v>
      </c>
      <c r="G62" s="700" t="s">
        <v>1282</v>
      </c>
      <c r="H62" s="700" t="s">
        <v>1496</v>
      </c>
      <c r="I62" s="596">
        <v>42095</v>
      </c>
      <c r="J62" s="596">
        <v>42735</v>
      </c>
      <c r="K62" s="689">
        <v>500000</v>
      </c>
      <c r="L62" s="689">
        <v>7000</v>
      </c>
      <c r="M62" s="689">
        <v>14000</v>
      </c>
      <c r="N62" s="699">
        <v>15000</v>
      </c>
      <c r="O62" s="4" t="s">
        <v>1287</v>
      </c>
    </row>
    <row r="63" spans="1:15" x14ac:dyDescent="0.25">
      <c r="A63" s="690">
        <f t="shared" si="12"/>
        <v>6420</v>
      </c>
      <c r="B63" s="700" t="s">
        <v>775</v>
      </c>
      <c r="C63" s="700" t="s">
        <v>162</v>
      </c>
      <c r="D63" s="700" t="s">
        <v>470</v>
      </c>
      <c r="E63" s="700" t="s">
        <v>1281</v>
      </c>
      <c r="F63" s="700" t="s">
        <v>16</v>
      </c>
      <c r="G63" s="700" t="s">
        <v>1282</v>
      </c>
      <c r="H63" s="700" t="s">
        <v>1496</v>
      </c>
      <c r="I63" s="596">
        <v>42095</v>
      </c>
      <c r="J63" s="596">
        <v>42735</v>
      </c>
      <c r="K63" s="689">
        <v>500000</v>
      </c>
      <c r="L63" s="689"/>
      <c r="M63" s="689"/>
      <c r="N63" s="689">
        <v>5000</v>
      </c>
      <c r="O63" s="688" t="s">
        <v>1287</v>
      </c>
    </row>
    <row r="64" spans="1:15" x14ac:dyDescent="0.25">
      <c r="A64" s="690">
        <f t="shared" si="12"/>
        <v>6420</v>
      </c>
      <c r="B64" s="700" t="s">
        <v>775</v>
      </c>
      <c r="C64" s="700" t="s">
        <v>162</v>
      </c>
      <c r="D64" s="698" t="s">
        <v>470</v>
      </c>
      <c r="E64" s="698" t="s">
        <v>1283</v>
      </c>
      <c r="F64" s="698" t="s">
        <v>16</v>
      </c>
      <c r="G64" s="698" t="s">
        <v>1284</v>
      </c>
      <c r="H64" s="698"/>
      <c r="I64" s="466">
        <v>42095</v>
      </c>
      <c r="J64" s="466">
        <v>42735</v>
      </c>
      <c r="K64" s="701">
        <v>250000</v>
      </c>
      <c r="L64" s="689"/>
      <c r="M64" s="689"/>
      <c r="N64" s="689">
        <v>3000</v>
      </c>
      <c r="O64" s="688" t="s">
        <v>1287</v>
      </c>
    </row>
    <row r="65" spans="1:15" x14ac:dyDescent="0.25">
      <c r="A65" s="690">
        <f t="shared" si="12"/>
        <v>6305</v>
      </c>
      <c r="B65" s="700" t="s">
        <v>775</v>
      </c>
      <c r="C65" s="700" t="s">
        <v>124</v>
      </c>
      <c r="D65" s="700" t="s">
        <v>495</v>
      </c>
      <c r="E65" s="698" t="s">
        <v>1563</v>
      </c>
      <c r="F65" s="700"/>
      <c r="G65" s="700" t="s">
        <v>1134</v>
      </c>
      <c r="H65" s="700"/>
      <c r="I65" s="587"/>
      <c r="J65" s="587"/>
      <c r="K65" s="699"/>
      <c r="L65" s="699"/>
      <c r="M65" s="699"/>
      <c r="N65" s="699">
        <v>750</v>
      </c>
      <c r="O65" s="688" t="s">
        <v>1287</v>
      </c>
    </row>
    <row r="66" spans="1:15" x14ac:dyDescent="0.25">
      <c r="A66" s="690">
        <f t="shared" si="12"/>
        <v>6420</v>
      </c>
      <c r="B66" s="700" t="s">
        <v>775</v>
      </c>
      <c r="C66" s="700" t="s">
        <v>124</v>
      </c>
      <c r="D66" s="700" t="s">
        <v>470</v>
      </c>
      <c r="E66" s="700" t="s">
        <v>1281</v>
      </c>
      <c r="F66" s="700" t="s">
        <v>16</v>
      </c>
      <c r="G66" s="700" t="s">
        <v>1282</v>
      </c>
      <c r="H66" s="700" t="s">
        <v>1496</v>
      </c>
      <c r="I66" s="596">
        <v>42095</v>
      </c>
      <c r="J66" s="596">
        <v>42735</v>
      </c>
      <c r="K66" s="689">
        <v>500000</v>
      </c>
      <c r="L66" s="689">
        <v>14200</v>
      </c>
      <c r="M66" s="689">
        <v>36000</v>
      </c>
      <c r="N66" s="699">
        <v>110000</v>
      </c>
      <c r="O66" s="688" t="s">
        <v>1287</v>
      </c>
    </row>
    <row r="67" spans="1:15" x14ac:dyDescent="0.25">
      <c r="A67" s="690">
        <f t="shared" si="12"/>
        <v>6420</v>
      </c>
      <c r="B67" s="700" t="s">
        <v>775</v>
      </c>
      <c r="C67" s="700" t="s">
        <v>124</v>
      </c>
      <c r="D67" s="698" t="s">
        <v>470</v>
      </c>
      <c r="E67" s="698" t="s">
        <v>1283</v>
      </c>
      <c r="F67" s="698" t="s">
        <v>16</v>
      </c>
      <c r="G67" s="698" t="s">
        <v>1456</v>
      </c>
      <c r="H67" s="698"/>
      <c r="I67" s="466">
        <v>42095</v>
      </c>
      <c r="J67" s="466">
        <v>42735</v>
      </c>
      <c r="K67" s="701">
        <v>250000</v>
      </c>
      <c r="L67" s="689"/>
      <c r="M67" s="689"/>
      <c r="N67" s="689">
        <v>6000</v>
      </c>
      <c r="O67" s="688" t="s">
        <v>1287</v>
      </c>
    </row>
    <row r="68" spans="1:15" x14ac:dyDescent="0.25">
      <c r="A68" s="690">
        <f t="shared" si="12"/>
        <v>6420</v>
      </c>
      <c r="B68" s="700" t="s">
        <v>775</v>
      </c>
      <c r="C68" s="700" t="s">
        <v>125</v>
      </c>
      <c r="D68" s="698" t="s">
        <v>470</v>
      </c>
      <c r="E68" s="698" t="s">
        <v>1497</v>
      </c>
      <c r="F68" s="698" t="s">
        <v>16</v>
      </c>
      <c r="G68" s="698" t="s">
        <v>1155</v>
      </c>
      <c r="H68" s="698" t="s">
        <v>1498</v>
      </c>
      <c r="I68" s="466">
        <v>42416</v>
      </c>
      <c r="J68" s="466">
        <v>43646</v>
      </c>
      <c r="K68" s="589">
        <v>0</v>
      </c>
      <c r="L68" s="699">
        <f>38000</f>
        <v>38000</v>
      </c>
      <c r="M68" s="699">
        <v>52000</v>
      </c>
      <c r="N68" s="699">
        <v>144000</v>
      </c>
      <c r="O68" s="688" t="s">
        <v>1287</v>
      </c>
    </row>
    <row r="69" spans="1:15" x14ac:dyDescent="0.25">
      <c r="A69" s="690">
        <f t="shared" si="12"/>
        <v>6420</v>
      </c>
      <c r="B69" s="700" t="s">
        <v>37</v>
      </c>
      <c r="C69" s="700" t="s">
        <v>116</v>
      </c>
      <c r="D69" s="698" t="s">
        <v>470</v>
      </c>
      <c r="E69" s="698" t="s">
        <v>1072</v>
      </c>
      <c r="F69" s="698" t="s">
        <v>16</v>
      </c>
      <c r="G69" s="698" t="s">
        <v>1073</v>
      </c>
      <c r="H69" s="702" t="s">
        <v>1499</v>
      </c>
      <c r="I69" s="466">
        <v>41821</v>
      </c>
      <c r="J69" s="466">
        <v>42551</v>
      </c>
      <c r="K69" s="589">
        <v>311200</v>
      </c>
      <c r="L69" s="699">
        <v>279260</v>
      </c>
      <c r="M69" s="699">
        <v>64000</v>
      </c>
      <c r="N69" s="699">
        <v>58000</v>
      </c>
      <c r="O69" s="688" t="s">
        <v>1287</v>
      </c>
    </row>
    <row r="70" spans="1:15" x14ac:dyDescent="0.25">
      <c r="A70" s="690">
        <f t="shared" si="12"/>
        <v>6420</v>
      </c>
      <c r="B70" s="700" t="s">
        <v>37</v>
      </c>
      <c r="C70" s="700" t="s">
        <v>143</v>
      </c>
      <c r="D70" s="700" t="s">
        <v>470</v>
      </c>
      <c r="E70" s="700" t="s">
        <v>1070</v>
      </c>
      <c r="F70" s="700" t="s">
        <v>16</v>
      </c>
      <c r="G70" s="700" t="s">
        <v>1071</v>
      </c>
      <c r="H70" s="700" t="s">
        <v>1500</v>
      </c>
      <c r="I70" s="596">
        <v>42278</v>
      </c>
      <c r="J70" s="596">
        <v>42643</v>
      </c>
      <c r="K70" s="589">
        <v>95922.04</v>
      </c>
      <c r="L70" s="699">
        <f>7160.17+7340.09+7160.17+21840.51+14320.34</f>
        <v>57821.279999999999</v>
      </c>
      <c r="M70" s="699">
        <v>25000</v>
      </c>
      <c r="N70" s="699">
        <f>68000-68000</f>
        <v>0</v>
      </c>
      <c r="O70" s="688"/>
    </row>
    <row r="71" spans="1:15" x14ac:dyDescent="0.25">
      <c r="A71" s="690">
        <f t="shared" si="12"/>
        <v>6420</v>
      </c>
      <c r="B71" s="700" t="s">
        <v>37</v>
      </c>
      <c r="C71" s="700" t="s">
        <v>143</v>
      </c>
      <c r="D71" s="698" t="s">
        <v>470</v>
      </c>
      <c r="E71" s="698" t="s">
        <v>1072</v>
      </c>
      <c r="F71" s="698" t="s">
        <v>16</v>
      </c>
      <c r="G71" s="698" t="s">
        <v>1073</v>
      </c>
      <c r="H71" s="698" t="s">
        <v>1501</v>
      </c>
      <c r="I71" s="466">
        <v>41821</v>
      </c>
      <c r="J71" s="466">
        <v>42551</v>
      </c>
      <c r="K71" s="589">
        <v>337200</v>
      </c>
      <c r="L71" s="699">
        <v>300171</v>
      </c>
      <c r="M71" s="699">
        <v>70000</v>
      </c>
      <c r="N71" s="699">
        <v>64000</v>
      </c>
      <c r="O71" s="688" t="s">
        <v>1287</v>
      </c>
    </row>
    <row r="72" spans="1:15" x14ac:dyDescent="0.25">
      <c r="A72" s="691">
        <f t="shared" si="12"/>
        <v>6420</v>
      </c>
      <c r="B72" s="700" t="s">
        <v>29</v>
      </c>
      <c r="C72" s="700" t="s">
        <v>692</v>
      </c>
      <c r="D72" s="698" t="s">
        <v>470</v>
      </c>
      <c r="E72" s="698" t="s">
        <v>1255</v>
      </c>
      <c r="F72" s="698" t="s">
        <v>16</v>
      </c>
      <c r="G72" s="698" t="s">
        <v>1256</v>
      </c>
      <c r="H72" s="698" t="s">
        <v>1502</v>
      </c>
      <c r="I72" s="466">
        <v>41518</v>
      </c>
      <c r="J72" s="466">
        <v>42551</v>
      </c>
      <c r="K72" s="701">
        <v>252000</v>
      </c>
      <c r="L72" s="689">
        <v>231000</v>
      </c>
      <c r="M72" s="689">
        <v>84000</v>
      </c>
      <c r="N72" s="689">
        <v>90000</v>
      </c>
      <c r="O72" s="688" t="s">
        <v>1287</v>
      </c>
    </row>
    <row r="73" spans="1:15" ht="30" x14ac:dyDescent="0.25">
      <c r="A73" s="691">
        <f t="shared" si="12"/>
        <v>6420</v>
      </c>
      <c r="B73" s="700" t="s">
        <v>29</v>
      </c>
      <c r="C73" s="700" t="s">
        <v>692</v>
      </c>
      <c r="D73" s="698" t="s">
        <v>470</v>
      </c>
      <c r="E73" s="698" t="s">
        <v>1257</v>
      </c>
      <c r="F73" s="698" t="s">
        <v>16</v>
      </c>
      <c r="G73" s="702" t="s">
        <v>1258</v>
      </c>
      <c r="H73" s="702" t="s">
        <v>1503</v>
      </c>
      <c r="I73" s="466">
        <v>41589</v>
      </c>
      <c r="J73" s="466" t="s">
        <v>1137</v>
      </c>
      <c r="K73" s="701">
        <v>647259.18999999994</v>
      </c>
      <c r="L73" s="689">
        <v>647259.18999999994</v>
      </c>
      <c r="M73" s="689">
        <v>107000</v>
      </c>
      <c r="N73" s="689">
        <f>110000-110000</f>
        <v>0</v>
      </c>
      <c r="O73" s="688"/>
    </row>
    <row r="74" spans="1:15" ht="30" x14ac:dyDescent="0.25">
      <c r="A74" s="691">
        <f t="shared" si="12"/>
        <v>6420</v>
      </c>
      <c r="B74" s="700" t="s">
        <v>29</v>
      </c>
      <c r="C74" s="700" t="s">
        <v>692</v>
      </c>
      <c r="D74" s="698" t="s">
        <v>470</v>
      </c>
      <c r="E74" s="698" t="s">
        <v>1259</v>
      </c>
      <c r="F74" s="698"/>
      <c r="G74" s="702" t="s">
        <v>1260</v>
      </c>
      <c r="H74" s="702"/>
      <c r="I74" s="466"/>
      <c r="J74" s="466"/>
      <c r="K74" s="701"/>
      <c r="L74" s="689">
        <v>49479</v>
      </c>
      <c r="M74" s="689">
        <v>49479</v>
      </c>
      <c r="N74" s="689">
        <v>50000</v>
      </c>
      <c r="O74" s="688" t="s">
        <v>1287</v>
      </c>
    </row>
    <row r="75" spans="1:15" x14ac:dyDescent="0.25">
      <c r="A75" s="691">
        <f t="shared" si="12"/>
        <v>6420</v>
      </c>
      <c r="B75" s="700" t="s">
        <v>29</v>
      </c>
      <c r="C75" s="700" t="s">
        <v>692</v>
      </c>
      <c r="D75" s="700" t="s">
        <v>470</v>
      </c>
      <c r="E75" s="700" t="s">
        <v>1253</v>
      </c>
      <c r="F75" s="700" t="s">
        <v>16</v>
      </c>
      <c r="G75" s="700" t="s">
        <v>1254</v>
      </c>
      <c r="H75" s="700" t="s">
        <v>1504</v>
      </c>
      <c r="I75" s="596">
        <v>41351</v>
      </c>
      <c r="J75" s="596">
        <v>42551</v>
      </c>
      <c r="K75" s="689">
        <v>760000</v>
      </c>
      <c r="L75" s="689">
        <v>733293.25</v>
      </c>
      <c r="M75" s="689">
        <v>68118</v>
      </c>
      <c r="N75" s="689">
        <v>0</v>
      </c>
      <c r="O75" s="688"/>
    </row>
    <row r="76" spans="1:15" ht="30" x14ac:dyDescent="0.25">
      <c r="A76" s="691">
        <f t="shared" si="12"/>
        <v>6420</v>
      </c>
      <c r="B76" s="700" t="s">
        <v>29</v>
      </c>
      <c r="C76" s="700" t="s">
        <v>692</v>
      </c>
      <c r="D76" s="698" t="s">
        <v>470</v>
      </c>
      <c r="E76" s="698" t="s">
        <v>1261</v>
      </c>
      <c r="F76" s="698" t="s">
        <v>16</v>
      </c>
      <c r="G76" s="702" t="s">
        <v>1262</v>
      </c>
      <c r="H76" s="702" t="s">
        <v>1505</v>
      </c>
      <c r="I76" s="466">
        <v>41518</v>
      </c>
      <c r="J76" s="466">
        <v>43281</v>
      </c>
      <c r="K76" s="701">
        <v>1163804</v>
      </c>
      <c r="L76" s="689">
        <v>315541.13</v>
      </c>
      <c r="M76" s="689">
        <v>0</v>
      </c>
      <c r="N76" s="689">
        <v>0</v>
      </c>
      <c r="O76" s="688"/>
    </row>
    <row r="77" spans="1:15" x14ac:dyDescent="0.25">
      <c r="A77" s="691">
        <f t="shared" si="12"/>
        <v>6420</v>
      </c>
      <c r="B77" s="700" t="s">
        <v>536</v>
      </c>
      <c r="C77" s="700" t="s">
        <v>692</v>
      </c>
      <c r="D77" s="698" t="s">
        <v>470</v>
      </c>
      <c r="E77" s="698" t="s">
        <v>1569</v>
      </c>
      <c r="F77" s="698" t="s">
        <v>17</v>
      </c>
      <c r="G77" s="698" t="s">
        <v>1570</v>
      </c>
      <c r="H77" s="698"/>
      <c r="I77" s="466"/>
      <c r="J77" s="466"/>
      <c r="K77" s="589">
        <v>0</v>
      </c>
      <c r="L77" s="699"/>
      <c r="M77" s="699"/>
      <c r="N77" s="699">
        <v>250</v>
      </c>
      <c r="O77" s="688" t="s">
        <v>1287</v>
      </c>
    </row>
    <row r="78" spans="1:15" x14ac:dyDescent="0.25">
      <c r="A78" s="691">
        <f t="shared" ref="A78:A109" si="13">VLOOKUP(D78,ProfExpCodes,2)</f>
        <v>6420</v>
      </c>
      <c r="B78" s="700" t="s">
        <v>36</v>
      </c>
      <c r="C78" s="700" t="s">
        <v>692</v>
      </c>
      <c r="D78" s="698" t="s">
        <v>470</v>
      </c>
      <c r="E78" s="698" t="s">
        <v>895</v>
      </c>
      <c r="F78" s="698" t="s">
        <v>17</v>
      </c>
      <c r="G78" s="698"/>
      <c r="H78" s="698"/>
      <c r="I78" s="466"/>
      <c r="J78" s="466"/>
      <c r="K78" s="589">
        <v>98511.46</v>
      </c>
      <c r="L78" s="699"/>
      <c r="M78" s="699"/>
      <c r="N78" s="699">
        <v>99000</v>
      </c>
      <c r="O78" s="688" t="s">
        <v>1287</v>
      </c>
    </row>
    <row r="79" spans="1:15" x14ac:dyDescent="0.25">
      <c r="A79" s="691">
        <f t="shared" si="13"/>
        <v>6400</v>
      </c>
      <c r="B79" s="700" t="s">
        <v>31</v>
      </c>
      <c r="C79" s="700" t="s">
        <v>114</v>
      </c>
      <c r="D79" s="700" t="s">
        <v>756</v>
      </c>
      <c r="E79" s="700" t="s">
        <v>822</v>
      </c>
      <c r="F79" s="700" t="s">
        <v>16</v>
      </c>
      <c r="G79" s="700" t="s">
        <v>823</v>
      </c>
      <c r="H79" s="700" t="s">
        <v>824</v>
      </c>
      <c r="I79" s="596">
        <v>40969</v>
      </c>
      <c r="J79" s="596">
        <v>42735</v>
      </c>
      <c r="K79" s="589">
        <v>337500</v>
      </c>
      <c r="L79" s="699">
        <v>164475</v>
      </c>
      <c r="M79" s="699">
        <v>35550</v>
      </c>
      <c r="N79" s="699">
        <v>67500</v>
      </c>
      <c r="O79" s="688" t="s">
        <v>1287</v>
      </c>
    </row>
    <row r="80" spans="1:15" x14ac:dyDescent="0.25">
      <c r="A80" s="691">
        <f t="shared" si="13"/>
        <v>6410</v>
      </c>
      <c r="B80" s="700" t="s">
        <v>30</v>
      </c>
      <c r="C80" s="700" t="s">
        <v>692</v>
      </c>
      <c r="D80" s="700" t="s">
        <v>469</v>
      </c>
      <c r="E80" s="700" t="s">
        <v>1020</v>
      </c>
      <c r="F80" s="700" t="s">
        <v>17</v>
      </c>
      <c r="G80" s="700" t="s">
        <v>1021</v>
      </c>
      <c r="H80" s="700" t="s">
        <v>1022</v>
      </c>
      <c r="I80" s="596">
        <v>41275</v>
      </c>
      <c r="J80" s="596">
        <v>42369</v>
      </c>
      <c r="K80" s="589">
        <v>525000</v>
      </c>
      <c r="L80" s="699">
        <v>120749.6</v>
      </c>
      <c r="M80" s="699">
        <v>45000</v>
      </c>
      <c r="N80" s="699">
        <v>50000</v>
      </c>
      <c r="O80" s="688" t="s">
        <v>1287</v>
      </c>
    </row>
    <row r="81" spans="1:15" x14ac:dyDescent="0.25">
      <c r="A81" s="691">
        <f t="shared" si="13"/>
        <v>6410</v>
      </c>
      <c r="B81" s="700" t="s">
        <v>30</v>
      </c>
      <c r="C81" s="700" t="s">
        <v>692</v>
      </c>
      <c r="D81" s="698" t="s">
        <v>469</v>
      </c>
      <c r="E81" s="698" t="s">
        <v>1023</v>
      </c>
      <c r="F81" s="698" t="s">
        <v>17</v>
      </c>
      <c r="G81" s="698" t="s">
        <v>1024</v>
      </c>
      <c r="H81" s="698" t="s">
        <v>1025</v>
      </c>
      <c r="I81" s="466">
        <v>41275</v>
      </c>
      <c r="J81" s="466">
        <v>42369</v>
      </c>
      <c r="K81" s="589">
        <v>175000</v>
      </c>
      <c r="L81" s="699">
        <v>9991.65</v>
      </c>
      <c r="M81" s="699">
        <v>15000</v>
      </c>
      <c r="N81" s="699">
        <v>50000</v>
      </c>
      <c r="O81" s="688" t="s">
        <v>1287</v>
      </c>
    </row>
    <row r="82" spans="1:15" x14ac:dyDescent="0.25">
      <c r="A82" s="691">
        <f t="shared" si="13"/>
        <v>6420</v>
      </c>
      <c r="B82" s="700" t="s">
        <v>38</v>
      </c>
      <c r="C82" s="700" t="s">
        <v>128</v>
      </c>
      <c r="D82" s="698" t="s">
        <v>470</v>
      </c>
      <c r="E82" s="698" t="s">
        <v>962</v>
      </c>
      <c r="F82" s="698" t="s">
        <v>16</v>
      </c>
      <c r="G82" s="698" t="s">
        <v>963</v>
      </c>
      <c r="H82" s="698" t="s">
        <v>1506</v>
      </c>
      <c r="I82" s="466">
        <v>42248</v>
      </c>
      <c r="J82" s="466">
        <v>42613</v>
      </c>
      <c r="K82" s="589">
        <v>222187.5</v>
      </c>
      <c r="L82" s="699">
        <v>712.5</v>
      </c>
      <c r="M82" s="699">
        <v>2000</v>
      </c>
      <c r="N82" s="699">
        <v>15000</v>
      </c>
      <c r="O82" s="688" t="s">
        <v>1287</v>
      </c>
    </row>
    <row r="83" spans="1:15" x14ac:dyDescent="0.25">
      <c r="A83" s="691">
        <f t="shared" si="13"/>
        <v>6420</v>
      </c>
      <c r="B83" s="700" t="s">
        <v>38</v>
      </c>
      <c r="C83" s="700" t="s">
        <v>128</v>
      </c>
      <c r="D83" s="698" t="s">
        <v>470</v>
      </c>
      <c r="E83" s="698" t="s">
        <v>964</v>
      </c>
      <c r="F83" s="698" t="s">
        <v>16</v>
      </c>
      <c r="G83" s="698" t="s">
        <v>965</v>
      </c>
      <c r="H83" s="702" t="s">
        <v>966</v>
      </c>
      <c r="I83" s="466">
        <v>42552</v>
      </c>
      <c r="J83" s="466">
        <v>42916</v>
      </c>
      <c r="K83" s="589">
        <v>12000</v>
      </c>
      <c r="L83" s="699">
        <v>4971</v>
      </c>
      <c r="M83" s="699">
        <v>12000</v>
      </c>
      <c r="N83" s="699">
        <v>12000</v>
      </c>
      <c r="O83" s="688" t="s">
        <v>1287</v>
      </c>
    </row>
    <row r="84" spans="1:15" x14ac:dyDescent="0.25">
      <c r="A84" s="691">
        <f t="shared" si="13"/>
        <v>6420</v>
      </c>
      <c r="B84" s="700" t="s">
        <v>38</v>
      </c>
      <c r="C84" s="700" t="s">
        <v>128</v>
      </c>
      <c r="D84" s="698" t="s">
        <v>470</v>
      </c>
      <c r="E84" s="698" t="s">
        <v>967</v>
      </c>
      <c r="F84" s="698" t="s">
        <v>16</v>
      </c>
      <c r="G84" s="702" t="s">
        <v>968</v>
      </c>
      <c r="H84" s="702" t="s">
        <v>969</v>
      </c>
      <c r="I84" s="466">
        <v>42552</v>
      </c>
      <c r="J84" s="466">
        <v>42916</v>
      </c>
      <c r="K84" s="589">
        <v>1700</v>
      </c>
      <c r="L84" s="699">
        <v>1700</v>
      </c>
      <c r="M84" s="699">
        <v>1700</v>
      </c>
      <c r="N84" s="699">
        <v>2000</v>
      </c>
      <c r="O84" s="688" t="s">
        <v>1287</v>
      </c>
    </row>
    <row r="85" spans="1:15" ht="30" x14ac:dyDescent="0.25">
      <c r="A85" s="691">
        <f t="shared" si="13"/>
        <v>6420</v>
      </c>
      <c r="B85" s="700" t="s">
        <v>38</v>
      </c>
      <c r="C85" s="700" t="s">
        <v>128</v>
      </c>
      <c r="D85" s="698" t="s">
        <v>470</v>
      </c>
      <c r="E85" s="698" t="s">
        <v>970</v>
      </c>
      <c r="F85" s="698" t="s">
        <v>16</v>
      </c>
      <c r="G85" s="702" t="s">
        <v>971</v>
      </c>
      <c r="H85" s="698" t="s">
        <v>1507</v>
      </c>
      <c r="I85" s="466">
        <v>41314</v>
      </c>
      <c r="J85" s="466">
        <v>42551</v>
      </c>
      <c r="K85" s="589">
        <v>243588</v>
      </c>
      <c r="L85" s="699">
        <v>101725.29</v>
      </c>
      <c r="M85" s="699">
        <v>10000</v>
      </c>
      <c r="N85" s="699">
        <v>15000</v>
      </c>
      <c r="O85" s="688" t="s">
        <v>1287</v>
      </c>
    </row>
    <row r="86" spans="1:15" ht="15.75" customHeight="1" x14ac:dyDescent="0.25">
      <c r="A86" s="691">
        <f t="shared" si="13"/>
        <v>6420</v>
      </c>
      <c r="B86" s="700" t="s">
        <v>38</v>
      </c>
      <c r="C86" s="700" t="s">
        <v>129</v>
      </c>
      <c r="D86" s="698" t="s">
        <v>470</v>
      </c>
      <c r="E86" s="698" t="s">
        <v>970</v>
      </c>
      <c r="F86" s="698" t="s">
        <v>16</v>
      </c>
      <c r="G86" s="702" t="s">
        <v>971</v>
      </c>
      <c r="H86" s="698" t="s">
        <v>1507</v>
      </c>
      <c r="I86" s="466">
        <v>41314</v>
      </c>
      <c r="J86" s="466">
        <v>42551</v>
      </c>
      <c r="K86" s="589">
        <v>243588</v>
      </c>
      <c r="L86" s="699">
        <v>14584.4</v>
      </c>
      <c r="M86" s="699">
        <v>15000</v>
      </c>
      <c r="N86" s="699">
        <v>20000</v>
      </c>
      <c r="O86" s="688" t="s">
        <v>1287</v>
      </c>
    </row>
    <row r="87" spans="1:15" x14ac:dyDescent="0.25">
      <c r="A87" s="691">
        <f t="shared" si="13"/>
        <v>6420</v>
      </c>
      <c r="B87" s="700" t="s">
        <v>38</v>
      </c>
      <c r="C87" s="700" t="s">
        <v>129</v>
      </c>
      <c r="D87" s="698" t="s">
        <v>470</v>
      </c>
      <c r="E87" s="698" t="s">
        <v>972</v>
      </c>
      <c r="F87" s="698" t="s">
        <v>16</v>
      </c>
      <c r="G87" s="702" t="s">
        <v>1412</v>
      </c>
      <c r="H87" s="702" t="s">
        <v>1509</v>
      </c>
      <c r="I87" s="596">
        <v>42005</v>
      </c>
      <c r="J87" s="596">
        <v>43100</v>
      </c>
      <c r="K87" s="589">
        <v>42500</v>
      </c>
      <c r="L87" s="699">
        <v>27559.23</v>
      </c>
      <c r="M87" s="699">
        <v>30530</v>
      </c>
      <c r="N87" s="699">
        <v>25000</v>
      </c>
      <c r="O87" s="688" t="s">
        <v>1287</v>
      </c>
    </row>
    <row r="88" spans="1:15" ht="30" x14ac:dyDescent="0.25">
      <c r="A88" s="691">
        <f t="shared" si="13"/>
        <v>6420</v>
      </c>
      <c r="B88" s="700" t="s">
        <v>38</v>
      </c>
      <c r="C88" s="640" t="s">
        <v>472</v>
      </c>
      <c r="D88" s="698" t="s">
        <v>470</v>
      </c>
      <c r="E88" s="698" t="s">
        <v>970</v>
      </c>
      <c r="F88" s="698" t="s">
        <v>16</v>
      </c>
      <c r="G88" s="702" t="s">
        <v>971</v>
      </c>
      <c r="H88" s="698" t="s">
        <v>1507</v>
      </c>
      <c r="I88" s="466">
        <v>41314</v>
      </c>
      <c r="J88" s="466">
        <v>42551</v>
      </c>
      <c r="K88" s="589">
        <v>243588</v>
      </c>
      <c r="L88" s="699">
        <v>56915.63</v>
      </c>
      <c r="M88" s="699">
        <v>20000</v>
      </c>
      <c r="N88" s="699">
        <v>22000</v>
      </c>
      <c r="O88" s="688" t="s">
        <v>1287</v>
      </c>
    </row>
    <row r="89" spans="1:15" x14ac:dyDescent="0.25">
      <c r="A89" s="691">
        <f t="shared" si="13"/>
        <v>6420</v>
      </c>
      <c r="B89" s="700" t="s">
        <v>684</v>
      </c>
      <c r="C89" s="700" t="s">
        <v>692</v>
      </c>
      <c r="D89" s="698" t="s">
        <v>470</v>
      </c>
      <c r="E89" s="698" t="s">
        <v>1424</v>
      </c>
      <c r="F89" s="698" t="s">
        <v>16</v>
      </c>
      <c r="G89" s="702" t="s">
        <v>1425</v>
      </c>
      <c r="H89" s="702" t="s">
        <v>1508</v>
      </c>
      <c r="I89" s="466">
        <v>42401</v>
      </c>
      <c r="J89" s="466">
        <v>42766</v>
      </c>
      <c r="K89" s="589">
        <v>40000</v>
      </c>
      <c r="L89" s="699">
        <v>2500</v>
      </c>
      <c r="M89" s="699">
        <v>10000</v>
      </c>
      <c r="N89" s="699">
        <v>30000</v>
      </c>
      <c r="O89" s="688" t="s">
        <v>1287</v>
      </c>
    </row>
    <row r="90" spans="1:15" x14ac:dyDescent="0.25">
      <c r="A90" s="691">
        <f t="shared" si="13"/>
        <v>6420</v>
      </c>
      <c r="B90" s="700" t="s">
        <v>33</v>
      </c>
      <c r="C90" s="700" t="s">
        <v>127</v>
      </c>
      <c r="D90" s="700" t="s">
        <v>470</v>
      </c>
      <c r="E90" s="700" t="s">
        <v>1031</v>
      </c>
      <c r="F90" s="700" t="s">
        <v>17</v>
      </c>
      <c r="G90" s="700"/>
      <c r="H90" s="700"/>
      <c r="I90" s="596"/>
      <c r="J90" s="596"/>
      <c r="K90" s="589"/>
      <c r="L90" s="699"/>
      <c r="M90" s="699">
        <v>7500</v>
      </c>
      <c r="N90" s="699">
        <v>8500</v>
      </c>
      <c r="O90" s="688" t="s">
        <v>1287</v>
      </c>
    </row>
    <row r="91" spans="1:15" x14ac:dyDescent="0.25">
      <c r="A91" s="691">
        <f t="shared" si="13"/>
        <v>6420</v>
      </c>
      <c r="B91" s="700" t="s">
        <v>39</v>
      </c>
      <c r="C91" s="700" t="s">
        <v>117</v>
      </c>
      <c r="D91" s="698" t="s">
        <v>470</v>
      </c>
      <c r="E91" s="698" t="s">
        <v>1044</v>
      </c>
      <c r="F91" s="698" t="s">
        <v>16</v>
      </c>
      <c r="G91" s="702" t="s">
        <v>1045</v>
      </c>
      <c r="H91" s="702" t="s">
        <v>1510</v>
      </c>
      <c r="I91" s="466">
        <v>42034</v>
      </c>
      <c r="J91" s="466">
        <v>43131</v>
      </c>
      <c r="K91" s="589" t="s">
        <v>1511</v>
      </c>
      <c r="L91" s="699">
        <v>31500</v>
      </c>
      <c r="M91" s="699">
        <v>18000</v>
      </c>
      <c r="N91" s="699">
        <v>220500</v>
      </c>
      <c r="O91" s="688" t="s">
        <v>1287</v>
      </c>
    </row>
    <row r="92" spans="1:15" x14ac:dyDescent="0.25">
      <c r="A92" s="691">
        <f t="shared" si="13"/>
        <v>6420</v>
      </c>
      <c r="B92" s="700" t="s">
        <v>39</v>
      </c>
      <c r="C92" s="700" t="s">
        <v>117</v>
      </c>
      <c r="D92" s="698" t="s">
        <v>470</v>
      </c>
      <c r="E92" s="698" t="s">
        <v>1044</v>
      </c>
      <c r="F92" s="698" t="s">
        <v>16</v>
      </c>
      <c r="G92" s="702" t="s">
        <v>1046</v>
      </c>
      <c r="H92" s="702" t="s">
        <v>1512</v>
      </c>
      <c r="I92" s="466">
        <v>42034</v>
      </c>
      <c r="J92" s="466">
        <v>43131</v>
      </c>
      <c r="K92" s="589" t="s">
        <v>1511</v>
      </c>
      <c r="L92" s="699">
        <v>40500</v>
      </c>
      <c r="M92" s="699">
        <v>27000</v>
      </c>
      <c r="N92" s="699"/>
      <c r="O92" s="688"/>
    </row>
    <row r="93" spans="1:15" x14ac:dyDescent="0.25">
      <c r="A93" s="690">
        <f t="shared" si="13"/>
        <v>6420</v>
      </c>
      <c r="B93" s="700" t="s">
        <v>39</v>
      </c>
      <c r="C93" s="700" t="s">
        <v>117</v>
      </c>
      <c r="D93" s="698" t="s">
        <v>470</v>
      </c>
      <c r="E93" s="698" t="s">
        <v>1044</v>
      </c>
      <c r="F93" s="698" t="s">
        <v>16</v>
      </c>
      <c r="G93" s="702" t="s">
        <v>1047</v>
      </c>
      <c r="H93" s="702" t="s">
        <v>1513</v>
      </c>
      <c r="I93" s="466">
        <v>42034</v>
      </c>
      <c r="J93" s="466">
        <v>43131</v>
      </c>
      <c r="K93" s="589" t="s">
        <v>1511</v>
      </c>
      <c r="L93" s="699">
        <v>33533.26</v>
      </c>
      <c r="M93" s="699">
        <v>11033.26</v>
      </c>
      <c r="N93" s="699"/>
      <c r="O93" s="688"/>
    </row>
    <row r="94" spans="1:15" x14ac:dyDescent="0.25">
      <c r="A94" s="691">
        <f t="shared" si="13"/>
        <v>6420</v>
      </c>
      <c r="B94" s="700" t="s">
        <v>39</v>
      </c>
      <c r="C94" s="700" t="s">
        <v>117</v>
      </c>
      <c r="D94" s="698" t="s">
        <v>470</v>
      </c>
      <c r="E94" s="698" t="s">
        <v>1044</v>
      </c>
      <c r="F94" s="698" t="s">
        <v>16</v>
      </c>
      <c r="G94" s="702" t="s">
        <v>1048</v>
      </c>
      <c r="H94" s="702" t="s">
        <v>1514</v>
      </c>
      <c r="I94" s="466">
        <v>42034</v>
      </c>
      <c r="J94" s="466">
        <v>43131</v>
      </c>
      <c r="K94" s="589" t="s">
        <v>1511</v>
      </c>
      <c r="L94" s="699">
        <v>40500</v>
      </c>
      <c r="M94" s="699">
        <v>13500</v>
      </c>
      <c r="N94" s="699"/>
      <c r="O94" s="688"/>
    </row>
    <row r="95" spans="1:15" ht="30" x14ac:dyDescent="0.25">
      <c r="A95" s="691">
        <f t="shared" si="13"/>
        <v>6420</v>
      </c>
      <c r="B95" s="700" t="s">
        <v>39</v>
      </c>
      <c r="C95" s="700" t="s">
        <v>117</v>
      </c>
      <c r="D95" s="698" t="s">
        <v>470</v>
      </c>
      <c r="E95" s="698" t="s">
        <v>1044</v>
      </c>
      <c r="F95" s="698" t="s">
        <v>16</v>
      </c>
      <c r="G95" s="702" t="s">
        <v>1049</v>
      </c>
      <c r="H95" s="702" t="s">
        <v>1515</v>
      </c>
      <c r="I95" s="466">
        <v>42034</v>
      </c>
      <c r="J95" s="466">
        <v>43131</v>
      </c>
      <c r="K95" s="589" t="s">
        <v>1511</v>
      </c>
      <c r="L95" s="699">
        <v>36000</v>
      </c>
      <c r="M95" s="699">
        <v>13500</v>
      </c>
      <c r="N95" s="699"/>
      <c r="O95" s="688"/>
    </row>
    <row r="96" spans="1:15" x14ac:dyDescent="0.25">
      <c r="A96" s="691">
        <f t="shared" si="13"/>
        <v>6420</v>
      </c>
      <c r="B96" s="700" t="s">
        <v>39</v>
      </c>
      <c r="C96" s="700" t="s">
        <v>117</v>
      </c>
      <c r="D96" s="698" t="s">
        <v>470</v>
      </c>
      <c r="E96" s="698" t="s">
        <v>1044</v>
      </c>
      <c r="F96" s="698" t="s">
        <v>16</v>
      </c>
      <c r="G96" s="702" t="s">
        <v>1050</v>
      </c>
      <c r="H96" s="702" t="s">
        <v>1516</v>
      </c>
      <c r="I96" s="466">
        <v>42034</v>
      </c>
      <c r="J96" s="466">
        <v>43131</v>
      </c>
      <c r="K96" s="589" t="s">
        <v>1511</v>
      </c>
      <c r="L96" s="699">
        <v>45000</v>
      </c>
      <c r="M96" s="699">
        <v>22500</v>
      </c>
      <c r="N96" s="699"/>
      <c r="O96" s="688"/>
    </row>
    <row r="97" spans="1:15" x14ac:dyDescent="0.25">
      <c r="A97" s="691">
        <f t="shared" si="13"/>
        <v>6420</v>
      </c>
      <c r="B97" s="700" t="s">
        <v>39</v>
      </c>
      <c r="C97" s="700" t="s">
        <v>117</v>
      </c>
      <c r="D97" s="698" t="s">
        <v>470</v>
      </c>
      <c r="E97" s="698" t="s">
        <v>1044</v>
      </c>
      <c r="F97" s="700" t="s">
        <v>16</v>
      </c>
      <c r="G97" s="700" t="s">
        <v>1051</v>
      </c>
      <c r="H97" s="700" t="s">
        <v>1517</v>
      </c>
      <c r="I97" s="466">
        <v>42034</v>
      </c>
      <c r="J97" s="466">
        <v>43131</v>
      </c>
      <c r="K97" s="589" t="s">
        <v>1511</v>
      </c>
      <c r="L97" s="699">
        <v>31500</v>
      </c>
      <c r="M97" s="699">
        <v>18000</v>
      </c>
      <c r="N97" s="699"/>
    </row>
    <row r="98" spans="1:15" x14ac:dyDescent="0.25">
      <c r="A98" s="691">
        <f t="shared" si="13"/>
        <v>6420</v>
      </c>
      <c r="B98" s="700" t="s">
        <v>39</v>
      </c>
      <c r="C98" s="700" t="s">
        <v>117</v>
      </c>
      <c r="D98" s="698" t="s">
        <v>470</v>
      </c>
      <c r="E98" s="698" t="s">
        <v>1052</v>
      </c>
      <c r="F98" s="700" t="s">
        <v>16</v>
      </c>
      <c r="G98" s="700" t="s">
        <v>1053</v>
      </c>
      <c r="H98" s="700"/>
      <c r="I98" s="596"/>
      <c r="J98" s="596">
        <v>42371</v>
      </c>
      <c r="K98" s="589"/>
      <c r="L98" s="699"/>
      <c r="M98" s="699"/>
      <c r="N98" s="699">
        <f>50000-50000</f>
        <v>0</v>
      </c>
    </row>
    <row r="99" spans="1:15" x14ac:dyDescent="0.25">
      <c r="A99" s="691">
        <f t="shared" si="13"/>
        <v>6420</v>
      </c>
      <c r="B99" s="700" t="s">
        <v>39</v>
      </c>
      <c r="C99" s="700" t="s">
        <v>117</v>
      </c>
      <c r="D99" s="698" t="s">
        <v>470</v>
      </c>
      <c r="E99" s="698" t="s">
        <v>1466</v>
      </c>
      <c r="F99" s="700" t="s">
        <v>16</v>
      </c>
      <c r="G99" s="700" t="s">
        <v>1054</v>
      </c>
      <c r="H99" s="700" t="s">
        <v>1518</v>
      </c>
      <c r="I99" s="596">
        <v>41974</v>
      </c>
      <c r="J99" s="596">
        <v>42916</v>
      </c>
      <c r="K99" s="589" t="s">
        <v>1511</v>
      </c>
      <c r="L99" s="699">
        <v>243650.12</v>
      </c>
      <c r="M99" s="699">
        <v>125405.92</v>
      </c>
      <c r="N99" s="699">
        <v>116501.02</v>
      </c>
      <c r="O99" s="4" t="s">
        <v>1287</v>
      </c>
    </row>
    <row r="100" spans="1:15" x14ac:dyDescent="0.25">
      <c r="A100" s="691">
        <f t="shared" si="13"/>
        <v>6420</v>
      </c>
      <c r="B100" s="700" t="s">
        <v>39</v>
      </c>
      <c r="C100" s="700" t="s">
        <v>117</v>
      </c>
      <c r="D100" s="698" t="s">
        <v>470</v>
      </c>
      <c r="E100" s="698" t="s">
        <v>1044</v>
      </c>
      <c r="F100" s="698" t="s">
        <v>16</v>
      </c>
      <c r="G100" s="700" t="s">
        <v>1058</v>
      </c>
      <c r="H100" s="700" t="s">
        <v>1521</v>
      </c>
      <c r="I100" s="466">
        <v>42034</v>
      </c>
      <c r="J100" s="466">
        <v>43131</v>
      </c>
      <c r="K100" s="589" t="s">
        <v>1511</v>
      </c>
      <c r="L100" s="699">
        <v>12500</v>
      </c>
      <c r="M100" s="699">
        <v>3500</v>
      </c>
      <c r="N100" s="699"/>
    </row>
    <row r="101" spans="1:15" x14ac:dyDescent="0.25">
      <c r="A101" s="691">
        <f t="shared" si="13"/>
        <v>6420</v>
      </c>
      <c r="B101" s="700" t="s">
        <v>39</v>
      </c>
      <c r="C101" s="700" t="s">
        <v>117</v>
      </c>
      <c r="D101" s="698" t="s">
        <v>470</v>
      </c>
      <c r="E101" s="698" t="s">
        <v>1044</v>
      </c>
      <c r="F101" s="698" t="s">
        <v>16</v>
      </c>
      <c r="G101" s="700" t="s">
        <v>1059</v>
      </c>
      <c r="H101" s="700" t="s">
        <v>1522</v>
      </c>
      <c r="I101" s="466">
        <v>42034</v>
      </c>
      <c r="J101" s="466">
        <v>43131</v>
      </c>
      <c r="K101" s="589" t="s">
        <v>1511</v>
      </c>
      <c r="L101" s="699">
        <v>9000</v>
      </c>
      <c r="M101" s="699">
        <v>0</v>
      </c>
      <c r="N101" s="699"/>
    </row>
    <row r="102" spans="1:15" x14ac:dyDescent="0.25">
      <c r="A102" s="691">
        <f t="shared" si="13"/>
        <v>6420</v>
      </c>
      <c r="B102" s="700" t="s">
        <v>39</v>
      </c>
      <c r="C102" s="700" t="s">
        <v>117</v>
      </c>
      <c r="D102" s="698" t="s">
        <v>470</v>
      </c>
      <c r="E102" s="698" t="s">
        <v>1044</v>
      </c>
      <c r="F102" s="698" t="s">
        <v>16</v>
      </c>
      <c r="G102" s="698" t="s">
        <v>1060</v>
      </c>
      <c r="H102" s="698" t="s">
        <v>1523</v>
      </c>
      <c r="I102" s="466">
        <v>42034</v>
      </c>
      <c r="J102" s="466">
        <v>43131</v>
      </c>
      <c r="K102" s="589" t="s">
        <v>1511</v>
      </c>
      <c r="L102" s="699">
        <v>18000</v>
      </c>
      <c r="M102" s="699">
        <v>4500</v>
      </c>
      <c r="N102" s="699"/>
    </row>
    <row r="103" spans="1:15" x14ac:dyDescent="0.25">
      <c r="A103" s="691">
        <f t="shared" si="13"/>
        <v>6420</v>
      </c>
      <c r="B103" s="700" t="s">
        <v>39</v>
      </c>
      <c r="C103" s="700" t="s">
        <v>117</v>
      </c>
      <c r="D103" s="698" t="s">
        <v>470</v>
      </c>
      <c r="E103" s="698" t="s">
        <v>1044</v>
      </c>
      <c r="F103" s="698" t="s">
        <v>16</v>
      </c>
      <c r="G103" s="698" t="s">
        <v>1061</v>
      </c>
      <c r="H103" s="698" t="s">
        <v>1524</v>
      </c>
      <c r="I103" s="466">
        <v>42034</v>
      </c>
      <c r="J103" s="466">
        <v>43131</v>
      </c>
      <c r="K103" s="589" t="s">
        <v>1511</v>
      </c>
      <c r="L103" s="699">
        <v>18000</v>
      </c>
      <c r="M103" s="699">
        <v>18000</v>
      </c>
      <c r="N103" s="699"/>
    </row>
    <row r="104" spans="1:15" x14ac:dyDescent="0.25">
      <c r="A104" s="691">
        <f t="shared" si="13"/>
        <v>6420</v>
      </c>
      <c r="B104" s="700" t="s">
        <v>39</v>
      </c>
      <c r="C104" s="700" t="s">
        <v>117</v>
      </c>
      <c r="D104" s="698" t="s">
        <v>470</v>
      </c>
      <c r="E104" s="698" t="s">
        <v>1044</v>
      </c>
      <c r="F104" s="698" t="s">
        <v>16</v>
      </c>
      <c r="G104" s="698" t="s">
        <v>1062</v>
      </c>
      <c r="H104" s="698" t="s">
        <v>1525</v>
      </c>
      <c r="I104" s="466">
        <v>42034</v>
      </c>
      <c r="J104" s="466">
        <v>43131</v>
      </c>
      <c r="K104" s="589" t="s">
        <v>1511</v>
      </c>
      <c r="L104" s="699">
        <v>18000</v>
      </c>
      <c r="M104" s="699">
        <v>0</v>
      </c>
      <c r="N104" s="699"/>
    </row>
    <row r="105" spans="1:15" x14ac:dyDescent="0.25">
      <c r="A105" s="691">
        <f t="shared" si="13"/>
        <v>6420</v>
      </c>
      <c r="B105" s="700" t="s">
        <v>39</v>
      </c>
      <c r="C105" s="700" t="s">
        <v>692</v>
      </c>
      <c r="D105" s="698" t="s">
        <v>470</v>
      </c>
      <c r="E105" s="698" t="s">
        <v>1055</v>
      </c>
      <c r="F105" s="700" t="s">
        <v>16</v>
      </c>
      <c r="G105" s="698" t="s">
        <v>1467</v>
      </c>
      <c r="H105" s="700" t="s">
        <v>1519</v>
      </c>
      <c r="I105" s="596">
        <v>41821</v>
      </c>
      <c r="J105" s="596">
        <v>42916</v>
      </c>
      <c r="K105" s="589">
        <v>750000</v>
      </c>
      <c r="L105" s="699">
        <v>8000</v>
      </c>
      <c r="M105" s="699">
        <v>43000</v>
      </c>
      <c r="N105" s="699">
        <v>20000</v>
      </c>
      <c r="O105" s="4" t="s">
        <v>1287</v>
      </c>
    </row>
    <row r="106" spans="1:15" x14ac:dyDescent="0.25">
      <c r="A106" s="691">
        <f t="shared" si="13"/>
        <v>6420</v>
      </c>
      <c r="B106" s="700" t="s">
        <v>39</v>
      </c>
      <c r="C106" s="700" t="s">
        <v>692</v>
      </c>
      <c r="D106" s="700" t="s">
        <v>470</v>
      </c>
      <c r="E106" s="700" t="s">
        <v>1057</v>
      </c>
      <c r="F106" s="700" t="s">
        <v>16</v>
      </c>
      <c r="G106" s="700" t="s">
        <v>1056</v>
      </c>
      <c r="H106" s="700" t="s">
        <v>1520</v>
      </c>
      <c r="I106" s="596">
        <v>41821</v>
      </c>
      <c r="J106" s="596">
        <v>42916</v>
      </c>
      <c r="K106" s="589">
        <v>600000</v>
      </c>
      <c r="L106" s="699"/>
      <c r="M106" s="699">
        <v>4068.75</v>
      </c>
      <c r="N106" s="699">
        <v>50000</v>
      </c>
      <c r="O106" s="4" t="s">
        <v>1287</v>
      </c>
    </row>
    <row r="107" spans="1:15" x14ac:dyDescent="0.25">
      <c r="A107" s="691">
        <f t="shared" si="13"/>
        <v>6420</v>
      </c>
      <c r="B107" s="700" t="s">
        <v>34</v>
      </c>
      <c r="C107" s="700" t="s">
        <v>692</v>
      </c>
      <c r="D107" s="698" t="s">
        <v>470</v>
      </c>
      <c r="E107" s="698" t="s">
        <v>1598</v>
      </c>
      <c r="F107" s="700" t="s">
        <v>17</v>
      </c>
      <c r="G107" s="700" t="s">
        <v>1054</v>
      </c>
      <c r="H107" s="700"/>
      <c r="I107" s="596"/>
      <c r="J107" s="596">
        <v>42551</v>
      </c>
      <c r="K107" s="589"/>
      <c r="L107" s="699"/>
      <c r="M107" s="699"/>
      <c r="N107" s="699">
        <v>48000</v>
      </c>
      <c r="O107" s="4" t="s">
        <v>1287</v>
      </c>
    </row>
    <row r="108" spans="1:15" x14ac:dyDescent="0.25">
      <c r="A108" s="691">
        <f t="shared" si="13"/>
        <v>6420</v>
      </c>
      <c r="B108" s="700" t="s">
        <v>34</v>
      </c>
      <c r="C108" s="700" t="s">
        <v>121</v>
      </c>
      <c r="D108" s="700" t="s">
        <v>470</v>
      </c>
      <c r="E108" s="700" t="s">
        <v>1041</v>
      </c>
      <c r="F108" s="700" t="s">
        <v>16</v>
      </c>
      <c r="G108" s="700" t="s">
        <v>1042</v>
      </c>
      <c r="H108" s="700" t="s">
        <v>1526</v>
      </c>
      <c r="I108" s="596">
        <v>40898</v>
      </c>
      <c r="J108" s="596">
        <v>42551</v>
      </c>
      <c r="K108" s="589" t="s">
        <v>1511</v>
      </c>
      <c r="L108" s="699">
        <v>46508.959999999999</v>
      </c>
      <c r="M108" s="699">
        <v>8880</v>
      </c>
      <c r="N108" s="699">
        <v>16000</v>
      </c>
      <c r="O108" s="4" t="s">
        <v>1287</v>
      </c>
    </row>
    <row r="109" spans="1:15" x14ac:dyDescent="0.25">
      <c r="A109" s="691">
        <f t="shared" si="13"/>
        <v>6420</v>
      </c>
      <c r="B109" s="700" t="s">
        <v>34</v>
      </c>
      <c r="C109" s="700" t="s">
        <v>121</v>
      </c>
      <c r="D109" s="698" t="s">
        <v>470</v>
      </c>
      <c r="E109" s="698" t="s">
        <v>1043</v>
      </c>
      <c r="F109" s="698" t="s">
        <v>16</v>
      </c>
      <c r="G109" s="698" t="s">
        <v>1043</v>
      </c>
      <c r="H109" s="698" t="s">
        <v>1527</v>
      </c>
      <c r="I109" s="466">
        <v>42186</v>
      </c>
      <c r="J109" s="466">
        <v>43281</v>
      </c>
      <c r="K109" s="589">
        <v>30000</v>
      </c>
      <c r="L109" s="699">
        <v>2650</v>
      </c>
      <c r="M109" s="699">
        <v>3650</v>
      </c>
      <c r="N109" s="699">
        <v>4000</v>
      </c>
      <c r="O109" s="4" t="s">
        <v>1287</v>
      </c>
    </row>
    <row r="110" spans="1:15" x14ac:dyDescent="0.25">
      <c r="A110" s="691" t="e">
        <f t="shared" ref="A110:A112" si="14">VLOOKUP(D110,ProfExpCodes,2)</f>
        <v>#N/A</v>
      </c>
      <c r="B110" s="700"/>
      <c r="C110" s="700"/>
      <c r="D110" s="698"/>
      <c r="E110" s="698"/>
      <c r="F110" s="698"/>
      <c r="G110" s="639"/>
      <c r="H110" s="698"/>
      <c r="I110" s="466"/>
      <c r="J110" s="466"/>
      <c r="K110" s="589"/>
      <c r="L110" s="699"/>
      <c r="M110" s="699"/>
      <c r="N110" s="699"/>
    </row>
    <row r="111" spans="1:15" x14ac:dyDescent="0.25">
      <c r="A111" s="691" t="e">
        <f t="shared" si="14"/>
        <v>#N/A</v>
      </c>
      <c r="B111" s="700"/>
      <c r="C111" s="700"/>
      <c r="D111" s="698"/>
      <c r="E111" s="698"/>
      <c r="F111" s="698"/>
      <c r="G111" s="639"/>
      <c r="H111" s="698"/>
      <c r="I111" s="466"/>
      <c r="J111" s="466"/>
      <c r="K111" s="589"/>
      <c r="L111" s="699"/>
      <c r="M111" s="699"/>
      <c r="N111" s="699"/>
    </row>
    <row r="112" spans="1:15" x14ac:dyDescent="0.25">
      <c r="A112" s="691" t="e">
        <f t="shared" si="14"/>
        <v>#N/A</v>
      </c>
      <c r="B112" s="700"/>
      <c r="C112" s="700"/>
      <c r="D112" s="698"/>
      <c r="E112" s="698"/>
      <c r="F112" s="698"/>
      <c r="G112" s="639"/>
      <c r="H112" s="698"/>
      <c r="I112" s="466"/>
      <c r="J112" s="466"/>
      <c r="K112" s="589"/>
      <c r="L112" s="699"/>
      <c r="M112" s="699"/>
      <c r="N112" s="699"/>
    </row>
    <row r="113" spans="1:14" x14ac:dyDescent="0.25">
      <c r="A113" s="691" t="e">
        <f t="shared" ref="A113" si="15">VLOOKUP(D113,ProfExpCodes,2)</f>
        <v>#N/A</v>
      </c>
      <c r="B113" s="700"/>
      <c r="C113" s="700"/>
      <c r="D113" s="698"/>
      <c r="E113" s="698"/>
      <c r="F113" s="698"/>
      <c r="G113" s="639"/>
      <c r="H113" s="698"/>
      <c r="I113" s="466"/>
      <c r="J113" s="466"/>
      <c r="K113" s="589"/>
      <c r="L113" s="699"/>
      <c r="M113" s="699"/>
      <c r="N113" s="699"/>
    </row>
    <row r="114" spans="1:14" x14ac:dyDescent="0.25">
      <c r="A114" s="255" t="e">
        <f t="shared" ref="A114:A156" si="16">VLOOKUP(D114,ProfExpCodes,2)</f>
        <v>#N/A</v>
      </c>
      <c r="B114" s="518"/>
      <c r="C114" s="518"/>
      <c r="D114" s="467"/>
      <c r="E114" s="467"/>
      <c r="F114" s="467"/>
      <c r="G114" s="639"/>
      <c r="H114" s="467"/>
      <c r="I114" s="466"/>
      <c r="J114" s="466"/>
      <c r="K114" s="589"/>
      <c r="L114" s="516"/>
      <c r="M114" s="516"/>
      <c r="N114" s="516"/>
    </row>
    <row r="115" spans="1:14" x14ac:dyDescent="0.25">
      <c r="A115" s="255" t="e">
        <f t="shared" si="16"/>
        <v>#N/A</v>
      </c>
      <c r="B115" s="518"/>
      <c r="C115" s="518"/>
      <c r="D115" s="467"/>
      <c r="E115" s="467"/>
      <c r="F115" s="467"/>
      <c r="G115" s="639"/>
      <c r="H115" s="467"/>
      <c r="I115" s="466"/>
      <c r="J115" s="466"/>
      <c r="K115" s="589"/>
      <c r="L115" s="516"/>
      <c r="M115" s="516"/>
      <c r="N115" s="516"/>
    </row>
    <row r="116" spans="1:14" x14ac:dyDescent="0.25">
      <c r="A116" s="255" t="e">
        <f t="shared" si="16"/>
        <v>#N/A</v>
      </c>
      <c r="B116" s="518"/>
      <c r="C116" s="518"/>
      <c r="D116" s="467"/>
      <c r="E116" s="467"/>
      <c r="F116" s="467"/>
      <c r="G116" s="467"/>
      <c r="H116" s="467"/>
      <c r="I116" s="466"/>
      <c r="J116" s="466"/>
      <c r="K116" s="589"/>
      <c r="L116" s="516"/>
      <c r="M116" s="516"/>
      <c r="N116" s="516"/>
    </row>
    <row r="117" spans="1:14" x14ac:dyDescent="0.25">
      <c r="A117" s="255" t="e">
        <f t="shared" si="16"/>
        <v>#N/A</v>
      </c>
      <c r="B117" s="518"/>
      <c r="C117" s="518"/>
      <c r="D117" s="467"/>
      <c r="E117" s="467"/>
      <c r="F117" s="467"/>
      <c r="G117" s="467"/>
      <c r="H117" s="467"/>
      <c r="I117" s="466"/>
      <c r="J117" s="466"/>
      <c r="K117" s="589"/>
      <c r="L117" s="516"/>
      <c r="M117" s="516"/>
      <c r="N117" s="516"/>
    </row>
    <row r="118" spans="1:14" x14ac:dyDescent="0.25">
      <c r="A118" s="255" t="e">
        <f t="shared" si="16"/>
        <v>#N/A</v>
      </c>
      <c r="B118" s="518"/>
      <c r="C118" s="518"/>
      <c r="D118" s="467"/>
      <c r="E118" s="467"/>
      <c r="F118" s="467"/>
      <c r="G118" s="467"/>
      <c r="H118" s="467"/>
      <c r="I118" s="466"/>
      <c r="J118" s="466"/>
      <c r="K118" s="589"/>
      <c r="L118" s="516"/>
      <c r="M118" s="516"/>
      <c r="N118" s="516"/>
    </row>
    <row r="119" spans="1:14" x14ac:dyDescent="0.25">
      <c r="A119" s="255" t="e">
        <f t="shared" si="16"/>
        <v>#N/A</v>
      </c>
      <c r="B119" s="518"/>
      <c r="C119" s="518"/>
      <c r="D119" s="467"/>
      <c r="E119" s="467"/>
      <c r="F119" s="467"/>
      <c r="G119" s="467"/>
      <c r="H119" s="467"/>
      <c r="I119" s="466"/>
      <c r="J119" s="466"/>
      <c r="K119" s="589"/>
      <c r="L119" s="516"/>
      <c r="M119" s="516"/>
      <c r="N119" s="516"/>
    </row>
    <row r="120" spans="1:14" x14ac:dyDescent="0.25">
      <c r="A120" s="255" t="e">
        <f t="shared" si="16"/>
        <v>#N/A</v>
      </c>
      <c r="B120" s="518"/>
      <c r="C120" s="518"/>
      <c r="D120" s="467"/>
      <c r="E120" s="467"/>
      <c r="F120" s="467"/>
      <c r="G120" s="467"/>
      <c r="H120" s="467"/>
      <c r="I120" s="466"/>
      <c r="J120" s="466"/>
      <c r="K120" s="589"/>
      <c r="L120" s="516"/>
      <c r="M120" s="516"/>
      <c r="N120" s="516"/>
    </row>
    <row r="121" spans="1:14" x14ac:dyDescent="0.25">
      <c r="A121" s="255" t="e">
        <f t="shared" si="16"/>
        <v>#N/A</v>
      </c>
      <c r="B121" s="518"/>
      <c r="C121" s="518"/>
      <c r="D121" s="467"/>
      <c r="E121" s="467"/>
      <c r="F121" s="467"/>
      <c r="G121" s="467"/>
      <c r="H121" s="467"/>
      <c r="I121" s="466"/>
      <c r="J121" s="466"/>
      <c r="K121" s="589"/>
      <c r="L121" s="516"/>
      <c r="M121" s="516"/>
      <c r="N121" s="516"/>
    </row>
    <row r="122" spans="1:14" x14ac:dyDescent="0.25">
      <c r="A122" s="255" t="e">
        <f t="shared" si="16"/>
        <v>#N/A</v>
      </c>
      <c r="B122" s="518"/>
      <c r="C122" s="518"/>
      <c r="D122" s="467"/>
      <c r="E122" s="467"/>
      <c r="F122" s="467"/>
      <c r="G122" s="467"/>
      <c r="H122" s="467"/>
      <c r="I122" s="466"/>
      <c r="J122" s="466"/>
      <c r="K122" s="589"/>
      <c r="L122" s="516"/>
      <c r="M122" s="516"/>
      <c r="N122" s="516"/>
    </row>
    <row r="123" spans="1:14" x14ac:dyDescent="0.25">
      <c r="A123" s="255" t="e">
        <f t="shared" si="16"/>
        <v>#N/A</v>
      </c>
      <c r="B123" s="518"/>
      <c r="C123" s="518"/>
      <c r="D123" s="467"/>
      <c r="E123" s="467"/>
      <c r="F123" s="467"/>
      <c r="G123" s="467"/>
      <c r="H123" s="467"/>
      <c r="I123" s="466"/>
      <c r="J123" s="466"/>
      <c r="K123" s="589"/>
      <c r="L123" s="516"/>
      <c r="M123" s="516"/>
      <c r="N123" s="516"/>
    </row>
    <row r="124" spans="1:14" x14ac:dyDescent="0.25">
      <c r="A124" s="255" t="e">
        <f t="shared" si="16"/>
        <v>#N/A</v>
      </c>
      <c r="B124" s="518"/>
      <c r="C124" s="518"/>
      <c r="D124" s="467"/>
      <c r="E124" s="467"/>
      <c r="F124" s="467"/>
      <c r="G124" s="467"/>
      <c r="H124" s="467"/>
      <c r="I124" s="466"/>
      <c r="J124" s="466"/>
      <c r="K124" s="589"/>
      <c r="L124" s="516"/>
      <c r="M124" s="516"/>
      <c r="N124" s="516"/>
    </row>
    <row r="125" spans="1:14" x14ac:dyDescent="0.25">
      <c r="A125" s="255" t="e">
        <f t="shared" si="16"/>
        <v>#N/A</v>
      </c>
      <c r="B125" s="518"/>
      <c r="C125" s="518"/>
      <c r="D125" s="467"/>
      <c r="E125" s="467"/>
      <c r="F125" s="467"/>
      <c r="G125" s="467"/>
      <c r="H125" s="467"/>
      <c r="I125" s="466"/>
      <c r="J125" s="466"/>
      <c r="K125" s="589"/>
      <c r="L125" s="516"/>
      <c r="M125" s="516"/>
      <c r="N125" s="516"/>
    </row>
    <row r="126" spans="1:14" x14ac:dyDescent="0.25">
      <c r="A126" s="358" t="e">
        <f t="shared" si="16"/>
        <v>#N/A</v>
      </c>
      <c r="B126" s="518"/>
      <c r="C126" s="518"/>
      <c r="D126" s="467"/>
      <c r="E126" s="467"/>
      <c r="F126" s="467"/>
      <c r="G126" s="467"/>
      <c r="H126" s="467"/>
      <c r="I126" s="466"/>
      <c r="J126" s="466"/>
      <c r="K126" s="589"/>
      <c r="L126" s="516"/>
      <c r="M126" s="516"/>
      <c r="N126" s="516"/>
    </row>
    <row r="127" spans="1:14" x14ac:dyDescent="0.25">
      <c r="A127" s="358" t="e">
        <f t="shared" si="16"/>
        <v>#N/A</v>
      </c>
      <c r="B127" s="518"/>
      <c r="C127" s="518"/>
      <c r="D127" s="590"/>
      <c r="E127" s="590"/>
      <c r="F127" s="590"/>
      <c r="G127" s="590"/>
      <c r="H127" s="590"/>
      <c r="I127" s="597"/>
      <c r="J127" s="597"/>
      <c r="K127" s="74"/>
      <c r="L127" s="74"/>
      <c r="M127" s="74"/>
      <c r="N127" s="74"/>
    </row>
    <row r="128" spans="1:14" x14ac:dyDescent="0.25">
      <c r="A128" s="358" t="e">
        <f t="shared" si="16"/>
        <v>#N/A</v>
      </c>
      <c r="B128" s="518"/>
      <c r="C128" s="518"/>
      <c r="D128" s="590"/>
      <c r="E128" s="590"/>
      <c r="F128" s="590"/>
      <c r="G128" s="590"/>
      <c r="H128" s="590"/>
      <c r="I128" s="597"/>
      <c r="J128" s="597"/>
      <c r="K128" s="74"/>
      <c r="L128" s="74"/>
      <c r="M128" s="74"/>
      <c r="N128" s="74"/>
    </row>
    <row r="129" spans="1:14" x14ac:dyDescent="0.25">
      <c r="A129" s="358" t="e">
        <f t="shared" si="16"/>
        <v>#N/A</v>
      </c>
      <c r="B129" s="518"/>
      <c r="C129" s="518"/>
      <c r="D129" s="590"/>
      <c r="E129" s="590"/>
      <c r="F129" s="590"/>
      <c r="G129" s="590"/>
      <c r="H129" s="590"/>
      <c r="I129" s="597"/>
      <c r="J129" s="597"/>
      <c r="K129" s="74"/>
      <c r="L129" s="74"/>
      <c r="M129" s="74"/>
      <c r="N129" s="74"/>
    </row>
    <row r="130" spans="1:14" x14ac:dyDescent="0.25">
      <c r="A130" s="358" t="e">
        <f t="shared" si="16"/>
        <v>#N/A</v>
      </c>
      <c r="B130" s="518"/>
      <c r="C130" s="518"/>
      <c r="D130" s="590"/>
      <c r="E130" s="590"/>
      <c r="F130" s="590"/>
      <c r="G130" s="590"/>
      <c r="H130" s="590"/>
      <c r="I130" s="597"/>
      <c r="J130" s="597"/>
      <c r="K130" s="74"/>
      <c r="L130" s="74"/>
      <c r="M130" s="74"/>
      <c r="N130" s="74"/>
    </row>
    <row r="131" spans="1:14" x14ac:dyDescent="0.25">
      <c r="A131" s="358" t="e">
        <f t="shared" si="16"/>
        <v>#N/A</v>
      </c>
      <c r="B131" s="518"/>
      <c r="C131" s="518"/>
      <c r="D131" s="590"/>
      <c r="E131" s="590"/>
      <c r="F131" s="590"/>
      <c r="G131" s="590"/>
      <c r="H131" s="590"/>
      <c r="I131" s="597"/>
      <c r="J131" s="597"/>
      <c r="K131" s="74"/>
      <c r="L131" s="74"/>
      <c r="M131" s="74"/>
      <c r="N131" s="74"/>
    </row>
    <row r="132" spans="1:14" x14ac:dyDescent="0.25">
      <c r="A132" s="358" t="e">
        <f t="shared" si="16"/>
        <v>#N/A</v>
      </c>
      <c r="B132" s="518"/>
      <c r="C132" s="518"/>
      <c r="D132" s="590"/>
      <c r="E132" s="590"/>
      <c r="F132" s="590"/>
      <c r="G132" s="590"/>
      <c r="H132" s="590"/>
      <c r="I132" s="597"/>
      <c r="J132" s="597"/>
      <c r="K132" s="74"/>
      <c r="L132" s="74"/>
      <c r="M132" s="74"/>
      <c r="N132" s="74"/>
    </row>
    <row r="133" spans="1:14" x14ac:dyDescent="0.25">
      <c r="A133" s="358" t="e">
        <f t="shared" si="16"/>
        <v>#N/A</v>
      </c>
      <c r="B133" s="518"/>
      <c r="C133" s="518"/>
      <c r="D133" s="590"/>
      <c r="E133" s="590"/>
      <c r="F133" s="590"/>
      <c r="G133" s="590"/>
      <c r="H133" s="590"/>
      <c r="I133" s="597"/>
      <c r="J133" s="597"/>
      <c r="K133" s="74"/>
      <c r="L133" s="74"/>
      <c r="M133" s="74"/>
      <c r="N133" s="74"/>
    </row>
    <row r="134" spans="1:14" x14ac:dyDescent="0.25">
      <c r="A134" s="358" t="e">
        <f t="shared" si="16"/>
        <v>#N/A</v>
      </c>
      <c r="B134" s="518"/>
      <c r="C134" s="518"/>
      <c r="D134" s="590"/>
      <c r="E134" s="590"/>
      <c r="F134" s="590"/>
      <c r="G134" s="590"/>
      <c r="H134" s="590"/>
      <c r="I134" s="597"/>
      <c r="J134" s="597"/>
      <c r="K134" s="74"/>
      <c r="L134" s="74"/>
      <c r="M134" s="74"/>
      <c r="N134" s="74"/>
    </row>
    <row r="135" spans="1:14" x14ac:dyDescent="0.25">
      <c r="A135" s="358" t="e">
        <f t="shared" si="16"/>
        <v>#N/A</v>
      </c>
      <c r="B135" s="518"/>
      <c r="C135" s="518"/>
      <c r="D135" s="590"/>
      <c r="E135" s="590"/>
      <c r="F135" s="590"/>
      <c r="G135" s="590"/>
      <c r="H135" s="590"/>
      <c r="I135" s="597"/>
      <c r="J135" s="597"/>
      <c r="K135" s="74"/>
      <c r="L135" s="74"/>
      <c r="M135" s="74"/>
      <c r="N135" s="74"/>
    </row>
    <row r="136" spans="1:14" x14ac:dyDescent="0.25">
      <c r="A136" s="358" t="e">
        <f t="shared" si="16"/>
        <v>#N/A</v>
      </c>
      <c r="B136" s="518"/>
      <c r="C136" s="518"/>
      <c r="D136" s="590"/>
      <c r="E136" s="590"/>
      <c r="F136" s="590"/>
      <c r="G136" s="590"/>
      <c r="H136" s="590"/>
      <c r="I136" s="597"/>
      <c r="J136" s="597"/>
      <c r="K136" s="74"/>
      <c r="L136" s="74"/>
      <c r="M136" s="74"/>
      <c r="N136" s="74"/>
    </row>
    <row r="137" spans="1:14" x14ac:dyDescent="0.25">
      <c r="A137" s="358" t="e">
        <f t="shared" si="16"/>
        <v>#N/A</v>
      </c>
      <c r="B137" s="518"/>
      <c r="C137" s="518"/>
      <c r="D137" s="590"/>
      <c r="E137" s="590"/>
      <c r="F137" s="590"/>
      <c r="G137" s="590"/>
      <c r="H137" s="590"/>
      <c r="I137" s="597"/>
      <c r="J137" s="597"/>
      <c r="K137" s="74"/>
      <c r="L137" s="74"/>
      <c r="M137" s="74"/>
      <c r="N137" s="74"/>
    </row>
    <row r="138" spans="1:14" x14ac:dyDescent="0.25">
      <c r="A138" s="358" t="e">
        <f t="shared" si="16"/>
        <v>#N/A</v>
      </c>
      <c r="B138" s="518"/>
      <c r="C138" s="518"/>
      <c r="D138" s="590"/>
      <c r="E138" s="590"/>
      <c r="F138" s="590"/>
      <c r="G138" s="590"/>
      <c r="H138" s="590"/>
      <c r="I138" s="597"/>
      <c r="J138" s="597"/>
      <c r="K138" s="74"/>
      <c r="L138" s="74"/>
      <c r="M138" s="74"/>
      <c r="N138" s="74"/>
    </row>
    <row r="139" spans="1:14" x14ac:dyDescent="0.25">
      <c r="A139" s="358" t="e">
        <f t="shared" si="16"/>
        <v>#N/A</v>
      </c>
      <c r="B139" s="518"/>
      <c r="C139" s="518"/>
      <c r="D139" s="590"/>
      <c r="E139" s="590"/>
      <c r="F139" s="590"/>
      <c r="G139" s="590"/>
      <c r="H139" s="590"/>
      <c r="I139" s="597"/>
      <c r="J139" s="597"/>
      <c r="K139" s="74"/>
      <c r="L139" s="74"/>
      <c r="M139" s="74"/>
      <c r="N139" s="74"/>
    </row>
    <row r="140" spans="1:14" x14ac:dyDescent="0.25">
      <c r="A140" s="358" t="e">
        <f t="shared" si="16"/>
        <v>#N/A</v>
      </c>
      <c r="B140" s="518"/>
      <c r="C140" s="518"/>
      <c r="D140" s="590"/>
      <c r="E140" s="590"/>
      <c r="F140" s="590"/>
      <c r="G140" s="590"/>
      <c r="H140" s="590"/>
      <c r="I140" s="597"/>
      <c r="J140" s="597"/>
      <c r="K140" s="74"/>
      <c r="L140" s="74"/>
      <c r="M140" s="74"/>
      <c r="N140" s="74"/>
    </row>
    <row r="141" spans="1:14" x14ac:dyDescent="0.25">
      <c r="A141" s="358" t="e">
        <f t="shared" si="16"/>
        <v>#N/A</v>
      </c>
      <c r="B141" s="518"/>
      <c r="C141" s="518"/>
      <c r="D141" s="590"/>
      <c r="E141" s="590"/>
      <c r="F141" s="590"/>
      <c r="G141" s="590"/>
      <c r="H141" s="590"/>
      <c r="I141" s="597"/>
      <c r="J141" s="597"/>
      <c r="K141" s="74"/>
      <c r="L141" s="74"/>
      <c r="M141" s="74"/>
      <c r="N141" s="74"/>
    </row>
    <row r="142" spans="1:14" x14ac:dyDescent="0.25">
      <c r="A142" s="358" t="e">
        <f t="shared" si="16"/>
        <v>#N/A</v>
      </c>
      <c r="B142" s="518"/>
      <c r="C142" s="518"/>
      <c r="D142" s="590"/>
      <c r="E142" s="590"/>
      <c r="F142" s="590"/>
      <c r="G142" s="590"/>
      <c r="H142" s="590"/>
      <c r="I142" s="597"/>
      <c r="J142" s="597"/>
      <c r="K142" s="74"/>
      <c r="L142" s="74"/>
      <c r="M142" s="74"/>
      <c r="N142" s="74"/>
    </row>
    <row r="143" spans="1:14" x14ac:dyDescent="0.25">
      <c r="A143" s="358" t="e">
        <f t="shared" si="16"/>
        <v>#N/A</v>
      </c>
      <c r="B143" s="518"/>
      <c r="C143" s="518"/>
      <c r="D143" s="590"/>
      <c r="E143" s="590"/>
      <c r="F143" s="590"/>
      <c r="G143" s="590"/>
      <c r="H143" s="590"/>
      <c r="I143" s="597"/>
      <c r="J143" s="597"/>
      <c r="K143" s="74"/>
      <c r="L143" s="74"/>
      <c r="M143" s="74"/>
      <c r="N143" s="74"/>
    </row>
    <row r="144" spans="1:14" x14ac:dyDescent="0.25">
      <c r="A144" s="358" t="e">
        <f t="shared" si="16"/>
        <v>#N/A</v>
      </c>
      <c r="B144" s="518"/>
      <c r="C144" s="518"/>
      <c r="D144" s="590"/>
      <c r="E144" s="590"/>
      <c r="F144" s="590"/>
      <c r="G144" s="590"/>
      <c r="H144" s="590"/>
      <c r="I144" s="597"/>
      <c r="J144" s="597"/>
      <c r="K144" s="74"/>
      <c r="L144" s="74"/>
      <c r="M144" s="74"/>
      <c r="N144" s="74"/>
    </row>
    <row r="145" spans="1:14" x14ac:dyDescent="0.25">
      <c r="A145" s="358" t="e">
        <f t="shared" si="16"/>
        <v>#N/A</v>
      </c>
      <c r="B145" s="518"/>
      <c r="C145" s="518"/>
      <c r="D145" s="590"/>
      <c r="E145" s="590"/>
      <c r="F145" s="590"/>
      <c r="G145" s="590"/>
      <c r="H145" s="590"/>
      <c r="I145" s="597"/>
      <c r="J145" s="597"/>
      <c r="K145" s="74"/>
      <c r="L145" s="74"/>
      <c r="M145" s="74"/>
      <c r="N145" s="74"/>
    </row>
    <row r="146" spans="1:14" x14ac:dyDescent="0.25">
      <c r="A146" s="358" t="e">
        <f t="shared" si="16"/>
        <v>#N/A</v>
      </c>
      <c r="B146" s="518"/>
      <c r="C146" s="518"/>
      <c r="D146" s="590"/>
      <c r="E146" s="590"/>
      <c r="F146" s="590"/>
      <c r="G146" s="590"/>
      <c r="H146" s="590"/>
      <c r="I146" s="597"/>
      <c r="J146" s="597"/>
      <c r="K146" s="74"/>
      <c r="L146" s="74"/>
      <c r="M146" s="74"/>
      <c r="N146" s="74"/>
    </row>
    <row r="147" spans="1:14" x14ac:dyDescent="0.25">
      <c r="A147" s="358" t="e">
        <f t="shared" si="16"/>
        <v>#N/A</v>
      </c>
      <c r="B147" s="518"/>
      <c r="C147" s="518"/>
      <c r="D147" s="590"/>
      <c r="E147" s="590"/>
      <c r="F147" s="590"/>
      <c r="G147" s="590"/>
      <c r="H147" s="590"/>
      <c r="I147" s="597"/>
      <c r="J147" s="597"/>
      <c r="K147" s="74"/>
      <c r="L147" s="74"/>
      <c r="M147" s="74"/>
      <c r="N147" s="74"/>
    </row>
    <row r="148" spans="1:14" x14ac:dyDescent="0.25">
      <c r="A148" s="358" t="e">
        <f t="shared" si="16"/>
        <v>#N/A</v>
      </c>
      <c r="B148" s="518"/>
      <c r="C148" s="518"/>
      <c r="D148" s="590"/>
      <c r="E148" s="590"/>
      <c r="F148" s="590"/>
      <c r="G148" s="590"/>
      <c r="H148" s="590"/>
      <c r="I148" s="597"/>
      <c r="J148" s="597"/>
      <c r="K148" s="74"/>
      <c r="L148" s="74"/>
      <c r="M148" s="74"/>
      <c r="N148" s="74"/>
    </row>
    <row r="149" spans="1:14" x14ac:dyDescent="0.25">
      <c r="A149" s="358" t="e">
        <f t="shared" si="16"/>
        <v>#N/A</v>
      </c>
      <c r="B149" s="518"/>
      <c r="C149" s="518"/>
      <c r="D149" s="590"/>
      <c r="E149" s="590"/>
      <c r="F149" s="590"/>
      <c r="G149" s="590"/>
      <c r="H149" s="590"/>
      <c r="I149" s="597"/>
      <c r="J149" s="597"/>
      <c r="K149" s="74"/>
      <c r="L149" s="74"/>
      <c r="M149" s="74"/>
      <c r="N149" s="74"/>
    </row>
    <row r="150" spans="1:14" x14ac:dyDescent="0.25">
      <c r="A150" s="358" t="e">
        <f t="shared" si="16"/>
        <v>#N/A</v>
      </c>
      <c r="B150" s="518"/>
      <c r="C150" s="518"/>
      <c r="D150" s="590"/>
      <c r="E150" s="590"/>
      <c r="F150" s="590"/>
      <c r="G150" s="590"/>
      <c r="H150" s="590"/>
      <c r="I150" s="597"/>
      <c r="J150" s="597"/>
      <c r="K150" s="74"/>
      <c r="L150" s="74"/>
      <c r="M150" s="74"/>
      <c r="N150" s="74"/>
    </row>
    <row r="151" spans="1:14" x14ac:dyDescent="0.25">
      <c r="A151" s="358" t="e">
        <f t="shared" si="16"/>
        <v>#N/A</v>
      </c>
      <c r="B151" s="518"/>
      <c r="C151" s="518"/>
      <c r="D151" s="590"/>
      <c r="E151" s="590"/>
      <c r="F151" s="590"/>
      <c r="G151" s="590"/>
      <c r="H151" s="590"/>
      <c r="I151" s="597"/>
      <c r="J151" s="597"/>
      <c r="K151" s="74"/>
      <c r="L151" s="74"/>
      <c r="M151" s="74"/>
      <c r="N151" s="74"/>
    </row>
    <row r="152" spans="1:14" x14ac:dyDescent="0.25">
      <c r="A152" s="358" t="e">
        <f t="shared" si="16"/>
        <v>#N/A</v>
      </c>
      <c r="B152" s="518"/>
      <c r="C152" s="518"/>
      <c r="D152" s="590"/>
      <c r="E152" s="590"/>
      <c r="F152" s="590"/>
      <c r="G152" s="590"/>
      <c r="H152" s="590"/>
      <c r="I152" s="597"/>
      <c r="J152" s="597"/>
      <c r="K152" s="74"/>
      <c r="L152" s="74"/>
      <c r="M152" s="74"/>
      <c r="N152" s="74"/>
    </row>
    <row r="153" spans="1:14" x14ac:dyDescent="0.25">
      <c r="A153" s="358" t="e">
        <f t="shared" si="16"/>
        <v>#N/A</v>
      </c>
      <c r="B153" s="518"/>
      <c r="C153" s="518"/>
      <c r="D153" s="590"/>
      <c r="E153" s="590"/>
      <c r="F153" s="590"/>
      <c r="G153" s="590"/>
      <c r="H153" s="590"/>
      <c r="I153" s="597"/>
      <c r="J153" s="597"/>
      <c r="K153" s="74"/>
      <c r="L153" s="74"/>
      <c r="M153" s="74"/>
      <c r="N153" s="74"/>
    </row>
    <row r="154" spans="1:14" x14ac:dyDescent="0.25">
      <c r="A154" s="358" t="e">
        <f t="shared" si="16"/>
        <v>#N/A</v>
      </c>
      <c r="B154" s="518"/>
      <c r="C154" s="518"/>
      <c r="D154" s="590"/>
      <c r="E154" s="590"/>
      <c r="F154" s="590"/>
      <c r="G154" s="590"/>
      <c r="H154" s="590"/>
      <c r="I154" s="597"/>
      <c r="J154" s="597"/>
      <c r="K154" s="74"/>
      <c r="L154" s="74"/>
      <c r="M154" s="74"/>
      <c r="N154" s="74"/>
    </row>
    <row r="155" spans="1:14" x14ac:dyDescent="0.25">
      <c r="A155" s="358" t="e">
        <f t="shared" si="16"/>
        <v>#N/A</v>
      </c>
      <c r="B155" s="518"/>
      <c r="C155" s="518"/>
      <c r="D155" s="590"/>
      <c r="E155" s="590"/>
      <c r="F155" s="590"/>
      <c r="G155" s="590"/>
      <c r="H155" s="590"/>
      <c r="I155" s="597"/>
      <c r="J155" s="597"/>
      <c r="K155" s="74"/>
      <c r="L155" s="74"/>
      <c r="M155" s="74"/>
      <c r="N155" s="74"/>
    </row>
    <row r="156" spans="1:14" x14ac:dyDescent="0.25">
      <c r="A156" s="358" t="e">
        <f t="shared" si="16"/>
        <v>#N/A</v>
      </c>
      <c r="B156" s="518"/>
      <c r="C156" s="518"/>
      <c r="D156" s="590"/>
      <c r="E156" s="590"/>
      <c r="F156" s="590"/>
      <c r="G156" s="590"/>
      <c r="H156" s="590"/>
      <c r="I156" s="597"/>
      <c r="J156" s="597"/>
      <c r="K156" s="74"/>
      <c r="L156" s="74"/>
      <c r="M156" s="74"/>
      <c r="N156" s="74"/>
    </row>
    <row r="157" spans="1:14" x14ac:dyDescent="0.25">
      <c r="A157" s="358" t="e">
        <f t="shared" ref="A157:A220" si="17">VLOOKUP(D157,ProfExpCodes,2)</f>
        <v>#N/A</v>
      </c>
      <c r="B157" s="518"/>
      <c r="C157" s="518"/>
      <c r="D157" s="590"/>
      <c r="E157" s="590"/>
      <c r="F157" s="590"/>
      <c r="G157" s="590"/>
      <c r="H157" s="590"/>
      <c r="I157" s="597"/>
      <c r="J157" s="597"/>
      <c r="K157" s="74"/>
      <c r="L157" s="74"/>
      <c r="M157" s="74"/>
      <c r="N157" s="74"/>
    </row>
    <row r="158" spans="1:14" x14ac:dyDescent="0.25">
      <c r="A158" s="358" t="e">
        <f t="shared" si="17"/>
        <v>#N/A</v>
      </c>
      <c r="B158" s="518"/>
      <c r="C158" s="518"/>
      <c r="D158" s="590"/>
      <c r="E158" s="590"/>
      <c r="F158" s="590"/>
      <c r="G158" s="590"/>
      <c r="H158" s="590"/>
      <c r="I158" s="597"/>
      <c r="J158" s="597"/>
      <c r="K158" s="74"/>
      <c r="L158" s="74"/>
      <c r="M158" s="74"/>
      <c r="N158" s="74"/>
    </row>
    <row r="159" spans="1:14" x14ac:dyDescent="0.25">
      <c r="A159" s="358" t="e">
        <f t="shared" si="17"/>
        <v>#N/A</v>
      </c>
      <c r="B159" s="518"/>
      <c r="C159" s="518"/>
      <c r="D159" s="590"/>
      <c r="E159" s="590"/>
      <c r="F159" s="590"/>
      <c r="G159" s="590"/>
      <c r="H159" s="590"/>
      <c r="I159" s="597"/>
      <c r="J159" s="597"/>
      <c r="K159" s="74"/>
      <c r="L159" s="74"/>
      <c r="M159" s="74"/>
      <c r="N159" s="74"/>
    </row>
    <row r="160" spans="1:14" x14ac:dyDescent="0.25">
      <c r="A160" s="358" t="e">
        <f t="shared" si="17"/>
        <v>#N/A</v>
      </c>
      <c r="B160" s="518"/>
      <c r="C160" s="518"/>
      <c r="D160" s="590"/>
      <c r="E160" s="590"/>
      <c r="F160" s="590"/>
      <c r="G160" s="590"/>
      <c r="H160" s="590"/>
      <c r="I160" s="597"/>
      <c r="J160" s="597"/>
      <c r="K160" s="74"/>
      <c r="L160" s="74"/>
      <c r="M160" s="74"/>
      <c r="N160" s="74"/>
    </row>
    <row r="161" spans="1:14" x14ac:dyDescent="0.25">
      <c r="A161" s="358" t="e">
        <f t="shared" si="17"/>
        <v>#N/A</v>
      </c>
      <c r="B161" s="518"/>
      <c r="C161" s="518"/>
      <c r="D161" s="590"/>
      <c r="E161" s="590"/>
      <c r="F161" s="590"/>
      <c r="G161" s="590"/>
      <c r="H161" s="590"/>
      <c r="I161" s="597"/>
      <c r="J161" s="597"/>
      <c r="K161" s="74"/>
      <c r="L161" s="74"/>
      <c r="M161" s="74"/>
      <c r="N161" s="74"/>
    </row>
    <row r="162" spans="1:14" x14ac:dyDescent="0.25">
      <c r="A162" s="358" t="e">
        <f t="shared" si="17"/>
        <v>#N/A</v>
      </c>
      <c r="B162" s="518"/>
      <c r="C162" s="518"/>
      <c r="D162" s="590"/>
      <c r="E162" s="590"/>
      <c r="F162" s="590"/>
      <c r="G162" s="590"/>
      <c r="H162" s="590"/>
      <c r="I162" s="597"/>
      <c r="J162" s="597"/>
      <c r="K162" s="74"/>
      <c r="L162" s="74"/>
      <c r="M162" s="74"/>
      <c r="N162" s="74"/>
    </row>
    <row r="163" spans="1:14" x14ac:dyDescent="0.25">
      <c r="A163" s="358" t="e">
        <f t="shared" si="17"/>
        <v>#N/A</v>
      </c>
      <c r="B163" s="518"/>
      <c r="C163" s="518"/>
      <c r="D163" s="590"/>
      <c r="E163" s="590"/>
      <c r="F163" s="590"/>
      <c r="G163" s="590"/>
      <c r="H163" s="590"/>
      <c r="I163" s="597"/>
      <c r="J163" s="597"/>
      <c r="K163" s="74"/>
      <c r="L163" s="74"/>
      <c r="M163" s="74"/>
      <c r="N163" s="74"/>
    </row>
    <row r="164" spans="1:14" x14ac:dyDescent="0.25">
      <c r="A164" s="358" t="e">
        <f t="shared" si="17"/>
        <v>#N/A</v>
      </c>
      <c r="B164" s="518"/>
      <c r="C164" s="518"/>
      <c r="D164" s="590"/>
      <c r="E164" s="590"/>
      <c r="F164" s="590"/>
      <c r="G164" s="590"/>
      <c r="H164" s="590"/>
      <c r="I164" s="597"/>
      <c r="J164" s="597"/>
      <c r="K164" s="74"/>
      <c r="L164" s="74"/>
      <c r="M164" s="74"/>
      <c r="N164" s="74"/>
    </row>
    <row r="165" spans="1:14" x14ac:dyDescent="0.25">
      <c r="A165" s="358" t="e">
        <f t="shared" si="17"/>
        <v>#N/A</v>
      </c>
      <c r="B165" s="518"/>
      <c r="C165" s="518"/>
      <c r="D165" s="590"/>
      <c r="E165" s="590"/>
      <c r="F165" s="590"/>
      <c r="G165" s="590"/>
      <c r="H165" s="590"/>
      <c r="I165" s="597"/>
      <c r="J165" s="597"/>
      <c r="K165" s="74"/>
      <c r="L165" s="74"/>
      <c r="M165" s="74"/>
      <c r="N165" s="74"/>
    </row>
    <row r="166" spans="1:14" x14ac:dyDescent="0.25">
      <c r="A166" s="358" t="e">
        <f t="shared" si="17"/>
        <v>#N/A</v>
      </c>
      <c r="B166" s="518"/>
      <c r="C166" s="518"/>
      <c r="D166" s="590"/>
      <c r="E166" s="590"/>
      <c r="F166" s="590"/>
      <c r="G166" s="590"/>
      <c r="H166" s="590"/>
      <c r="I166" s="597"/>
      <c r="J166" s="597"/>
      <c r="K166" s="74"/>
      <c r="L166" s="74"/>
      <c r="M166" s="74"/>
      <c r="N166" s="74"/>
    </row>
    <row r="167" spans="1:14" x14ac:dyDescent="0.25">
      <c r="A167" s="358" t="e">
        <f t="shared" si="17"/>
        <v>#N/A</v>
      </c>
      <c r="B167" s="518"/>
      <c r="C167" s="518"/>
      <c r="D167" s="590"/>
      <c r="E167" s="590"/>
      <c r="F167" s="590"/>
      <c r="G167" s="590"/>
      <c r="H167" s="590"/>
      <c r="I167" s="597"/>
      <c r="J167" s="597"/>
      <c r="K167" s="74"/>
      <c r="L167" s="74"/>
      <c r="M167" s="74"/>
      <c r="N167" s="74"/>
    </row>
    <row r="168" spans="1:14" x14ac:dyDescent="0.25">
      <c r="A168" s="358" t="e">
        <f t="shared" si="17"/>
        <v>#N/A</v>
      </c>
      <c r="B168" s="518"/>
      <c r="C168" s="518"/>
      <c r="D168" s="590"/>
      <c r="E168" s="590"/>
      <c r="F168" s="590"/>
      <c r="G168" s="590"/>
      <c r="H168" s="590"/>
      <c r="I168" s="597"/>
      <c r="J168" s="597"/>
      <c r="K168" s="74"/>
      <c r="L168" s="74"/>
      <c r="M168" s="74"/>
      <c r="N168" s="74"/>
    </row>
    <row r="169" spans="1:14" x14ac:dyDescent="0.25">
      <c r="A169" s="358" t="e">
        <f t="shared" si="17"/>
        <v>#N/A</v>
      </c>
      <c r="B169" s="518"/>
      <c r="C169" s="518"/>
      <c r="D169" s="590"/>
      <c r="E169" s="590"/>
      <c r="F169" s="590"/>
      <c r="G169" s="590"/>
      <c r="H169" s="590"/>
      <c r="I169" s="597"/>
      <c r="J169" s="597"/>
      <c r="K169" s="74"/>
      <c r="L169" s="74"/>
      <c r="M169" s="74"/>
      <c r="N169" s="74"/>
    </row>
    <row r="170" spans="1:14" x14ac:dyDescent="0.25">
      <c r="A170" s="358" t="e">
        <f t="shared" si="17"/>
        <v>#N/A</v>
      </c>
      <c r="B170" s="518"/>
      <c r="C170" s="518"/>
      <c r="D170" s="590"/>
      <c r="E170" s="590"/>
      <c r="F170" s="590"/>
      <c r="G170" s="590"/>
      <c r="H170" s="590"/>
      <c r="I170" s="597"/>
      <c r="J170" s="597"/>
      <c r="K170" s="74"/>
      <c r="L170" s="74"/>
      <c r="M170" s="74"/>
      <c r="N170" s="74"/>
    </row>
    <row r="171" spans="1:14" x14ac:dyDescent="0.25">
      <c r="A171" s="358" t="e">
        <f t="shared" si="17"/>
        <v>#N/A</v>
      </c>
      <c r="B171" s="518"/>
      <c r="C171" s="518"/>
      <c r="D171" s="590"/>
      <c r="E171" s="590"/>
      <c r="F171" s="590"/>
      <c r="G171" s="590"/>
      <c r="H171" s="590"/>
      <c r="I171" s="597"/>
      <c r="J171" s="597"/>
      <c r="K171" s="74"/>
      <c r="L171" s="74"/>
      <c r="M171" s="74"/>
      <c r="N171" s="74"/>
    </row>
    <row r="172" spans="1:14" x14ac:dyDescent="0.25">
      <c r="A172" s="358" t="e">
        <f t="shared" si="17"/>
        <v>#N/A</v>
      </c>
      <c r="B172" s="518"/>
      <c r="C172" s="518"/>
      <c r="D172" s="590"/>
      <c r="E172" s="590"/>
      <c r="F172" s="590"/>
      <c r="G172" s="590"/>
      <c r="H172" s="590"/>
      <c r="I172" s="597"/>
      <c r="J172" s="597"/>
      <c r="K172" s="74"/>
      <c r="L172" s="74"/>
      <c r="M172" s="74"/>
      <c r="N172" s="74"/>
    </row>
    <row r="173" spans="1:14" x14ac:dyDescent="0.25">
      <c r="A173" s="358" t="e">
        <f t="shared" si="17"/>
        <v>#N/A</v>
      </c>
      <c r="B173" s="518"/>
      <c r="C173" s="518"/>
      <c r="D173" s="590"/>
      <c r="E173" s="590"/>
      <c r="F173" s="590"/>
      <c r="G173" s="590"/>
      <c r="H173" s="590"/>
      <c r="I173" s="597"/>
      <c r="J173" s="597"/>
      <c r="K173" s="74"/>
      <c r="L173" s="74"/>
      <c r="M173" s="74"/>
      <c r="N173" s="74"/>
    </row>
    <row r="174" spans="1:14" x14ac:dyDescent="0.25">
      <c r="A174" s="358" t="e">
        <f t="shared" si="17"/>
        <v>#N/A</v>
      </c>
      <c r="B174" s="518"/>
      <c r="C174" s="518"/>
      <c r="D174" s="590"/>
      <c r="E174" s="590"/>
      <c r="F174" s="590"/>
      <c r="G174" s="590"/>
      <c r="H174" s="590"/>
      <c r="I174" s="597"/>
      <c r="J174" s="597"/>
      <c r="K174" s="74"/>
      <c r="L174" s="74"/>
      <c r="M174" s="74"/>
      <c r="N174" s="74"/>
    </row>
    <row r="175" spans="1:14" x14ac:dyDescent="0.25">
      <c r="A175" s="358" t="e">
        <f t="shared" si="17"/>
        <v>#N/A</v>
      </c>
      <c r="B175" s="518"/>
      <c r="C175" s="518"/>
      <c r="D175" s="590"/>
      <c r="E175" s="590"/>
      <c r="F175" s="590"/>
      <c r="G175" s="590"/>
      <c r="H175" s="590"/>
      <c r="I175" s="597"/>
      <c r="J175" s="597"/>
      <c r="K175" s="74"/>
      <c r="L175" s="74"/>
      <c r="M175" s="74"/>
      <c r="N175" s="74"/>
    </row>
    <row r="176" spans="1:14" x14ac:dyDescent="0.25">
      <c r="A176" s="358" t="e">
        <f t="shared" si="17"/>
        <v>#N/A</v>
      </c>
      <c r="B176" s="518"/>
      <c r="C176" s="518"/>
      <c r="D176" s="590"/>
      <c r="E176" s="590"/>
      <c r="F176" s="590"/>
      <c r="G176" s="590"/>
      <c r="H176" s="590"/>
      <c r="I176" s="597"/>
      <c r="J176" s="597"/>
      <c r="K176" s="74"/>
      <c r="L176" s="74"/>
      <c r="M176" s="74"/>
      <c r="N176" s="74"/>
    </row>
    <row r="177" spans="1:14" x14ac:dyDescent="0.25">
      <c r="A177" s="358" t="e">
        <f t="shared" si="17"/>
        <v>#N/A</v>
      </c>
      <c r="B177" s="518"/>
      <c r="C177" s="518"/>
      <c r="D177" s="590"/>
      <c r="E177" s="590"/>
      <c r="F177" s="590"/>
      <c r="G177" s="590"/>
      <c r="H177" s="590"/>
      <c r="I177" s="597"/>
      <c r="J177" s="597"/>
      <c r="K177" s="74"/>
      <c r="L177" s="74"/>
      <c r="M177" s="74"/>
      <c r="N177" s="74"/>
    </row>
    <row r="178" spans="1:14" x14ac:dyDescent="0.25">
      <c r="A178" s="358" t="e">
        <f t="shared" si="17"/>
        <v>#N/A</v>
      </c>
      <c r="B178" s="518"/>
      <c r="C178" s="518"/>
      <c r="D178" s="590"/>
      <c r="E178" s="590"/>
      <c r="F178" s="590"/>
      <c r="G178" s="590"/>
      <c r="H178" s="590"/>
      <c r="I178" s="597"/>
      <c r="J178" s="597"/>
      <c r="K178" s="74"/>
      <c r="L178" s="74"/>
      <c r="M178" s="74"/>
      <c r="N178" s="74"/>
    </row>
    <row r="179" spans="1:14" x14ac:dyDescent="0.25">
      <c r="A179" s="358" t="e">
        <f t="shared" si="17"/>
        <v>#N/A</v>
      </c>
      <c r="B179" s="518"/>
      <c r="C179" s="518"/>
      <c r="D179" s="590"/>
      <c r="E179" s="590"/>
      <c r="F179" s="590"/>
      <c r="G179" s="590"/>
      <c r="H179" s="590"/>
      <c r="I179" s="597"/>
      <c r="J179" s="597"/>
      <c r="K179" s="74"/>
      <c r="L179" s="74"/>
      <c r="M179" s="74"/>
      <c r="N179" s="74"/>
    </row>
    <row r="180" spans="1:14" x14ac:dyDescent="0.25">
      <c r="A180" s="358" t="e">
        <f t="shared" si="17"/>
        <v>#N/A</v>
      </c>
      <c r="B180" s="518"/>
      <c r="C180" s="518"/>
      <c r="D180" s="590"/>
      <c r="E180" s="590"/>
      <c r="F180" s="590"/>
      <c r="G180" s="590"/>
      <c r="H180" s="590"/>
      <c r="I180" s="597"/>
      <c r="J180" s="597"/>
      <c r="K180" s="74"/>
      <c r="L180" s="74"/>
      <c r="M180" s="74"/>
      <c r="N180" s="74"/>
    </row>
    <row r="181" spans="1:14" x14ac:dyDescent="0.25">
      <c r="A181" s="358" t="e">
        <f t="shared" si="17"/>
        <v>#N/A</v>
      </c>
      <c r="B181" s="518"/>
      <c r="C181" s="518"/>
      <c r="D181" s="590"/>
      <c r="E181" s="590"/>
      <c r="F181" s="590"/>
      <c r="G181" s="590"/>
      <c r="H181" s="590"/>
      <c r="I181" s="597"/>
      <c r="J181" s="597"/>
      <c r="K181" s="74"/>
      <c r="L181" s="74"/>
      <c r="M181" s="74"/>
      <c r="N181" s="74"/>
    </row>
    <row r="182" spans="1:14" x14ac:dyDescent="0.25">
      <c r="A182" s="358" t="e">
        <f t="shared" si="17"/>
        <v>#N/A</v>
      </c>
      <c r="B182" s="518"/>
      <c r="C182" s="518"/>
      <c r="D182" s="590"/>
      <c r="E182" s="590"/>
      <c r="F182" s="590"/>
      <c r="G182" s="590"/>
      <c r="H182" s="590"/>
      <c r="I182" s="597"/>
      <c r="J182" s="597"/>
      <c r="K182" s="74"/>
      <c r="L182" s="74"/>
      <c r="M182" s="74"/>
      <c r="N182" s="74"/>
    </row>
    <row r="183" spans="1:14" x14ac:dyDescent="0.25">
      <c r="A183" s="358" t="e">
        <f t="shared" si="17"/>
        <v>#N/A</v>
      </c>
      <c r="B183" s="518"/>
      <c r="C183" s="518"/>
      <c r="D183" s="590"/>
      <c r="E183" s="590"/>
      <c r="F183" s="590"/>
      <c r="G183" s="590"/>
      <c r="H183" s="590"/>
      <c r="I183" s="597"/>
      <c r="J183" s="597"/>
      <c r="K183" s="74"/>
      <c r="L183" s="74"/>
      <c r="M183" s="74"/>
      <c r="N183" s="74"/>
    </row>
    <row r="184" spans="1:14" x14ac:dyDescent="0.25">
      <c r="A184" s="358" t="e">
        <f t="shared" si="17"/>
        <v>#N/A</v>
      </c>
      <c r="B184" s="518"/>
      <c r="C184" s="518"/>
      <c r="D184" s="590"/>
      <c r="E184" s="590"/>
      <c r="F184" s="590"/>
      <c r="G184" s="590"/>
      <c r="H184" s="590"/>
      <c r="I184" s="597"/>
      <c r="J184" s="597"/>
      <c r="K184" s="74"/>
      <c r="L184" s="74"/>
      <c r="M184" s="74"/>
      <c r="N184" s="74"/>
    </row>
    <row r="185" spans="1:14" x14ac:dyDescent="0.25">
      <c r="A185" s="358" t="e">
        <f t="shared" si="17"/>
        <v>#N/A</v>
      </c>
      <c r="B185" s="518"/>
      <c r="C185" s="518"/>
      <c r="D185" s="590"/>
      <c r="E185" s="590"/>
      <c r="F185" s="590"/>
      <c r="G185" s="590"/>
      <c r="H185" s="590"/>
      <c r="I185" s="597"/>
      <c r="J185" s="597"/>
      <c r="K185" s="74"/>
      <c r="L185" s="74"/>
      <c r="M185" s="74"/>
      <c r="N185" s="74"/>
    </row>
    <row r="186" spans="1:14" x14ac:dyDescent="0.25">
      <c r="A186" s="358" t="e">
        <f t="shared" si="17"/>
        <v>#N/A</v>
      </c>
      <c r="B186" s="518"/>
      <c r="C186" s="518"/>
      <c r="D186" s="590"/>
      <c r="E186" s="590"/>
      <c r="F186" s="590"/>
      <c r="G186" s="590"/>
      <c r="H186" s="590"/>
      <c r="I186" s="597"/>
      <c r="J186" s="597"/>
      <c r="K186" s="74"/>
      <c r="L186" s="74"/>
      <c r="M186" s="74"/>
      <c r="N186" s="74"/>
    </row>
    <row r="187" spans="1:14" x14ac:dyDescent="0.25">
      <c r="A187" s="358" t="e">
        <f t="shared" si="17"/>
        <v>#N/A</v>
      </c>
      <c r="B187" s="518"/>
      <c r="C187" s="518"/>
      <c r="D187" s="590"/>
      <c r="E187" s="590"/>
      <c r="F187" s="590"/>
      <c r="G187" s="590"/>
      <c r="H187" s="590"/>
      <c r="I187" s="597"/>
      <c r="J187" s="597"/>
      <c r="K187" s="74"/>
      <c r="L187" s="74"/>
      <c r="M187" s="74"/>
      <c r="N187" s="74"/>
    </row>
    <row r="188" spans="1:14" x14ac:dyDescent="0.25">
      <c r="A188" s="358" t="e">
        <f t="shared" si="17"/>
        <v>#N/A</v>
      </c>
      <c r="B188" s="518"/>
      <c r="C188" s="518"/>
      <c r="D188" s="590"/>
      <c r="E188" s="590"/>
      <c r="F188" s="590"/>
      <c r="G188" s="590"/>
      <c r="H188" s="590"/>
      <c r="I188" s="597"/>
      <c r="J188" s="597"/>
      <c r="K188" s="74"/>
      <c r="L188" s="74"/>
      <c r="M188" s="74"/>
      <c r="N188" s="74"/>
    </row>
    <row r="189" spans="1:14" x14ac:dyDescent="0.25">
      <c r="A189" s="358" t="e">
        <f t="shared" si="17"/>
        <v>#N/A</v>
      </c>
      <c r="B189" s="518"/>
      <c r="C189" s="518"/>
      <c r="D189" s="590"/>
      <c r="E189" s="590"/>
      <c r="F189" s="590"/>
      <c r="G189" s="590"/>
      <c r="H189" s="590"/>
      <c r="I189" s="597"/>
      <c r="J189" s="597"/>
      <c r="K189" s="74"/>
      <c r="L189" s="74"/>
      <c r="M189" s="74"/>
      <c r="N189" s="74"/>
    </row>
    <row r="190" spans="1:14" x14ac:dyDescent="0.25">
      <c r="A190" s="358" t="e">
        <f t="shared" si="17"/>
        <v>#N/A</v>
      </c>
      <c r="B190" s="518"/>
      <c r="C190" s="518"/>
      <c r="D190" s="590"/>
      <c r="E190" s="590"/>
      <c r="F190" s="590"/>
      <c r="G190" s="590"/>
      <c r="H190" s="590"/>
      <c r="I190" s="597"/>
      <c r="J190" s="597"/>
      <c r="K190" s="74"/>
      <c r="L190" s="74"/>
      <c r="M190" s="74"/>
      <c r="N190" s="74"/>
    </row>
    <row r="191" spans="1:14" x14ac:dyDescent="0.25">
      <c r="A191" s="358" t="e">
        <f t="shared" si="17"/>
        <v>#N/A</v>
      </c>
      <c r="B191" s="518"/>
      <c r="C191" s="518"/>
      <c r="D191" s="590"/>
      <c r="E191" s="590"/>
      <c r="F191" s="590"/>
      <c r="G191" s="590"/>
      <c r="H191" s="590"/>
      <c r="I191" s="597"/>
      <c r="J191" s="597"/>
      <c r="K191" s="74"/>
      <c r="L191" s="74"/>
      <c r="M191" s="74"/>
      <c r="N191" s="74"/>
    </row>
    <row r="192" spans="1:14" x14ac:dyDescent="0.25">
      <c r="A192" s="358" t="e">
        <f t="shared" si="17"/>
        <v>#N/A</v>
      </c>
      <c r="B192" s="518"/>
      <c r="C192" s="518"/>
      <c r="D192" s="590"/>
      <c r="E192" s="590"/>
      <c r="F192" s="590"/>
      <c r="G192" s="590"/>
      <c r="H192" s="590"/>
      <c r="I192" s="597"/>
      <c r="J192" s="597"/>
      <c r="K192" s="74"/>
      <c r="L192" s="74"/>
      <c r="M192" s="74"/>
      <c r="N192" s="74"/>
    </row>
    <row r="193" spans="1:14" x14ac:dyDescent="0.25">
      <c r="A193" s="358" t="e">
        <f t="shared" si="17"/>
        <v>#N/A</v>
      </c>
      <c r="B193" s="518"/>
      <c r="C193" s="518"/>
      <c r="D193" s="590"/>
      <c r="E193" s="590"/>
      <c r="F193" s="590"/>
      <c r="G193" s="590"/>
      <c r="H193" s="590"/>
      <c r="I193" s="597"/>
      <c r="J193" s="597"/>
      <c r="K193" s="74"/>
      <c r="L193" s="74"/>
      <c r="M193" s="74"/>
      <c r="N193" s="74"/>
    </row>
    <row r="194" spans="1:14" x14ac:dyDescent="0.25">
      <c r="A194" s="358" t="e">
        <f t="shared" si="17"/>
        <v>#N/A</v>
      </c>
      <c r="B194" s="518"/>
      <c r="C194" s="518"/>
      <c r="D194" s="590"/>
      <c r="E194" s="590"/>
      <c r="F194" s="590"/>
      <c r="G194" s="590"/>
      <c r="H194" s="590"/>
      <c r="I194" s="597"/>
      <c r="J194" s="597"/>
      <c r="K194" s="74"/>
      <c r="L194" s="74"/>
      <c r="M194" s="74"/>
      <c r="N194" s="74"/>
    </row>
    <row r="195" spans="1:14" x14ac:dyDescent="0.25">
      <c r="A195" s="358" t="e">
        <f t="shared" si="17"/>
        <v>#N/A</v>
      </c>
      <c r="B195" s="518"/>
      <c r="C195" s="518"/>
      <c r="D195" s="590"/>
      <c r="E195" s="590"/>
      <c r="F195" s="590"/>
      <c r="G195" s="590"/>
      <c r="H195" s="590"/>
      <c r="I195" s="597"/>
      <c r="J195" s="597"/>
      <c r="K195" s="74"/>
      <c r="L195" s="74"/>
      <c r="M195" s="74"/>
      <c r="N195" s="74"/>
    </row>
    <row r="196" spans="1:14" x14ac:dyDescent="0.25">
      <c r="A196" s="358" t="e">
        <f t="shared" si="17"/>
        <v>#N/A</v>
      </c>
      <c r="B196" s="518"/>
      <c r="C196" s="518"/>
      <c r="D196" s="590"/>
      <c r="E196" s="590"/>
      <c r="F196" s="590"/>
      <c r="G196" s="590"/>
      <c r="H196" s="590"/>
      <c r="I196" s="597"/>
      <c r="J196" s="597"/>
      <c r="K196" s="74"/>
      <c r="L196" s="74"/>
      <c r="M196" s="74"/>
      <c r="N196" s="74"/>
    </row>
    <row r="197" spans="1:14" x14ac:dyDescent="0.25">
      <c r="A197" s="358" t="e">
        <f t="shared" si="17"/>
        <v>#N/A</v>
      </c>
      <c r="B197" s="518"/>
      <c r="C197" s="518"/>
      <c r="D197" s="590"/>
      <c r="E197" s="590"/>
      <c r="F197" s="590"/>
      <c r="G197" s="590"/>
      <c r="H197" s="590"/>
      <c r="I197" s="597"/>
      <c r="J197" s="597"/>
      <c r="K197" s="74"/>
      <c r="L197" s="74"/>
      <c r="M197" s="74"/>
      <c r="N197" s="74"/>
    </row>
    <row r="198" spans="1:14" x14ac:dyDescent="0.25">
      <c r="A198" s="358" t="e">
        <f t="shared" si="17"/>
        <v>#N/A</v>
      </c>
      <c r="B198" s="518"/>
      <c r="C198" s="518"/>
      <c r="D198" s="590"/>
      <c r="E198" s="590"/>
      <c r="F198" s="590"/>
      <c r="G198" s="590"/>
      <c r="H198" s="590"/>
      <c r="I198" s="597"/>
      <c r="J198" s="597"/>
      <c r="K198" s="74"/>
      <c r="L198" s="74"/>
      <c r="M198" s="74"/>
      <c r="N198" s="74"/>
    </row>
    <row r="199" spans="1:14" x14ac:dyDescent="0.25">
      <c r="A199" s="358" t="e">
        <f t="shared" si="17"/>
        <v>#N/A</v>
      </c>
      <c r="B199" s="518"/>
      <c r="C199" s="518"/>
      <c r="D199" s="590"/>
      <c r="E199" s="590"/>
      <c r="F199" s="590"/>
      <c r="G199" s="590"/>
      <c r="H199" s="590"/>
      <c r="I199" s="597"/>
      <c r="J199" s="597"/>
      <c r="K199" s="74"/>
      <c r="L199" s="74"/>
      <c r="M199" s="74"/>
      <c r="N199" s="74"/>
    </row>
    <row r="200" spans="1:14" x14ac:dyDescent="0.25">
      <c r="A200" s="358" t="e">
        <f t="shared" si="17"/>
        <v>#N/A</v>
      </c>
      <c r="B200" s="518"/>
      <c r="C200" s="518"/>
      <c r="D200" s="590"/>
      <c r="E200" s="590"/>
      <c r="F200" s="590"/>
      <c r="G200" s="590"/>
      <c r="H200" s="590"/>
      <c r="I200" s="597"/>
      <c r="J200" s="597"/>
      <c r="K200" s="74"/>
      <c r="L200" s="74"/>
      <c r="M200" s="74"/>
      <c r="N200" s="74"/>
    </row>
    <row r="201" spans="1:14" x14ac:dyDescent="0.25">
      <c r="A201" s="358" t="e">
        <f t="shared" si="17"/>
        <v>#N/A</v>
      </c>
      <c r="B201" s="518"/>
      <c r="C201" s="518"/>
      <c r="D201" s="590"/>
      <c r="E201" s="590"/>
      <c r="F201" s="590"/>
      <c r="G201" s="590"/>
      <c r="H201" s="590"/>
      <c r="I201" s="597"/>
      <c r="J201" s="597"/>
      <c r="K201" s="74"/>
      <c r="L201" s="74"/>
      <c r="M201" s="74"/>
      <c r="N201" s="74"/>
    </row>
    <row r="202" spans="1:14" x14ac:dyDescent="0.25">
      <c r="A202" s="358" t="e">
        <f t="shared" si="17"/>
        <v>#N/A</v>
      </c>
      <c r="B202" s="518"/>
      <c r="C202" s="518"/>
      <c r="D202" s="590"/>
      <c r="E202" s="590"/>
      <c r="F202" s="590"/>
      <c r="G202" s="590"/>
      <c r="H202" s="590"/>
      <c r="I202" s="597"/>
      <c r="J202" s="597"/>
      <c r="K202" s="74"/>
      <c r="L202" s="74"/>
      <c r="M202" s="74"/>
      <c r="N202" s="74"/>
    </row>
    <row r="203" spans="1:14" x14ac:dyDescent="0.25">
      <c r="A203" s="358" t="e">
        <f t="shared" si="17"/>
        <v>#N/A</v>
      </c>
      <c r="B203" s="518"/>
      <c r="C203" s="518"/>
      <c r="D203" s="590"/>
      <c r="E203" s="590"/>
      <c r="F203" s="590"/>
      <c r="G203" s="590"/>
      <c r="H203" s="590"/>
      <c r="I203" s="597"/>
      <c r="J203" s="597"/>
      <c r="K203" s="74"/>
      <c r="L203" s="74"/>
      <c r="M203" s="74"/>
      <c r="N203" s="74"/>
    </row>
    <row r="204" spans="1:14" x14ac:dyDescent="0.25">
      <c r="A204" s="358" t="e">
        <f t="shared" si="17"/>
        <v>#N/A</v>
      </c>
      <c r="B204" s="518"/>
      <c r="C204" s="518"/>
      <c r="D204" s="590"/>
      <c r="E204" s="590"/>
      <c r="F204" s="590"/>
      <c r="G204" s="590"/>
      <c r="H204" s="590"/>
      <c r="I204" s="597"/>
      <c r="J204" s="597"/>
      <c r="K204" s="74"/>
      <c r="L204" s="74"/>
      <c r="M204" s="74"/>
      <c r="N204" s="74"/>
    </row>
    <row r="205" spans="1:14" x14ac:dyDescent="0.25">
      <c r="A205" s="358" t="e">
        <f t="shared" si="17"/>
        <v>#N/A</v>
      </c>
      <c r="B205" s="518"/>
      <c r="C205" s="518"/>
      <c r="D205" s="590"/>
      <c r="E205" s="590"/>
      <c r="F205" s="590"/>
      <c r="G205" s="590"/>
      <c r="H205" s="590"/>
      <c r="I205" s="597"/>
      <c r="J205" s="597"/>
      <c r="K205" s="74"/>
      <c r="L205" s="74"/>
      <c r="M205" s="74"/>
      <c r="N205" s="74"/>
    </row>
    <row r="206" spans="1:14" x14ac:dyDescent="0.25">
      <c r="A206" s="358" t="e">
        <f t="shared" si="17"/>
        <v>#N/A</v>
      </c>
      <c r="B206" s="518"/>
      <c r="C206" s="518"/>
      <c r="D206" s="590"/>
      <c r="E206" s="590"/>
      <c r="F206" s="590"/>
      <c r="G206" s="590"/>
      <c r="H206" s="590"/>
      <c r="I206" s="597"/>
      <c r="J206" s="597"/>
      <c r="K206" s="74"/>
      <c r="L206" s="74"/>
      <c r="M206" s="74"/>
      <c r="N206" s="74"/>
    </row>
    <row r="207" spans="1:14" x14ac:dyDescent="0.25">
      <c r="A207" s="358" t="e">
        <f t="shared" si="17"/>
        <v>#N/A</v>
      </c>
      <c r="B207" s="518"/>
      <c r="C207" s="518"/>
      <c r="D207" s="590"/>
      <c r="E207" s="590"/>
      <c r="F207" s="590"/>
      <c r="G207" s="590"/>
      <c r="H207" s="590"/>
      <c r="I207" s="597"/>
      <c r="J207" s="597"/>
      <c r="K207" s="74"/>
      <c r="L207" s="74"/>
      <c r="M207" s="74"/>
      <c r="N207" s="74"/>
    </row>
    <row r="208" spans="1:14" x14ac:dyDescent="0.25">
      <c r="A208" s="358" t="e">
        <f t="shared" si="17"/>
        <v>#N/A</v>
      </c>
      <c r="B208" s="518"/>
      <c r="C208" s="518"/>
      <c r="D208" s="590"/>
      <c r="E208" s="590"/>
      <c r="F208" s="590"/>
      <c r="G208" s="590"/>
      <c r="H208" s="590"/>
      <c r="I208" s="597"/>
      <c r="J208" s="597"/>
      <c r="K208" s="74"/>
      <c r="L208" s="74"/>
      <c r="M208" s="74"/>
      <c r="N208" s="74"/>
    </row>
    <row r="209" spans="1:14" x14ac:dyDescent="0.25">
      <c r="A209" s="358" t="e">
        <f t="shared" si="17"/>
        <v>#N/A</v>
      </c>
      <c r="B209" s="518"/>
      <c r="C209" s="518"/>
      <c r="D209" s="590"/>
      <c r="E209" s="590"/>
      <c r="F209" s="590"/>
      <c r="G209" s="590"/>
      <c r="H209" s="590"/>
      <c r="I209" s="597"/>
      <c r="J209" s="597"/>
      <c r="K209" s="74"/>
      <c r="L209" s="74"/>
      <c r="M209" s="74"/>
      <c r="N209" s="74"/>
    </row>
    <row r="210" spans="1:14" x14ac:dyDescent="0.25">
      <c r="A210" s="358" t="e">
        <f t="shared" si="17"/>
        <v>#N/A</v>
      </c>
      <c r="B210" s="518"/>
      <c r="C210" s="518"/>
      <c r="D210" s="590"/>
      <c r="E210" s="590"/>
      <c r="F210" s="590"/>
      <c r="G210" s="590"/>
      <c r="H210" s="590"/>
      <c r="I210" s="597"/>
      <c r="J210" s="597"/>
      <c r="K210" s="74"/>
      <c r="L210" s="74"/>
      <c r="M210" s="74"/>
      <c r="N210" s="74"/>
    </row>
    <row r="211" spans="1:14" x14ac:dyDescent="0.25">
      <c r="A211" s="358" t="e">
        <f t="shared" si="17"/>
        <v>#N/A</v>
      </c>
      <c r="B211" s="518"/>
      <c r="C211" s="518"/>
      <c r="D211" s="590"/>
      <c r="E211" s="590"/>
      <c r="F211" s="590"/>
      <c r="G211" s="590"/>
      <c r="H211" s="590"/>
      <c r="I211" s="597"/>
      <c r="J211" s="597"/>
      <c r="K211" s="74"/>
      <c r="L211" s="74"/>
      <c r="M211" s="74"/>
      <c r="N211" s="74"/>
    </row>
    <row r="212" spans="1:14" x14ac:dyDescent="0.25">
      <c r="A212" s="358" t="e">
        <f t="shared" si="17"/>
        <v>#N/A</v>
      </c>
      <c r="B212" s="518"/>
      <c r="C212" s="518"/>
      <c r="D212" s="590"/>
      <c r="E212" s="590"/>
      <c r="F212" s="590"/>
      <c r="G212" s="590"/>
      <c r="H212" s="590"/>
      <c r="I212" s="597"/>
      <c r="J212" s="597"/>
      <c r="K212" s="74"/>
      <c r="L212" s="74"/>
      <c r="M212" s="74"/>
      <c r="N212" s="74"/>
    </row>
    <row r="213" spans="1:14" x14ac:dyDescent="0.25">
      <c r="A213" s="358" t="e">
        <f t="shared" si="17"/>
        <v>#N/A</v>
      </c>
      <c r="B213" s="518"/>
      <c r="C213" s="518"/>
      <c r="D213" s="590"/>
      <c r="E213" s="590"/>
      <c r="F213" s="590"/>
      <c r="G213" s="590"/>
      <c r="H213" s="590"/>
      <c r="I213" s="597"/>
      <c r="J213" s="597"/>
      <c r="K213" s="74"/>
      <c r="L213" s="74"/>
      <c r="M213" s="74"/>
      <c r="N213" s="74"/>
    </row>
    <row r="214" spans="1:14" x14ac:dyDescent="0.25">
      <c r="A214" s="358" t="e">
        <f t="shared" si="17"/>
        <v>#N/A</v>
      </c>
      <c r="B214" s="518"/>
      <c r="C214" s="518"/>
      <c r="D214" s="590"/>
      <c r="E214" s="590"/>
      <c r="F214" s="590"/>
      <c r="G214" s="590"/>
      <c r="H214" s="590"/>
      <c r="I214" s="597"/>
      <c r="J214" s="597"/>
      <c r="K214" s="74"/>
      <c r="L214" s="74"/>
      <c r="M214" s="74"/>
      <c r="N214" s="74"/>
    </row>
    <row r="215" spans="1:14" x14ac:dyDescent="0.25">
      <c r="A215" s="358" t="e">
        <f t="shared" si="17"/>
        <v>#N/A</v>
      </c>
      <c r="B215" s="518"/>
      <c r="C215" s="518"/>
      <c r="D215" s="590"/>
      <c r="E215" s="590"/>
      <c r="F215" s="590"/>
      <c r="G215" s="590"/>
      <c r="H215" s="590"/>
      <c r="I215" s="597"/>
      <c r="J215" s="597"/>
      <c r="K215" s="74"/>
      <c r="L215" s="74"/>
      <c r="M215" s="74"/>
      <c r="N215" s="74"/>
    </row>
    <row r="216" spans="1:14" x14ac:dyDescent="0.25">
      <c r="A216" s="358" t="e">
        <f t="shared" si="17"/>
        <v>#N/A</v>
      </c>
      <c r="B216" s="518"/>
      <c r="C216" s="518"/>
      <c r="D216" s="590"/>
      <c r="E216" s="590"/>
      <c r="F216" s="590"/>
      <c r="G216" s="590"/>
      <c r="H216" s="590"/>
      <c r="I216" s="597"/>
      <c r="J216" s="597"/>
      <c r="K216" s="74"/>
      <c r="L216" s="74"/>
      <c r="M216" s="74"/>
      <c r="N216" s="74"/>
    </row>
    <row r="217" spans="1:14" x14ac:dyDescent="0.25">
      <c r="A217" s="358" t="e">
        <f t="shared" si="17"/>
        <v>#N/A</v>
      </c>
      <c r="B217" s="518"/>
      <c r="C217" s="518"/>
      <c r="D217" s="590"/>
      <c r="E217" s="590"/>
      <c r="F217" s="590"/>
      <c r="G217" s="590"/>
      <c r="H217" s="590"/>
      <c r="I217" s="597"/>
      <c r="J217" s="597"/>
      <c r="K217" s="74"/>
      <c r="L217" s="74"/>
      <c r="M217" s="74"/>
      <c r="N217" s="74"/>
    </row>
    <row r="218" spans="1:14" x14ac:dyDescent="0.25">
      <c r="A218" s="358" t="e">
        <f t="shared" si="17"/>
        <v>#N/A</v>
      </c>
      <c r="B218" s="518"/>
      <c r="C218" s="518"/>
      <c r="D218" s="590"/>
      <c r="E218" s="590"/>
      <c r="F218" s="590"/>
      <c r="G218" s="590"/>
      <c r="H218" s="590"/>
      <c r="I218" s="597"/>
      <c r="J218" s="597"/>
      <c r="K218" s="74"/>
      <c r="L218" s="74"/>
      <c r="M218" s="74"/>
      <c r="N218" s="74"/>
    </row>
    <row r="219" spans="1:14" x14ac:dyDescent="0.25">
      <c r="A219" s="358" t="e">
        <f t="shared" si="17"/>
        <v>#N/A</v>
      </c>
      <c r="B219" s="518"/>
      <c r="C219" s="518"/>
      <c r="D219" s="590"/>
      <c r="E219" s="590"/>
      <c r="F219" s="590"/>
      <c r="G219" s="590"/>
      <c r="H219" s="590"/>
      <c r="I219" s="597"/>
      <c r="J219" s="597"/>
      <c r="K219" s="74"/>
      <c r="L219" s="74"/>
      <c r="M219" s="74"/>
      <c r="N219" s="74"/>
    </row>
    <row r="220" spans="1:14" x14ac:dyDescent="0.25">
      <c r="A220" s="358" t="e">
        <f t="shared" si="17"/>
        <v>#N/A</v>
      </c>
      <c r="B220" s="518"/>
      <c r="C220" s="518"/>
      <c r="D220" s="590"/>
      <c r="E220" s="590"/>
      <c r="F220" s="590"/>
      <c r="G220" s="590"/>
      <c r="H220" s="590"/>
      <c r="I220" s="597"/>
      <c r="J220" s="597"/>
      <c r="K220" s="74"/>
      <c r="L220" s="74"/>
      <c r="M220" s="74"/>
      <c r="N220" s="74"/>
    </row>
    <row r="221" spans="1:14" x14ac:dyDescent="0.25">
      <c r="A221" s="358" t="e">
        <f t="shared" ref="A221:A275" si="18">VLOOKUP(D221,ProfExpCodes,2)</f>
        <v>#N/A</v>
      </c>
      <c r="B221" s="518"/>
      <c r="C221" s="518"/>
      <c r="D221" s="590"/>
      <c r="E221" s="590"/>
      <c r="F221" s="590"/>
      <c r="G221" s="590"/>
      <c r="H221" s="590"/>
      <c r="I221" s="597"/>
      <c r="J221" s="597"/>
      <c r="K221" s="74"/>
      <c r="L221" s="74"/>
      <c r="M221" s="74"/>
      <c r="N221" s="74"/>
    </row>
    <row r="222" spans="1:14" x14ac:dyDescent="0.25">
      <c r="A222" s="358" t="e">
        <f t="shared" si="18"/>
        <v>#N/A</v>
      </c>
      <c r="B222" s="518"/>
      <c r="C222" s="518"/>
      <c r="D222" s="590"/>
      <c r="E222" s="590"/>
      <c r="F222" s="590"/>
      <c r="G222" s="590"/>
      <c r="H222" s="590"/>
      <c r="I222" s="597"/>
      <c r="J222" s="597"/>
      <c r="K222" s="74"/>
      <c r="L222" s="74"/>
      <c r="M222" s="74"/>
      <c r="N222" s="74"/>
    </row>
    <row r="223" spans="1:14" x14ac:dyDescent="0.25">
      <c r="A223" s="358" t="e">
        <f t="shared" si="18"/>
        <v>#N/A</v>
      </c>
      <c r="B223" s="518"/>
      <c r="C223" s="518"/>
      <c r="D223" s="590"/>
      <c r="E223" s="590"/>
      <c r="F223" s="590"/>
      <c r="G223" s="590"/>
      <c r="H223" s="590"/>
      <c r="I223" s="597"/>
      <c r="J223" s="597"/>
      <c r="K223" s="74"/>
      <c r="L223" s="74"/>
      <c r="M223" s="74"/>
      <c r="N223" s="74"/>
    </row>
    <row r="224" spans="1:14" x14ac:dyDescent="0.25">
      <c r="A224" s="358" t="e">
        <f t="shared" si="18"/>
        <v>#N/A</v>
      </c>
      <c r="B224" s="518"/>
      <c r="C224" s="518"/>
      <c r="D224" s="590"/>
      <c r="E224" s="590"/>
      <c r="F224" s="590"/>
      <c r="G224" s="590"/>
      <c r="H224" s="590"/>
      <c r="I224" s="597"/>
      <c r="J224" s="597"/>
      <c r="K224" s="74"/>
      <c r="L224" s="74"/>
      <c r="M224" s="74"/>
      <c r="N224" s="74"/>
    </row>
    <row r="225" spans="1:14" x14ac:dyDescent="0.25">
      <c r="A225" s="358" t="e">
        <f t="shared" si="18"/>
        <v>#N/A</v>
      </c>
      <c r="B225" s="518"/>
      <c r="C225" s="518"/>
      <c r="D225" s="590"/>
      <c r="E225" s="590"/>
      <c r="F225" s="590"/>
      <c r="G225" s="590"/>
      <c r="H225" s="590"/>
      <c r="I225" s="597"/>
      <c r="J225" s="597"/>
      <c r="K225" s="74"/>
      <c r="L225" s="74"/>
      <c r="M225" s="74"/>
      <c r="N225" s="74"/>
    </row>
    <row r="226" spans="1:14" x14ac:dyDescent="0.25">
      <c r="A226" s="358" t="e">
        <f t="shared" si="18"/>
        <v>#N/A</v>
      </c>
      <c r="B226" s="518"/>
      <c r="C226" s="518"/>
      <c r="D226" s="590"/>
      <c r="E226" s="590"/>
      <c r="F226" s="590"/>
      <c r="G226" s="590"/>
      <c r="H226" s="590"/>
      <c r="I226" s="597"/>
      <c r="J226" s="597"/>
      <c r="K226" s="74"/>
      <c r="L226" s="74"/>
      <c r="M226" s="74"/>
      <c r="N226" s="74"/>
    </row>
    <row r="227" spans="1:14" x14ac:dyDescent="0.25">
      <c r="A227" s="358" t="e">
        <f t="shared" si="18"/>
        <v>#N/A</v>
      </c>
      <c r="B227" s="518"/>
      <c r="C227" s="518"/>
      <c r="D227" s="590"/>
      <c r="E227" s="590"/>
      <c r="F227" s="590"/>
      <c r="G227" s="590"/>
      <c r="H227" s="590"/>
      <c r="I227" s="597"/>
      <c r="J227" s="597"/>
      <c r="K227" s="74"/>
      <c r="L227" s="74"/>
      <c r="M227" s="74"/>
      <c r="N227" s="74"/>
    </row>
    <row r="228" spans="1:14" x14ac:dyDescent="0.25">
      <c r="A228" s="358" t="e">
        <f t="shared" si="18"/>
        <v>#N/A</v>
      </c>
      <c r="B228" s="518"/>
      <c r="C228" s="518"/>
      <c r="D228" s="590"/>
      <c r="E228" s="590"/>
      <c r="F228" s="590"/>
      <c r="G228" s="590"/>
      <c r="H228" s="590"/>
      <c r="I228" s="597"/>
      <c r="J228" s="597"/>
      <c r="K228" s="74"/>
      <c r="L228" s="74"/>
      <c r="M228" s="74"/>
      <c r="N228" s="74"/>
    </row>
    <row r="229" spans="1:14" x14ac:dyDescent="0.25">
      <c r="A229" s="358" t="e">
        <f t="shared" si="18"/>
        <v>#N/A</v>
      </c>
      <c r="B229" s="518"/>
      <c r="C229" s="518"/>
      <c r="D229" s="590"/>
      <c r="E229" s="590"/>
      <c r="F229" s="590"/>
      <c r="G229" s="590"/>
      <c r="H229" s="590"/>
      <c r="I229" s="597"/>
      <c r="J229" s="597"/>
      <c r="K229" s="74"/>
      <c r="L229" s="74"/>
      <c r="M229" s="74"/>
      <c r="N229" s="74"/>
    </row>
    <row r="230" spans="1:14" x14ac:dyDescent="0.25">
      <c r="A230" s="358" t="e">
        <f t="shared" si="18"/>
        <v>#N/A</v>
      </c>
      <c r="B230" s="518"/>
      <c r="C230" s="518"/>
      <c r="D230" s="590"/>
      <c r="E230" s="590"/>
      <c r="F230" s="590"/>
      <c r="G230" s="590"/>
      <c r="H230" s="590"/>
      <c r="I230" s="597"/>
      <c r="J230" s="597"/>
      <c r="K230" s="74"/>
      <c r="L230" s="74"/>
      <c r="M230" s="74"/>
      <c r="N230" s="74"/>
    </row>
    <row r="231" spans="1:14" x14ac:dyDescent="0.25">
      <c r="A231" s="358" t="e">
        <f t="shared" si="18"/>
        <v>#N/A</v>
      </c>
      <c r="B231" s="518"/>
      <c r="C231" s="518"/>
      <c r="D231" s="590"/>
      <c r="E231" s="590"/>
      <c r="F231" s="590"/>
      <c r="G231" s="590"/>
      <c r="H231" s="590"/>
      <c r="I231" s="597"/>
      <c r="J231" s="597"/>
      <c r="K231" s="74"/>
      <c r="L231" s="74"/>
      <c r="M231" s="74"/>
      <c r="N231" s="74"/>
    </row>
    <row r="232" spans="1:14" x14ac:dyDescent="0.25">
      <c r="A232" s="358" t="e">
        <f t="shared" si="18"/>
        <v>#N/A</v>
      </c>
      <c r="B232" s="518"/>
      <c r="C232" s="518"/>
      <c r="D232" s="590"/>
      <c r="E232" s="590"/>
      <c r="F232" s="590"/>
      <c r="G232" s="590"/>
      <c r="H232" s="590"/>
      <c r="I232" s="597"/>
      <c r="J232" s="597"/>
      <c r="K232" s="74"/>
      <c r="L232" s="74"/>
      <c r="M232" s="74"/>
      <c r="N232" s="74"/>
    </row>
    <row r="233" spans="1:14" x14ac:dyDescent="0.25">
      <c r="A233" s="358" t="e">
        <f t="shared" si="18"/>
        <v>#N/A</v>
      </c>
      <c r="B233" s="518"/>
      <c r="C233" s="518"/>
      <c r="D233" s="590"/>
      <c r="E233" s="590"/>
      <c r="F233" s="590"/>
      <c r="G233" s="590"/>
      <c r="H233" s="590"/>
      <c r="I233" s="597"/>
      <c r="J233" s="597"/>
      <c r="K233" s="74"/>
      <c r="L233" s="74"/>
      <c r="M233" s="74"/>
      <c r="N233" s="74"/>
    </row>
    <row r="234" spans="1:14" x14ac:dyDescent="0.25">
      <c r="A234" s="358" t="e">
        <f t="shared" si="18"/>
        <v>#N/A</v>
      </c>
      <c r="B234" s="518"/>
      <c r="C234" s="518"/>
      <c r="D234" s="590"/>
      <c r="E234" s="590"/>
      <c r="F234" s="590"/>
      <c r="G234" s="590"/>
      <c r="H234" s="590"/>
      <c r="I234" s="597"/>
      <c r="J234" s="597"/>
      <c r="K234" s="74"/>
      <c r="L234" s="74"/>
      <c r="M234" s="74"/>
      <c r="N234" s="74"/>
    </row>
    <row r="235" spans="1:14" x14ac:dyDescent="0.25">
      <c r="A235" s="358" t="e">
        <f t="shared" si="18"/>
        <v>#N/A</v>
      </c>
      <c r="B235" s="518"/>
      <c r="C235" s="518"/>
      <c r="D235" s="590"/>
      <c r="E235" s="590"/>
      <c r="F235" s="590"/>
      <c r="G235" s="590"/>
      <c r="H235" s="590"/>
      <c r="I235" s="597"/>
      <c r="J235" s="597"/>
      <c r="K235" s="74"/>
      <c r="L235" s="74"/>
      <c r="M235" s="74"/>
      <c r="N235" s="74"/>
    </row>
    <row r="236" spans="1:14" x14ac:dyDescent="0.25">
      <c r="A236" s="358" t="e">
        <f t="shared" si="18"/>
        <v>#N/A</v>
      </c>
      <c r="B236" s="518"/>
      <c r="C236" s="518"/>
      <c r="D236" s="590"/>
      <c r="E236" s="590"/>
      <c r="F236" s="590"/>
      <c r="G236" s="590"/>
      <c r="H236" s="590"/>
      <c r="I236" s="597"/>
      <c r="J236" s="597"/>
      <c r="K236" s="74"/>
      <c r="L236" s="74"/>
      <c r="M236" s="74"/>
      <c r="N236" s="74"/>
    </row>
    <row r="237" spans="1:14" x14ac:dyDescent="0.25">
      <c r="A237" s="358" t="e">
        <f t="shared" si="18"/>
        <v>#N/A</v>
      </c>
      <c r="B237" s="518"/>
      <c r="C237" s="518"/>
      <c r="D237" s="590"/>
      <c r="E237" s="590"/>
      <c r="F237" s="590"/>
      <c r="G237" s="590"/>
      <c r="H237" s="590"/>
      <c r="I237" s="597"/>
      <c r="J237" s="597"/>
      <c r="K237" s="74"/>
      <c r="L237" s="74"/>
      <c r="M237" s="74"/>
      <c r="N237" s="74"/>
    </row>
    <row r="238" spans="1:14" x14ac:dyDescent="0.25">
      <c r="A238" s="358" t="e">
        <f t="shared" si="18"/>
        <v>#N/A</v>
      </c>
      <c r="B238" s="518"/>
      <c r="C238" s="518"/>
      <c r="D238" s="590"/>
      <c r="E238" s="590"/>
      <c r="F238" s="590"/>
      <c r="G238" s="590"/>
      <c r="H238" s="590"/>
      <c r="I238" s="597"/>
      <c r="J238" s="597"/>
      <c r="K238" s="74"/>
      <c r="L238" s="74"/>
      <c r="M238" s="74"/>
      <c r="N238" s="74"/>
    </row>
    <row r="239" spans="1:14" x14ac:dyDescent="0.25">
      <c r="A239" s="358" t="e">
        <f t="shared" si="18"/>
        <v>#N/A</v>
      </c>
      <c r="B239" s="518"/>
      <c r="C239" s="518"/>
      <c r="D239" s="590"/>
      <c r="E239" s="590"/>
      <c r="F239" s="590"/>
      <c r="G239" s="590"/>
      <c r="H239" s="590"/>
      <c r="I239" s="597"/>
      <c r="J239" s="597"/>
      <c r="K239" s="74"/>
      <c r="L239" s="74"/>
      <c r="M239" s="74"/>
      <c r="N239" s="74"/>
    </row>
    <row r="240" spans="1:14" x14ac:dyDescent="0.25">
      <c r="A240" s="358" t="e">
        <f t="shared" si="18"/>
        <v>#N/A</v>
      </c>
      <c r="B240" s="518"/>
      <c r="C240" s="518"/>
      <c r="D240" s="590"/>
      <c r="E240" s="590"/>
      <c r="F240" s="590"/>
      <c r="G240" s="590"/>
      <c r="H240" s="590"/>
      <c r="I240" s="597"/>
      <c r="J240" s="597"/>
      <c r="K240" s="74"/>
      <c r="L240" s="74"/>
      <c r="M240" s="74"/>
      <c r="N240" s="74"/>
    </row>
    <row r="241" spans="1:14" x14ac:dyDescent="0.25">
      <c r="A241" s="358" t="e">
        <f t="shared" si="18"/>
        <v>#N/A</v>
      </c>
      <c r="B241" s="518"/>
      <c r="C241" s="518"/>
      <c r="D241" s="590"/>
      <c r="E241" s="590"/>
      <c r="F241" s="590"/>
      <c r="G241" s="590"/>
      <c r="H241" s="590"/>
      <c r="I241" s="597"/>
      <c r="J241" s="597"/>
      <c r="K241" s="74"/>
      <c r="L241" s="74"/>
      <c r="M241" s="74"/>
      <c r="N241" s="74"/>
    </row>
    <row r="242" spans="1:14" x14ac:dyDescent="0.25">
      <c r="A242" s="358" t="e">
        <f t="shared" si="18"/>
        <v>#N/A</v>
      </c>
      <c r="B242" s="518"/>
      <c r="C242" s="518"/>
      <c r="D242" s="590"/>
      <c r="E242" s="590"/>
      <c r="F242" s="590"/>
      <c r="G242" s="590"/>
      <c r="H242" s="590"/>
      <c r="I242" s="597"/>
      <c r="J242" s="597"/>
      <c r="K242" s="74"/>
      <c r="L242" s="74"/>
      <c r="M242" s="74"/>
      <c r="N242" s="74"/>
    </row>
    <row r="243" spans="1:14" x14ac:dyDescent="0.25">
      <c r="A243" s="358" t="e">
        <f t="shared" si="18"/>
        <v>#N/A</v>
      </c>
      <c r="B243" s="518"/>
      <c r="C243" s="518"/>
      <c r="D243" s="590"/>
      <c r="E243" s="590"/>
      <c r="F243" s="590"/>
      <c r="G243" s="590"/>
      <c r="H243" s="590"/>
      <c r="I243" s="597"/>
      <c r="J243" s="597"/>
      <c r="K243" s="74"/>
      <c r="L243" s="74"/>
      <c r="M243" s="74"/>
      <c r="N243" s="74"/>
    </row>
    <row r="244" spans="1:14" x14ac:dyDescent="0.25">
      <c r="A244" s="358" t="e">
        <f t="shared" si="18"/>
        <v>#N/A</v>
      </c>
      <c r="B244" s="518"/>
      <c r="C244" s="518"/>
      <c r="D244" s="590"/>
      <c r="E244" s="590"/>
      <c r="F244" s="590"/>
      <c r="G244" s="590"/>
      <c r="H244" s="590"/>
      <c r="I244" s="597"/>
      <c r="J244" s="597"/>
      <c r="K244" s="74"/>
      <c r="L244" s="74"/>
      <c r="M244" s="74"/>
      <c r="N244" s="74"/>
    </row>
    <row r="245" spans="1:14" x14ac:dyDescent="0.25">
      <c r="A245" s="358" t="e">
        <f t="shared" si="18"/>
        <v>#N/A</v>
      </c>
      <c r="B245" s="518"/>
      <c r="C245" s="518"/>
      <c r="D245" s="590"/>
      <c r="E245" s="590"/>
      <c r="F245" s="590"/>
      <c r="G245" s="590"/>
      <c r="H245" s="590"/>
      <c r="I245" s="597"/>
      <c r="J245" s="597"/>
      <c r="K245" s="74"/>
      <c r="L245" s="74"/>
      <c r="M245" s="74"/>
      <c r="N245" s="74"/>
    </row>
    <row r="246" spans="1:14" x14ac:dyDescent="0.25">
      <c r="A246" s="358" t="e">
        <f t="shared" si="18"/>
        <v>#N/A</v>
      </c>
      <c r="B246" s="518"/>
      <c r="C246" s="518"/>
      <c r="D246" s="590"/>
      <c r="E246" s="590"/>
      <c r="F246" s="590"/>
      <c r="G246" s="590"/>
      <c r="H246" s="590"/>
      <c r="I246" s="597"/>
      <c r="J246" s="597"/>
      <c r="K246" s="74"/>
      <c r="L246" s="74"/>
      <c r="M246" s="74"/>
      <c r="N246" s="74"/>
    </row>
    <row r="247" spans="1:14" x14ac:dyDescent="0.25">
      <c r="A247" s="358" t="e">
        <f t="shared" si="18"/>
        <v>#N/A</v>
      </c>
      <c r="B247" s="518"/>
      <c r="C247" s="518"/>
      <c r="D247" s="590"/>
      <c r="E247" s="590"/>
      <c r="F247" s="590"/>
      <c r="G247" s="590"/>
      <c r="H247" s="590"/>
      <c r="I247" s="597"/>
      <c r="J247" s="597"/>
      <c r="K247" s="74"/>
      <c r="L247" s="74"/>
      <c r="M247" s="74"/>
      <c r="N247" s="74"/>
    </row>
    <row r="248" spans="1:14" x14ac:dyDescent="0.25">
      <c r="A248" s="358" t="e">
        <f t="shared" si="18"/>
        <v>#N/A</v>
      </c>
      <c r="B248" s="518"/>
      <c r="C248" s="518"/>
      <c r="D248" s="590"/>
      <c r="E248" s="590"/>
      <c r="F248" s="590"/>
      <c r="G248" s="590"/>
      <c r="H248" s="590"/>
      <c r="I248" s="597"/>
      <c r="J248" s="597"/>
      <c r="K248" s="74"/>
      <c r="L248" s="74"/>
      <c r="M248" s="74"/>
      <c r="N248" s="74"/>
    </row>
    <row r="249" spans="1:14" x14ac:dyDescent="0.25">
      <c r="A249" s="358" t="e">
        <f t="shared" si="18"/>
        <v>#N/A</v>
      </c>
      <c r="B249" s="518"/>
      <c r="C249" s="518"/>
      <c r="D249" s="590"/>
      <c r="E249" s="590"/>
      <c r="F249" s="590"/>
      <c r="G249" s="590"/>
      <c r="H249" s="590"/>
      <c r="I249" s="597"/>
      <c r="J249" s="597"/>
      <c r="K249" s="74"/>
      <c r="L249" s="74"/>
      <c r="M249" s="74"/>
      <c r="N249" s="74"/>
    </row>
    <row r="250" spans="1:14" x14ac:dyDescent="0.25">
      <c r="A250" s="358" t="e">
        <f t="shared" si="18"/>
        <v>#N/A</v>
      </c>
      <c r="B250" s="518"/>
      <c r="C250" s="518"/>
      <c r="D250" s="590"/>
      <c r="E250" s="590"/>
      <c r="F250" s="590"/>
      <c r="G250" s="590"/>
      <c r="H250" s="590"/>
      <c r="I250" s="597"/>
      <c r="J250" s="597"/>
      <c r="K250" s="74"/>
      <c r="L250" s="74"/>
      <c r="M250" s="74"/>
      <c r="N250" s="74"/>
    </row>
    <row r="251" spans="1:14" x14ac:dyDescent="0.25">
      <c r="A251" s="358" t="e">
        <f t="shared" si="18"/>
        <v>#N/A</v>
      </c>
      <c r="B251" s="518"/>
      <c r="C251" s="518"/>
      <c r="D251" s="590"/>
      <c r="E251" s="590"/>
      <c r="F251" s="590"/>
      <c r="G251" s="590"/>
      <c r="H251" s="590"/>
      <c r="I251" s="597"/>
      <c r="J251" s="597"/>
      <c r="K251" s="74"/>
      <c r="L251" s="74"/>
      <c r="M251" s="74"/>
      <c r="N251" s="74"/>
    </row>
    <row r="252" spans="1:14" x14ac:dyDescent="0.25">
      <c r="A252" s="358" t="e">
        <f t="shared" si="18"/>
        <v>#N/A</v>
      </c>
      <c r="B252" s="518"/>
      <c r="C252" s="518"/>
      <c r="D252" s="590"/>
      <c r="E252" s="590"/>
      <c r="F252" s="590"/>
      <c r="G252" s="590"/>
      <c r="H252" s="590"/>
      <c r="I252" s="597"/>
      <c r="J252" s="597"/>
      <c r="K252" s="74"/>
      <c r="L252" s="74"/>
      <c r="M252" s="74"/>
      <c r="N252" s="74"/>
    </row>
    <row r="253" spans="1:14" x14ac:dyDescent="0.25">
      <c r="A253" s="358" t="e">
        <f t="shared" si="18"/>
        <v>#N/A</v>
      </c>
      <c r="B253" s="518"/>
      <c r="C253" s="518"/>
      <c r="D253" s="590"/>
      <c r="E253" s="590"/>
      <c r="F253" s="590"/>
      <c r="G253" s="590"/>
      <c r="H253" s="590"/>
      <c r="I253" s="597"/>
      <c r="J253" s="597"/>
      <c r="K253" s="74"/>
      <c r="L253" s="74"/>
      <c r="M253" s="74"/>
      <c r="N253" s="74"/>
    </row>
    <row r="254" spans="1:14" x14ac:dyDescent="0.25">
      <c r="A254" s="358" t="e">
        <f t="shared" si="18"/>
        <v>#N/A</v>
      </c>
      <c r="B254" s="518"/>
      <c r="C254" s="518"/>
      <c r="D254" s="590"/>
      <c r="E254" s="590"/>
      <c r="F254" s="590"/>
      <c r="G254" s="590"/>
      <c r="H254" s="590"/>
      <c r="I254" s="597"/>
      <c r="J254" s="597"/>
      <c r="K254" s="74"/>
      <c r="L254" s="74"/>
      <c r="M254" s="74"/>
      <c r="N254" s="74"/>
    </row>
    <row r="255" spans="1:14" x14ac:dyDescent="0.25">
      <c r="A255" s="358" t="e">
        <f t="shared" si="18"/>
        <v>#N/A</v>
      </c>
      <c r="B255" s="518"/>
      <c r="C255" s="518"/>
      <c r="D255" s="590"/>
      <c r="E255" s="590"/>
      <c r="F255" s="590"/>
      <c r="G255" s="590"/>
      <c r="H255" s="590"/>
      <c r="I255" s="597"/>
      <c r="J255" s="597"/>
      <c r="K255" s="74"/>
      <c r="L255" s="74"/>
      <c r="M255" s="74"/>
      <c r="N255" s="74"/>
    </row>
    <row r="256" spans="1:14" x14ac:dyDescent="0.25">
      <c r="A256" s="358" t="e">
        <f t="shared" si="18"/>
        <v>#N/A</v>
      </c>
      <c r="B256" s="518"/>
      <c r="C256" s="518"/>
      <c r="D256" s="590"/>
      <c r="E256" s="590"/>
      <c r="F256" s="590"/>
      <c r="G256" s="590"/>
      <c r="H256" s="590"/>
      <c r="I256" s="597"/>
      <c r="J256" s="597"/>
      <c r="K256" s="74"/>
      <c r="L256" s="74"/>
      <c r="M256" s="74"/>
      <c r="N256" s="74"/>
    </row>
    <row r="257" spans="1:14" x14ac:dyDescent="0.25">
      <c r="A257" s="358" t="e">
        <f t="shared" si="18"/>
        <v>#N/A</v>
      </c>
      <c r="B257" s="518"/>
      <c r="C257" s="518"/>
      <c r="D257" s="590"/>
      <c r="E257" s="590"/>
      <c r="F257" s="590"/>
      <c r="G257" s="590"/>
      <c r="H257" s="590"/>
      <c r="I257" s="597"/>
      <c r="J257" s="597"/>
      <c r="K257" s="74"/>
      <c r="L257" s="74"/>
      <c r="M257" s="74"/>
      <c r="N257" s="74"/>
    </row>
    <row r="258" spans="1:14" x14ac:dyDescent="0.25">
      <c r="A258" s="358" t="e">
        <f t="shared" si="18"/>
        <v>#N/A</v>
      </c>
      <c r="B258" s="518"/>
      <c r="C258" s="518"/>
      <c r="D258" s="590"/>
      <c r="E258" s="590"/>
      <c r="F258" s="590"/>
      <c r="G258" s="590"/>
      <c r="H258" s="590"/>
      <c r="I258" s="597"/>
      <c r="J258" s="597"/>
      <c r="K258" s="74"/>
      <c r="L258" s="74"/>
      <c r="M258" s="74"/>
      <c r="N258" s="74"/>
    </row>
    <row r="259" spans="1:14" x14ac:dyDescent="0.25">
      <c r="A259" s="358" t="e">
        <f t="shared" si="18"/>
        <v>#N/A</v>
      </c>
      <c r="B259" s="518"/>
      <c r="C259" s="518"/>
      <c r="D259" s="590"/>
      <c r="E259" s="590"/>
      <c r="F259" s="590"/>
      <c r="G259" s="590"/>
      <c r="H259" s="590"/>
      <c r="I259" s="597"/>
      <c r="J259" s="597"/>
      <c r="K259" s="74"/>
      <c r="L259" s="74"/>
      <c r="M259" s="74"/>
      <c r="N259" s="74"/>
    </row>
    <row r="260" spans="1:14" x14ac:dyDescent="0.25">
      <c r="A260" s="358" t="e">
        <f t="shared" si="18"/>
        <v>#N/A</v>
      </c>
      <c r="B260" s="518"/>
      <c r="C260" s="518"/>
      <c r="D260" s="590"/>
      <c r="E260" s="590"/>
      <c r="F260" s="590"/>
      <c r="G260" s="590"/>
      <c r="H260" s="590"/>
      <c r="I260" s="597"/>
      <c r="J260" s="597"/>
      <c r="K260" s="74"/>
      <c r="L260" s="74"/>
      <c r="M260" s="74"/>
      <c r="N260" s="74"/>
    </row>
    <row r="261" spans="1:14" x14ac:dyDescent="0.25">
      <c r="A261" s="358" t="e">
        <f t="shared" si="18"/>
        <v>#N/A</v>
      </c>
      <c r="B261" s="518"/>
      <c r="C261" s="518"/>
      <c r="D261" s="590"/>
      <c r="E261" s="590"/>
      <c r="F261" s="590"/>
      <c r="G261" s="590"/>
      <c r="H261" s="590"/>
      <c r="I261" s="597"/>
      <c r="J261" s="597"/>
      <c r="K261" s="74"/>
      <c r="L261" s="74"/>
      <c r="M261" s="74"/>
      <c r="N261" s="74"/>
    </row>
    <row r="262" spans="1:14" x14ac:dyDescent="0.25">
      <c r="A262" s="358" t="e">
        <f t="shared" si="18"/>
        <v>#N/A</v>
      </c>
      <c r="B262" s="518"/>
      <c r="C262" s="518"/>
      <c r="D262" s="590"/>
      <c r="E262" s="590"/>
      <c r="F262" s="590"/>
      <c r="G262" s="590"/>
      <c r="H262" s="590"/>
      <c r="I262" s="597"/>
      <c r="J262" s="597"/>
      <c r="K262" s="74"/>
      <c r="L262" s="74"/>
      <c r="M262" s="74"/>
      <c r="N262" s="74"/>
    </row>
    <row r="263" spans="1:14" x14ac:dyDescent="0.25">
      <c r="A263" s="358" t="e">
        <f t="shared" si="18"/>
        <v>#N/A</v>
      </c>
      <c r="B263" s="518"/>
      <c r="C263" s="518"/>
      <c r="D263" s="590"/>
      <c r="E263" s="590"/>
      <c r="F263" s="590"/>
      <c r="G263" s="590"/>
      <c r="H263" s="590"/>
      <c r="I263" s="597"/>
      <c r="J263" s="597"/>
      <c r="K263" s="74"/>
      <c r="L263" s="74"/>
      <c r="M263" s="74"/>
      <c r="N263" s="74"/>
    </row>
    <row r="264" spans="1:14" x14ac:dyDescent="0.25">
      <c r="A264" s="358" t="e">
        <f t="shared" si="18"/>
        <v>#N/A</v>
      </c>
      <c r="B264" s="518"/>
      <c r="C264" s="518"/>
      <c r="D264" s="590"/>
      <c r="E264" s="590"/>
      <c r="F264" s="590"/>
      <c r="G264" s="590"/>
      <c r="H264" s="590"/>
      <c r="I264" s="597"/>
      <c r="J264" s="597"/>
      <c r="K264" s="74"/>
      <c r="L264" s="74"/>
      <c r="M264" s="74"/>
      <c r="N264" s="74"/>
    </row>
    <row r="265" spans="1:14" x14ac:dyDescent="0.25">
      <c r="A265" s="358" t="e">
        <f t="shared" si="18"/>
        <v>#N/A</v>
      </c>
      <c r="B265" s="518"/>
      <c r="C265" s="518"/>
      <c r="D265" s="590"/>
      <c r="E265" s="590"/>
      <c r="F265" s="590"/>
      <c r="G265" s="590"/>
      <c r="H265" s="590"/>
      <c r="I265" s="597"/>
      <c r="J265" s="597"/>
      <c r="K265" s="74"/>
      <c r="L265" s="74"/>
      <c r="M265" s="74"/>
      <c r="N265" s="74"/>
    </row>
    <row r="266" spans="1:14" x14ac:dyDescent="0.25">
      <c r="A266" s="358" t="e">
        <f t="shared" si="18"/>
        <v>#N/A</v>
      </c>
      <c r="B266" s="518"/>
      <c r="C266" s="518"/>
      <c r="D266" s="590"/>
      <c r="E266" s="590"/>
      <c r="F266" s="590"/>
      <c r="G266" s="590"/>
      <c r="H266" s="590"/>
      <c r="I266" s="597"/>
      <c r="J266" s="597"/>
      <c r="K266" s="74"/>
      <c r="L266" s="74"/>
      <c r="M266" s="74"/>
      <c r="N266" s="74"/>
    </row>
    <row r="267" spans="1:14" x14ac:dyDescent="0.25">
      <c r="A267" s="358" t="e">
        <f t="shared" si="18"/>
        <v>#N/A</v>
      </c>
      <c r="B267" s="518"/>
      <c r="C267" s="518"/>
      <c r="D267" s="590"/>
      <c r="E267" s="590"/>
      <c r="F267" s="590"/>
      <c r="G267" s="590"/>
      <c r="H267" s="590"/>
      <c r="I267" s="597"/>
      <c r="J267" s="597"/>
      <c r="K267" s="74"/>
      <c r="L267" s="74"/>
      <c r="M267" s="74"/>
      <c r="N267" s="74"/>
    </row>
    <row r="268" spans="1:14" x14ac:dyDescent="0.25">
      <c r="A268" s="358" t="e">
        <f t="shared" si="18"/>
        <v>#N/A</v>
      </c>
      <c r="B268" s="518"/>
      <c r="C268" s="518"/>
      <c r="D268" s="590"/>
      <c r="E268" s="590"/>
      <c r="F268" s="590"/>
      <c r="G268" s="590"/>
      <c r="H268" s="590"/>
      <c r="I268" s="597"/>
      <c r="J268" s="597"/>
      <c r="K268" s="74"/>
      <c r="L268" s="74"/>
      <c r="M268" s="74"/>
      <c r="N268" s="74"/>
    </row>
    <row r="269" spans="1:14" x14ac:dyDescent="0.25">
      <c r="A269" s="358" t="e">
        <f t="shared" si="18"/>
        <v>#N/A</v>
      </c>
      <c r="B269" s="518"/>
      <c r="C269" s="518"/>
      <c r="D269" s="590"/>
      <c r="E269" s="590"/>
      <c r="F269" s="590"/>
      <c r="G269" s="590"/>
      <c r="H269" s="590"/>
      <c r="I269" s="597"/>
      <c r="J269" s="597"/>
      <c r="K269" s="74"/>
      <c r="L269" s="74"/>
      <c r="M269" s="74"/>
      <c r="N269" s="74"/>
    </row>
    <row r="270" spans="1:14" x14ac:dyDescent="0.25">
      <c r="A270" s="358" t="e">
        <f t="shared" si="18"/>
        <v>#N/A</v>
      </c>
      <c r="B270" s="518"/>
      <c r="C270" s="518"/>
      <c r="D270" s="590"/>
      <c r="E270" s="590"/>
      <c r="F270" s="590"/>
      <c r="G270" s="590"/>
      <c r="H270" s="590"/>
      <c r="I270" s="597"/>
      <c r="J270" s="597"/>
      <c r="K270" s="74"/>
      <c r="L270" s="74"/>
      <c r="M270" s="74"/>
      <c r="N270" s="74"/>
    </row>
    <row r="271" spans="1:14" x14ac:dyDescent="0.25">
      <c r="A271" s="358" t="e">
        <f t="shared" si="18"/>
        <v>#N/A</v>
      </c>
      <c r="B271" s="518"/>
      <c r="C271" s="518"/>
      <c r="D271" s="590"/>
      <c r="E271" s="590"/>
      <c r="F271" s="590"/>
      <c r="G271" s="590"/>
      <c r="H271" s="590"/>
      <c r="I271" s="597"/>
      <c r="J271" s="597"/>
      <c r="K271" s="74"/>
      <c r="L271" s="74"/>
      <c r="M271" s="74"/>
      <c r="N271" s="74"/>
    </row>
    <row r="272" spans="1:14" x14ac:dyDescent="0.25">
      <c r="A272" s="358" t="e">
        <f t="shared" si="18"/>
        <v>#N/A</v>
      </c>
      <c r="B272" s="518"/>
      <c r="C272" s="518"/>
      <c r="D272" s="590"/>
      <c r="E272" s="590"/>
      <c r="F272" s="590"/>
      <c r="G272" s="590"/>
      <c r="H272" s="590"/>
      <c r="I272" s="597"/>
      <c r="J272" s="597"/>
      <c r="K272" s="74"/>
      <c r="L272" s="74"/>
      <c r="M272" s="74"/>
      <c r="N272" s="74"/>
    </row>
    <row r="273" spans="1:17" x14ac:dyDescent="0.25">
      <c r="A273" s="358" t="e">
        <f t="shared" si="18"/>
        <v>#N/A</v>
      </c>
      <c r="B273" s="518"/>
      <c r="C273" s="518"/>
      <c r="D273" s="590"/>
      <c r="E273" s="590"/>
      <c r="F273" s="590"/>
      <c r="G273" s="590"/>
      <c r="H273" s="590"/>
      <c r="I273" s="597"/>
      <c r="J273" s="597"/>
      <c r="K273" s="74"/>
      <c r="L273" s="74"/>
      <c r="M273" s="74"/>
      <c r="N273" s="74"/>
    </row>
    <row r="274" spans="1:17" x14ac:dyDescent="0.25">
      <c r="A274" s="358" t="e">
        <f t="shared" si="18"/>
        <v>#N/A</v>
      </c>
      <c r="B274" s="518"/>
      <c r="C274" s="518"/>
      <c r="D274" s="590"/>
      <c r="E274" s="590"/>
      <c r="F274" s="590"/>
      <c r="G274" s="590"/>
      <c r="H274" s="590"/>
      <c r="I274" s="597"/>
      <c r="J274" s="597"/>
      <c r="K274" s="74"/>
      <c r="L274" s="74"/>
      <c r="M274" s="74"/>
      <c r="N274" s="74"/>
    </row>
    <row r="275" spans="1:17" ht="15.75" thickBot="1" x14ac:dyDescent="0.3">
      <c r="A275" s="359" t="e">
        <f t="shared" si="18"/>
        <v>#N/A</v>
      </c>
      <c r="B275" s="518"/>
      <c r="C275" s="518"/>
      <c r="D275" s="590"/>
      <c r="E275" s="590"/>
      <c r="F275" s="590"/>
      <c r="G275" s="590"/>
      <c r="H275" s="590"/>
      <c r="I275" s="597"/>
      <c r="J275" s="597"/>
      <c r="K275" s="74"/>
      <c r="L275" s="74"/>
      <c r="M275" s="74"/>
      <c r="N275" s="74"/>
    </row>
    <row r="276" spans="1:17" ht="15.75" thickBot="1" x14ac:dyDescent="0.3">
      <c r="A276" s="109"/>
      <c r="B276" s="110"/>
      <c r="C276" s="110"/>
      <c r="D276" s="111">
        <f>COUNTA(D28:D275)</f>
        <v>82</v>
      </c>
      <c r="E276" s="112"/>
      <c r="F276" s="112"/>
      <c r="G276" s="113"/>
      <c r="H276" s="113"/>
      <c r="I276" s="112"/>
      <c r="J276" s="114"/>
      <c r="K276" s="114">
        <f>SUM(K28:K275)</f>
        <v>9992223.1900000013</v>
      </c>
      <c r="L276" s="115">
        <f t="shared" ref="L276:N276" si="19">SUM(L28:L275)</f>
        <v>4240963.4899999993</v>
      </c>
      <c r="M276" s="115">
        <f t="shared" si="19"/>
        <v>1393732.93</v>
      </c>
      <c r="N276" s="743">
        <f t="shared" si="19"/>
        <v>1747959.02</v>
      </c>
      <c r="O276" s="125"/>
      <c r="P276" s="125"/>
      <c r="Q276" s="125"/>
    </row>
    <row r="277" spans="1:17" x14ac:dyDescent="0.25">
      <c r="A277" s="231">
        <v>6400</v>
      </c>
      <c r="B277" s="119" t="s">
        <v>28</v>
      </c>
      <c r="C277" s="120"/>
      <c r="D277" s="121" t="s">
        <v>756</v>
      </c>
      <c r="E277" s="121"/>
      <c r="F277" s="121"/>
      <c r="G277" s="121"/>
      <c r="H277" s="121"/>
      <c r="I277" s="121"/>
      <c r="J277" s="236"/>
      <c r="K277" s="236">
        <f t="shared" ref="K277:N296" si="20">SUMIFS(K$28:K$275,$A$28:$A$275,$A277,$B$28:$B$275,$B277)</f>
        <v>465895</v>
      </c>
      <c r="L277" s="236">
        <f t="shared" si="20"/>
        <v>296695</v>
      </c>
      <c r="M277" s="236">
        <f t="shared" si="20"/>
        <v>146765</v>
      </c>
      <c r="N277" s="236">
        <f t="shared" si="20"/>
        <v>155000</v>
      </c>
      <c r="O277" s="126"/>
      <c r="P277" s="126"/>
      <c r="Q277" s="126"/>
    </row>
    <row r="278" spans="1:17" x14ac:dyDescent="0.25">
      <c r="A278" s="232">
        <v>6400</v>
      </c>
      <c r="B278" s="108" t="s">
        <v>27</v>
      </c>
      <c r="C278" s="123"/>
      <c r="D278" s="124" t="s">
        <v>756</v>
      </c>
      <c r="E278" s="124"/>
      <c r="F278" s="124"/>
      <c r="G278" s="124"/>
      <c r="H278" s="124"/>
      <c r="I278" s="124"/>
      <c r="J278" s="234"/>
      <c r="K278" s="234">
        <f t="shared" si="20"/>
        <v>0</v>
      </c>
      <c r="L278" s="234">
        <f t="shared" si="20"/>
        <v>0</v>
      </c>
      <c r="M278" s="234">
        <f t="shared" si="20"/>
        <v>0</v>
      </c>
      <c r="N278" s="234">
        <f t="shared" si="20"/>
        <v>0</v>
      </c>
      <c r="O278" s="126"/>
      <c r="P278" s="126"/>
      <c r="Q278" s="126"/>
    </row>
    <row r="279" spans="1:17" x14ac:dyDescent="0.25">
      <c r="A279" s="232">
        <v>6400</v>
      </c>
      <c r="B279" s="108" t="s">
        <v>32</v>
      </c>
      <c r="C279" s="123"/>
      <c r="D279" s="124" t="s">
        <v>756</v>
      </c>
      <c r="E279" s="124"/>
      <c r="F279" s="124"/>
      <c r="G279" s="124"/>
      <c r="H279" s="124"/>
      <c r="I279" s="124"/>
      <c r="J279" s="234"/>
      <c r="K279" s="234">
        <f t="shared" si="20"/>
        <v>0</v>
      </c>
      <c r="L279" s="234">
        <f t="shared" si="20"/>
        <v>0</v>
      </c>
      <c r="M279" s="234">
        <f t="shared" si="20"/>
        <v>0</v>
      </c>
      <c r="N279" s="234">
        <f t="shared" si="20"/>
        <v>0</v>
      </c>
      <c r="O279" s="126"/>
      <c r="P279" s="126"/>
      <c r="Q279" s="126"/>
    </row>
    <row r="280" spans="1:17" x14ac:dyDescent="0.25">
      <c r="A280" s="232">
        <v>6400</v>
      </c>
      <c r="B280" s="108" t="s">
        <v>685</v>
      </c>
      <c r="C280" s="123"/>
      <c r="D280" s="124" t="s">
        <v>756</v>
      </c>
      <c r="E280" s="124"/>
      <c r="F280" s="124"/>
      <c r="G280" s="124"/>
      <c r="H280" s="124"/>
      <c r="I280" s="124"/>
      <c r="J280" s="234"/>
      <c r="K280" s="234">
        <f t="shared" si="20"/>
        <v>0</v>
      </c>
      <c r="L280" s="234">
        <f t="shared" si="20"/>
        <v>0</v>
      </c>
      <c r="M280" s="234">
        <f t="shared" si="20"/>
        <v>0</v>
      </c>
      <c r="N280" s="234">
        <f t="shared" si="20"/>
        <v>0</v>
      </c>
      <c r="O280" s="126"/>
      <c r="P280" s="126"/>
      <c r="Q280" s="126"/>
    </row>
    <row r="281" spans="1:17" x14ac:dyDescent="0.25">
      <c r="A281" s="232">
        <v>6400</v>
      </c>
      <c r="B281" s="108" t="s">
        <v>41</v>
      </c>
      <c r="C281" s="123"/>
      <c r="D281" s="124" t="s">
        <v>756</v>
      </c>
      <c r="E281" s="124"/>
      <c r="F281" s="124"/>
      <c r="G281" s="124"/>
      <c r="H281" s="124"/>
      <c r="I281" s="124"/>
      <c r="J281" s="234"/>
      <c r="K281" s="234">
        <f t="shared" si="20"/>
        <v>0</v>
      </c>
      <c r="L281" s="234">
        <f t="shared" si="20"/>
        <v>0</v>
      </c>
      <c r="M281" s="234">
        <f t="shared" si="20"/>
        <v>0</v>
      </c>
      <c r="N281" s="234">
        <f t="shared" si="20"/>
        <v>0</v>
      </c>
      <c r="O281" s="126"/>
      <c r="P281" s="126"/>
      <c r="Q281" s="126"/>
    </row>
    <row r="282" spans="1:17" x14ac:dyDescent="0.25">
      <c r="A282" s="232">
        <v>6400</v>
      </c>
      <c r="B282" s="108" t="s">
        <v>775</v>
      </c>
      <c r="C282" s="123"/>
      <c r="D282" s="124" t="s">
        <v>756</v>
      </c>
      <c r="E282" s="124"/>
      <c r="F282" s="124"/>
      <c r="G282" s="124"/>
      <c r="H282" s="124"/>
      <c r="I282" s="124"/>
      <c r="J282" s="234"/>
      <c r="K282" s="234">
        <f t="shared" si="20"/>
        <v>0</v>
      </c>
      <c r="L282" s="234">
        <f t="shared" si="20"/>
        <v>0</v>
      </c>
      <c r="M282" s="234">
        <f t="shared" si="20"/>
        <v>0</v>
      </c>
      <c r="N282" s="234">
        <f t="shared" si="20"/>
        <v>0</v>
      </c>
      <c r="O282" s="126"/>
      <c r="P282" s="126"/>
      <c r="Q282" s="126"/>
    </row>
    <row r="283" spans="1:17" x14ac:dyDescent="0.25">
      <c r="A283" s="232">
        <v>6400</v>
      </c>
      <c r="B283" s="108" t="s">
        <v>37</v>
      </c>
      <c r="C283" s="123"/>
      <c r="D283" s="124" t="s">
        <v>756</v>
      </c>
      <c r="E283" s="124"/>
      <c r="F283" s="124"/>
      <c r="G283" s="124"/>
      <c r="H283" s="124"/>
      <c r="I283" s="124"/>
      <c r="J283" s="234"/>
      <c r="K283" s="234">
        <f t="shared" si="20"/>
        <v>0</v>
      </c>
      <c r="L283" s="234">
        <f t="shared" si="20"/>
        <v>0</v>
      </c>
      <c r="M283" s="234">
        <f t="shared" si="20"/>
        <v>0</v>
      </c>
      <c r="N283" s="234">
        <f t="shared" si="20"/>
        <v>0</v>
      </c>
      <c r="O283" s="126"/>
      <c r="P283" s="126"/>
      <c r="Q283" s="126"/>
    </row>
    <row r="284" spans="1:17" x14ac:dyDescent="0.25">
      <c r="A284" s="232">
        <v>6400</v>
      </c>
      <c r="B284" s="108" t="s">
        <v>29</v>
      </c>
      <c r="C284" s="123"/>
      <c r="D284" s="124" t="s">
        <v>756</v>
      </c>
      <c r="E284" s="124"/>
      <c r="F284" s="124"/>
      <c r="G284" s="124"/>
      <c r="H284" s="124"/>
      <c r="I284" s="124"/>
      <c r="J284" s="234"/>
      <c r="K284" s="234">
        <f t="shared" si="20"/>
        <v>0</v>
      </c>
      <c r="L284" s="234">
        <f t="shared" si="20"/>
        <v>0</v>
      </c>
      <c r="M284" s="234">
        <f t="shared" si="20"/>
        <v>0</v>
      </c>
      <c r="N284" s="234">
        <f t="shared" si="20"/>
        <v>0</v>
      </c>
      <c r="O284" s="126"/>
      <c r="P284" s="126"/>
      <c r="Q284" s="126"/>
    </row>
    <row r="285" spans="1:17" x14ac:dyDescent="0.25">
      <c r="A285" s="232">
        <v>6400</v>
      </c>
      <c r="B285" s="108" t="s">
        <v>536</v>
      </c>
      <c r="C285" s="123"/>
      <c r="D285" s="124" t="s">
        <v>756</v>
      </c>
      <c r="E285" s="124"/>
      <c r="F285" s="124"/>
      <c r="G285" s="124"/>
      <c r="H285" s="124"/>
      <c r="I285" s="124"/>
      <c r="J285" s="234"/>
      <c r="K285" s="234">
        <f t="shared" si="20"/>
        <v>0</v>
      </c>
      <c r="L285" s="234">
        <f t="shared" si="20"/>
        <v>0</v>
      </c>
      <c r="M285" s="234">
        <f t="shared" si="20"/>
        <v>0</v>
      </c>
      <c r="N285" s="234">
        <f t="shared" si="20"/>
        <v>0</v>
      </c>
      <c r="O285" s="126"/>
      <c r="P285" s="126"/>
      <c r="Q285" s="126"/>
    </row>
    <row r="286" spans="1:17" x14ac:dyDescent="0.25">
      <c r="A286" s="232">
        <v>6400</v>
      </c>
      <c r="B286" s="108" t="s">
        <v>36</v>
      </c>
      <c r="C286" s="123"/>
      <c r="D286" s="124" t="s">
        <v>756</v>
      </c>
      <c r="E286" s="124"/>
      <c r="F286" s="124"/>
      <c r="G286" s="124"/>
      <c r="H286" s="124"/>
      <c r="I286" s="124"/>
      <c r="J286" s="234"/>
      <c r="K286" s="234">
        <f t="shared" si="20"/>
        <v>0</v>
      </c>
      <c r="L286" s="234">
        <f t="shared" si="20"/>
        <v>0</v>
      </c>
      <c r="M286" s="234">
        <f t="shared" si="20"/>
        <v>0</v>
      </c>
      <c r="N286" s="234">
        <f t="shared" si="20"/>
        <v>0</v>
      </c>
      <c r="O286" s="126"/>
      <c r="P286" s="126"/>
      <c r="Q286" s="126"/>
    </row>
    <row r="287" spans="1:17" x14ac:dyDescent="0.25">
      <c r="A287" s="232">
        <v>6400</v>
      </c>
      <c r="B287" s="85" t="s">
        <v>31</v>
      </c>
      <c r="C287" s="123"/>
      <c r="D287" s="124" t="s">
        <v>756</v>
      </c>
      <c r="E287" s="124"/>
      <c r="F287" s="124"/>
      <c r="G287" s="124"/>
      <c r="H287" s="124"/>
      <c r="I287" s="124"/>
      <c r="J287" s="234"/>
      <c r="K287" s="234">
        <f t="shared" si="20"/>
        <v>337500</v>
      </c>
      <c r="L287" s="234">
        <f t="shared" si="20"/>
        <v>164475</v>
      </c>
      <c r="M287" s="234">
        <f t="shared" si="20"/>
        <v>35550</v>
      </c>
      <c r="N287" s="234">
        <f t="shared" si="20"/>
        <v>67500</v>
      </c>
      <c r="O287" s="126"/>
      <c r="P287" s="126"/>
      <c r="Q287" s="126"/>
    </row>
    <row r="288" spans="1:17" x14ac:dyDescent="0.25">
      <c r="A288" s="232">
        <v>6400</v>
      </c>
      <c r="B288" s="85" t="s">
        <v>30</v>
      </c>
      <c r="C288" s="123"/>
      <c r="D288" s="124" t="s">
        <v>756</v>
      </c>
      <c r="E288" s="124"/>
      <c r="F288" s="124"/>
      <c r="G288" s="124"/>
      <c r="H288" s="124"/>
      <c r="I288" s="124"/>
      <c r="J288" s="234"/>
      <c r="K288" s="234">
        <f t="shared" si="20"/>
        <v>0</v>
      </c>
      <c r="L288" s="234">
        <f t="shared" si="20"/>
        <v>0</v>
      </c>
      <c r="M288" s="234">
        <f t="shared" si="20"/>
        <v>0</v>
      </c>
      <c r="N288" s="234">
        <f t="shared" si="20"/>
        <v>0</v>
      </c>
      <c r="O288" s="126"/>
      <c r="P288" s="126"/>
      <c r="Q288" s="126"/>
    </row>
    <row r="289" spans="1:17" x14ac:dyDescent="0.25">
      <c r="A289" s="232">
        <v>6400</v>
      </c>
      <c r="B289" s="85" t="s">
        <v>38</v>
      </c>
      <c r="C289" s="123"/>
      <c r="D289" s="124" t="s">
        <v>756</v>
      </c>
      <c r="E289" s="124"/>
      <c r="F289" s="124"/>
      <c r="G289" s="124"/>
      <c r="H289" s="124"/>
      <c r="I289" s="124"/>
      <c r="J289" s="234"/>
      <c r="K289" s="234">
        <f t="shared" si="20"/>
        <v>0</v>
      </c>
      <c r="L289" s="234">
        <f t="shared" si="20"/>
        <v>0</v>
      </c>
      <c r="M289" s="234">
        <f t="shared" si="20"/>
        <v>0</v>
      </c>
      <c r="N289" s="234">
        <f t="shared" si="20"/>
        <v>0</v>
      </c>
      <c r="O289" s="126"/>
      <c r="P289" s="126"/>
      <c r="Q289" s="126"/>
    </row>
    <row r="290" spans="1:17" x14ac:dyDescent="0.25">
      <c r="A290" s="232">
        <v>6400</v>
      </c>
      <c r="B290" s="85" t="s">
        <v>684</v>
      </c>
      <c r="C290" s="123"/>
      <c r="D290" s="124" t="s">
        <v>756</v>
      </c>
      <c r="E290" s="124"/>
      <c r="F290" s="124"/>
      <c r="G290" s="124"/>
      <c r="H290" s="124"/>
      <c r="I290" s="124"/>
      <c r="J290" s="234"/>
      <c r="K290" s="234">
        <f t="shared" si="20"/>
        <v>0</v>
      </c>
      <c r="L290" s="234">
        <f t="shared" si="20"/>
        <v>0</v>
      </c>
      <c r="M290" s="234">
        <f t="shared" si="20"/>
        <v>0</v>
      </c>
      <c r="N290" s="234">
        <f t="shared" si="20"/>
        <v>0</v>
      </c>
      <c r="O290" s="126"/>
      <c r="P290" s="126"/>
      <c r="Q290" s="126"/>
    </row>
    <row r="291" spans="1:17" x14ac:dyDescent="0.25">
      <c r="A291" s="232">
        <v>6400</v>
      </c>
      <c r="B291" s="85" t="s">
        <v>33</v>
      </c>
      <c r="C291" s="123"/>
      <c r="D291" s="124" t="s">
        <v>756</v>
      </c>
      <c r="E291" s="124"/>
      <c r="F291" s="124"/>
      <c r="G291" s="124"/>
      <c r="H291" s="124"/>
      <c r="I291" s="124"/>
      <c r="J291" s="234"/>
      <c r="K291" s="234">
        <f t="shared" si="20"/>
        <v>0</v>
      </c>
      <c r="L291" s="234">
        <f t="shared" si="20"/>
        <v>0</v>
      </c>
      <c r="M291" s="234">
        <f t="shared" si="20"/>
        <v>0</v>
      </c>
      <c r="N291" s="234">
        <f t="shared" si="20"/>
        <v>0</v>
      </c>
      <c r="O291" s="126"/>
      <c r="P291" s="126"/>
      <c r="Q291" s="126"/>
    </row>
    <row r="292" spans="1:17" x14ac:dyDescent="0.25">
      <c r="A292" s="232">
        <v>6400</v>
      </c>
      <c r="B292" s="85" t="s">
        <v>35</v>
      </c>
      <c r="C292" s="123"/>
      <c r="D292" s="124" t="s">
        <v>756</v>
      </c>
      <c r="E292" s="124"/>
      <c r="F292" s="124"/>
      <c r="G292" s="124"/>
      <c r="H292" s="124"/>
      <c r="I292" s="124"/>
      <c r="J292" s="234"/>
      <c r="K292" s="234">
        <f t="shared" si="20"/>
        <v>0</v>
      </c>
      <c r="L292" s="234">
        <f t="shared" si="20"/>
        <v>0</v>
      </c>
      <c r="M292" s="234">
        <f t="shared" si="20"/>
        <v>0</v>
      </c>
      <c r="N292" s="234">
        <f t="shared" si="20"/>
        <v>0</v>
      </c>
      <c r="O292" s="126"/>
      <c r="P292" s="126"/>
      <c r="Q292" s="126"/>
    </row>
    <row r="293" spans="1:17" x14ac:dyDescent="0.25">
      <c r="A293" s="232">
        <v>6400</v>
      </c>
      <c r="B293" s="108" t="s">
        <v>39</v>
      </c>
      <c r="C293" s="123"/>
      <c r="D293" s="124" t="s">
        <v>756</v>
      </c>
      <c r="E293" s="124"/>
      <c r="F293" s="124"/>
      <c r="G293" s="124"/>
      <c r="H293" s="124"/>
      <c r="I293" s="124"/>
      <c r="J293" s="234"/>
      <c r="K293" s="234">
        <f t="shared" si="20"/>
        <v>0</v>
      </c>
      <c r="L293" s="234">
        <f t="shared" si="20"/>
        <v>0</v>
      </c>
      <c r="M293" s="234">
        <f t="shared" si="20"/>
        <v>0</v>
      </c>
      <c r="N293" s="234">
        <f t="shared" si="20"/>
        <v>0</v>
      </c>
      <c r="O293" s="126"/>
      <c r="P293" s="126"/>
      <c r="Q293" s="126"/>
    </row>
    <row r="294" spans="1:17" ht="15.75" thickBot="1" x14ac:dyDescent="0.3">
      <c r="A294" s="232">
        <v>6400</v>
      </c>
      <c r="B294" s="108" t="s">
        <v>34</v>
      </c>
      <c r="C294" s="123"/>
      <c r="D294" s="124" t="s">
        <v>756</v>
      </c>
      <c r="E294" s="124"/>
      <c r="F294" s="124"/>
      <c r="G294" s="124"/>
      <c r="H294" s="124"/>
      <c r="I294" s="124"/>
      <c r="J294" s="234"/>
      <c r="K294" s="234">
        <f t="shared" si="20"/>
        <v>0</v>
      </c>
      <c r="L294" s="234">
        <f t="shared" si="20"/>
        <v>0</v>
      </c>
      <c r="M294" s="234">
        <f t="shared" si="20"/>
        <v>0</v>
      </c>
      <c r="N294" s="234">
        <f t="shared" si="20"/>
        <v>0</v>
      </c>
      <c r="O294" s="126"/>
      <c r="P294" s="126"/>
      <c r="Q294" s="126"/>
    </row>
    <row r="295" spans="1:17" x14ac:dyDescent="0.25">
      <c r="A295" s="231">
        <v>6300</v>
      </c>
      <c r="B295" s="119" t="s">
        <v>28</v>
      </c>
      <c r="C295" s="120"/>
      <c r="D295" s="121" t="s">
        <v>695</v>
      </c>
      <c r="E295" s="121"/>
      <c r="F295" s="121"/>
      <c r="G295" s="121"/>
      <c r="H295" s="121"/>
      <c r="I295" s="121"/>
      <c r="J295" s="236"/>
      <c r="K295" s="236">
        <f t="shared" si="20"/>
        <v>0</v>
      </c>
      <c r="L295" s="236">
        <f t="shared" si="20"/>
        <v>0</v>
      </c>
      <c r="M295" s="236">
        <f t="shared" si="20"/>
        <v>0</v>
      </c>
      <c r="N295" s="236">
        <f t="shared" si="20"/>
        <v>0</v>
      </c>
      <c r="O295" s="126"/>
      <c r="P295" s="126"/>
      <c r="Q295" s="126"/>
    </row>
    <row r="296" spans="1:17" x14ac:dyDescent="0.25">
      <c r="A296" s="232">
        <v>6300</v>
      </c>
      <c r="B296" s="108" t="s">
        <v>27</v>
      </c>
      <c r="C296" s="123"/>
      <c r="D296" s="124" t="s">
        <v>695</v>
      </c>
      <c r="E296" s="124"/>
      <c r="F296" s="124"/>
      <c r="G296" s="124"/>
      <c r="H296" s="124"/>
      <c r="I296" s="124"/>
      <c r="J296" s="234"/>
      <c r="K296" s="234">
        <f t="shared" si="20"/>
        <v>0</v>
      </c>
      <c r="L296" s="234">
        <f t="shared" si="20"/>
        <v>0</v>
      </c>
      <c r="M296" s="234">
        <f t="shared" si="20"/>
        <v>0</v>
      </c>
      <c r="N296" s="234">
        <f t="shared" si="20"/>
        <v>0</v>
      </c>
      <c r="O296" s="126"/>
      <c r="P296" s="126"/>
      <c r="Q296" s="126"/>
    </row>
    <row r="297" spans="1:17" x14ac:dyDescent="0.25">
      <c r="A297" s="232">
        <v>6300</v>
      </c>
      <c r="B297" s="108" t="s">
        <v>32</v>
      </c>
      <c r="C297" s="123"/>
      <c r="D297" s="124" t="s">
        <v>695</v>
      </c>
      <c r="E297" s="124"/>
      <c r="F297" s="124"/>
      <c r="G297" s="124"/>
      <c r="H297" s="124"/>
      <c r="I297" s="124"/>
      <c r="J297" s="234"/>
      <c r="K297" s="234">
        <f t="shared" ref="K297:N316" si="21">SUMIFS(K$28:K$275,$A$28:$A$275,$A297,$B$28:$B$275,$B297)</f>
        <v>0</v>
      </c>
      <c r="L297" s="234">
        <f t="shared" si="21"/>
        <v>36474</v>
      </c>
      <c r="M297" s="234">
        <f t="shared" si="21"/>
        <v>71600</v>
      </c>
      <c r="N297" s="234">
        <f t="shared" si="21"/>
        <v>49950</v>
      </c>
      <c r="O297" s="126"/>
      <c r="P297" s="126"/>
      <c r="Q297" s="126"/>
    </row>
    <row r="298" spans="1:17" x14ac:dyDescent="0.25">
      <c r="A298" s="232">
        <v>6300</v>
      </c>
      <c r="B298" s="108" t="s">
        <v>685</v>
      </c>
      <c r="C298" s="123"/>
      <c r="D298" s="124" t="s">
        <v>695</v>
      </c>
      <c r="E298" s="124"/>
      <c r="F298" s="124"/>
      <c r="G298" s="124"/>
      <c r="H298" s="124"/>
      <c r="I298" s="124"/>
      <c r="J298" s="234"/>
      <c r="K298" s="234">
        <f t="shared" si="21"/>
        <v>0</v>
      </c>
      <c r="L298" s="234">
        <f t="shared" si="21"/>
        <v>0</v>
      </c>
      <c r="M298" s="234">
        <f t="shared" si="21"/>
        <v>0</v>
      </c>
      <c r="N298" s="234">
        <f t="shared" si="21"/>
        <v>0</v>
      </c>
      <c r="O298" s="126"/>
      <c r="P298" s="126"/>
      <c r="Q298" s="126"/>
    </row>
    <row r="299" spans="1:17" x14ac:dyDescent="0.25">
      <c r="A299" s="232">
        <v>6300</v>
      </c>
      <c r="B299" s="108" t="s">
        <v>41</v>
      </c>
      <c r="C299" s="123"/>
      <c r="D299" s="124" t="s">
        <v>695</v>
      </c>
      <c r="E299" s="124"/>
      <c r="F299" s="124"/>
      <c r="G299" s="124"/>
      <c r="H299" s="124"/>
      <c r="I299" s="124"/>
      <c r="J299" s="234"/>
      <c r="K299" s="234">
        <f t="shared" si="21"/>
        <v>0</v>
      </c>
      <c r="L299" s="234">
        <f t="shared" si="21"/>
        <v>0</v>
      </c>
      <c r="M299" s="234">
        <f t="shared" si="21"/>
        <v>0</v>
      </c>
      <c r="N299" s="234">
        <f t="shared" si="21"/>
        <v>0</v>
      </c>
      <c r="O299" s="126"/>
      <c r="P299" s="126"/>
      <c r="Q299" s="126"/>
    </row>
    <row r="300" spans="1:17" x14ac:dyDescent="0.25">
      <c r="A300" s="232">
        <v>6300</v>
      </c>
      <c r="B300" s="108" t="s">
        <v>775</v>
      </c>
      <c r="C300" s="123"/>
      <c r="D300" s="124" t="s">
        <v>695</v>
      </c>
      <c r="E300" s="124"/>
      <c r="F300" s="124"/>
      <c r="G300" s="124"/>
      <c r="H300" s="124"/>
      <c r="I300" s="124"/>
      <c r="J300" s="234"/>
      <c r="K300" s="234">
        <f t="shared" si="21"/>
        <v>0</v>
      </c>
      <c r="L300" s="234">
        <f t="shared" si="21"/>
        <v>0</v>
      </c>
      <c r="M300" s="234">
        <f t="shared" si="21"/>
        <v>0</v>
      </c>
      <c r="N300" s="234">
        <f t="shared" si="21"/>
        <v>0</v>
      </c>
      <c r="O300" s="126"/>
      <c r="P300" s="126"/>
      <c r="Q300" s="126"/>
    </row>
    <row r="301" spans="1:17" x14ac:dyDescent="0.25">
      <c r="A301" s="232">
        <v>6300</v>
      </c>
      <c r="B301" s="108" t="s">
        <v>37</v>
      </c>
      <c r="C301" s="123"/>
      <c r="D301" s="124" t="s">
        <v>695</v>
      </c>
      <c r="E301" s="124"/>
      <c r="F301" s="124"/>
      <c r="G301" s="124"/>
      <c r="H301" s="124"/>
      <c r="I301" s="124"/>
      <c r="J301" s="234"/>
      <c r="K301" s="234">
        <f t="shared" si="21"/>
        <v>0</v>
      </c>
      <c r="L301" s="234">
        <f t="shared" si="21"/>
        <v>0</v>
      </c>
      <c r="M301" s="234">
        <f t="shared" si="21"/>
        <v>0</v>
      </c>
      <c r="N301" s="234">
        <f t="shared" si="21"/>
        <v>0</v>
      </c>
      <c r="O301" s="126"/>
      <c r="P301" s="126"/>
      <c r="Q301" s="126"/>
    </row>
    <row r="302" spans="1:17" x14ac:dyDescent="0.25">
      <c r="A302" s="232">
        <v>6300</v>
      </c>
      <c r="B302" s="108" t="s">
        <v>29</v>
      </c>
      <c r="C302" s="123"/>
      <c r="D302" s="124" t="s">
        <v>695</v>
      </c>
      <c r="E302" s="124"/>
      <c r="F302" s="124"/>
      <c r="G302" s="124"/>
      <c r="H302" s="124"/>
      <c r="I302" s="124"/>
      <c r="J302" s="234"/>
      <c r="K302" s="234">
        <f t="shared" si="21"/>
        <v>0</v>
      </c>
      <c r="L302" s="234">
        <f t="shared" si="21"/>
        <v>0</v>
      </c>
      <c r="M302" s="234">
        <f t="shared" si="21"/>
        <v>0</v>
      </c>
      <c r="N302" s="234">
        <f t="shared" si="21"/>
        <v>0</v>
      </c>
      <c r="O302" s="126"/>
      <c r="P302" s="126"/>
      <c r="Q302" s="126"/>
    </row>
    <row r="303" spans="1:17" x14ac:dyDescent="0.25">
      <c r="A303" s="232">
        <v>6300</v>
      </c>
      <c r="B303" s="108" t="s">
        <v>536</v>
      </c>
      <c r="C303" s="123"/>
      <c r="D303" s="124" t="s">
        <v>695</v>
      </c>
      <c r="E303" s="124"/>
      <c r="F303" s="124"/>
      <c r="G303" s="124"/>
      <c r="H303" s="124"/>
      <c r="I303" s="124"/>
      <c r="J303" s="234"/>
      <c r="K303" s="234">
        <f t="shared" si="21"/>
        <v>0</v>
      </c>
      <c r="L303" s="234">
        <f t="shared" si="21"/>
        <v>0</v>
      </c>
      <c r="M303" s="234">
        <f t="shared" si="21"/>
        <v>0</v>
      </c>
      <c r="N303" s="234">
        <f t="shared" si="21"/>
        <v>0</v>
      </c>
      <c r="O303" s="126"/>
      <c r="P303" s="126"/>
      <c r="Q303" s="126"/>
    </row>
    <row r="304" spans="1:17" x14ac:dyDescent="0.25">
      <c r="A304" s="232">
        <v>6300</v>
      </c>
      <c r="B304" s="108" t="s">
        <v>36</v>
      </c>
      <c r="C304" s="123"/>
      <c r="D304" s="124" t="s">
        <v>695</v>
      </c>
      <c r="E304" s="124"/>
      <c r="F304" s="124"/>
      <c r="G304" s="124"/>
      <c r="H304" s="124"/>
      <c r="I304" s="124"/>
      <c r="J304" s="234"/>
      <c r="K304" s="234">
        <f t="shared" si="21"/>
        <v>0</v>
      </c>
      <c r="L304" s="234">
        <f t="shared" si="21"/>
        <v>0</v>
      </c>
      <c r="M304" s="234">
        <f t="shared" si="21"/>
        <v>0</v>
      </c>
      <c r="N304" s="234">
        <f t="shared" si="21"/>
        <v>0</v>
      </c>
      <c r="O304" s="126"/>
      <c r="P304" s="126"/>
      <c r="Q304" s="126"/>
    </row>
    <row r="305" spans="1:17" x14ac:dyDescent="0.25">
      <c r="A305" s="232">
        <v>6300</v>
      </c>
      <c r="B305" s="85" t="s">
        <v>31</v>
      </c>
      <c r="C305" s="123"/>
      <c r="D305" s="124" t="s">
        <v>695</v>
      </c>
      <c r="E305" s="124"/>
      <c r="F305" s="124"/>
      <c r="G305" s="124"/>
      <c r="H305" s="124"/>
      <c r="I305" s="124"/>
      <c r="J305" s="234"/>
      <c r="K305" s="234">
        <f t="shared" si="21"/>
        <v>0</v>
      </c>
      <c r="L305" s="234">
        <f t="shared" si="21"/>
        <v>0</v>
      </c>
      <c r="M305" s="234">
        <f t="shared" si="21"/>
        <v>0</v>
      </c>
      <c r="N305" s="234">
        <f t="shared" si="21"/>
        <v>0</v>
      </c>
      <c r="O305" s="126"/>
      <c r="P305" s="126"/>
      <c r="Q305" s="126"/>
    </row>
    <row r="306" spans="1:17" x14ac:dyDescent="0.25">
      <c r="A306" s="232">
        <v>6300</v>
      </c>
      <c r="B306" s="85" t="s">
        <v>30</v>
      </c>
      <c r="C306" s="123"/>
      <c r="D306" s="124" t="s">
        <v>695</v>
      </c>
      <c r="E306" s="124"/>
      <c r="F306" s="124"/>
      <c r="G306" s="124"/>
      <c r="H306" s="124"/>
      <c r="I306" s="124"/>
      <c r="J306" s="234"/>
      <c r="K306" s="234">
        <f t="shared" si="21"/>
        <v>0</v>
      </c>
      <c r="L306" s="234">
        <f t="shared" si="21"/>
        <v>0</v>
      </c>
      <c r="M306" s="234">
        <f t="shared" si="21"/>
        <v>0</v>
      </c>
      <c r="N306" s="234">
        <f t="shared" si="21"/>
        <v>0</v>
      </c>
      <c r="O306" s="126"/>
      <c r="P306" s="126"/>
      <c r="Q306" s="126"/>
    </row>
    <row r="307" spans="1:17" x14ac:dyDescent="0.25">
      <c r="A307" s="232">
        <v>6300</v>
      </c>
      <c r="B307" s="85" t="s">
        <v>38</v>
      </c>
      <c r="C307" s="123"/>
      <c r="D307" s="124" t="s">
        <v>695</v>
      </c>
      <c r="E307" s="124"/>
      <c r="F307" s="124"/>
      <c r="G307" s="124"/>
      <c r="H307" s="124"/>
      <c r="I307" s="124"/>
      <c r="J307" s="234"/>
      <c r="K307" s="234">
        <f t="shared" si="21"/>
        <v>0</v>
      </c>
      <c r="L307" s="234">
        <f t="shared" si="21"/>
        <v>0</v>
      </c>
      <c r="M307" s="234">
        <f t="shared" si="21"/>
        <v>0</v>
      </c>
      <c r="N307" s="234">
        <f t="shared" si="21"/>
        <v>0</v>
      </c>
      <c r="O307" s="126"/>
      <c r="P307" s="126"/>
      <c r="Q307" s="126"/>
    </row>
    <row r="308" spans="1:17" x14ac:dyDescent="0.25">
      <c r="A308" s="232">
        <v>6300</v>
      </c>
      <c r="B308" s="85" t="s">
        <v>684</v>
      </c>
      <c r="C308" s="123"/>
      <c r="D308" s="124" t="s">
        <v>695</v>
      </c>
      <c r="E308" s="124"/>
      <c r="F308" s="124"/>
      <c r="G308" s="124"/>
      <c r="H308" s="124"/>
      <c r="I308" s="124"/>
      <c r="J308" s="234"/>
      <c r="K308" s="234">
        <f t="shared" si="21"/>
        <v>0</v>
      </c>
      <c r="L308" s="234">
        <f t="shared" si="21"/>
        <v>0</v>
      </c>
      <c r="M308" s="234">
        <f t="shared" si="21"/>
        <v>0</v>
      </c>
      <c r="N308" s="234">
        <f t="shared" si="21"/>
        <v>0</v>
      </c>
      <c r="O308" s="126"/>
      <c r="P308" s="126"/>
      <c r="Q308" s="126"/>
    </row>
    <row r="309" spans="1:17" x14ac:dyDescent="0.25">
      <c r="A309" s="232">
        <v>6300</v>
      </c>
      <c r="B309" s="85" t="s">
        <v>33</v>
      </c>
      <c r="C309" s="123"/>
      <c r="D309" s="124" t="s">
        <v>695</v>
      </c>
      <c r="E309" s="124"/>
      <c r="F309" s="124"/>
      <c r="G309" s="124"/>
      <c r="H309" s="124"/>
      <c r="I309" s="124"/>
      <c r="J309" s="234"/>
      <c r="K309" s="234">
        <f t="shared" si="21"/>
        <v>0</v>
      </c>
      <c r="L309" s="234">
        <f t="shared" si="21"/>
        <v>0</v>
      </c>
      <c r="M309" s="234">
        <f t="shared" si="21"/>
        <v>0</v>
      </c>
      <c r="N309" s="234">
        <f t="shared" si="21"/>
        <v>0</v>
      </c>
      <c r="O309" s="126"/>
      <c r="P309" s="126"/>
      <c r="Q309" s="126"/>
    </row>
    <row r="310" spans="1:17" x14ac:dyDescent="0.25">
      <c r="A310" s="232">
        <v>6300</v>
      </c>
      <c r="B310" s="85" t="s">
        <v>35</v>
      </c>
      <c r="C310" s="123"/>
      <c r="D310" s="124" t="s">
        <v>695</v>
      </c>
      <c r="E310" s="124"/>
      <c r="F310" s="124"/>
      <c r="G310" s="124"/>
      <c r="H310" s="124"/>
      <c r="I310" s="124"/>
      <c r="J310" s="234"/>
      <c r="K310" s="234">
        <f t="shared" si="21"/>
        <v>0</v>
      </c>
      <c r="L310" s="234">
        <f t="shared" si="21"/>
        <v>0</v>
      </c>
      <c r="M310" s="234">
        <f t="shared" si="21"/>
        <v>0</v>
      </c>
      <c r="N310" s="234">
        <f t="shared" si="21"/>
        <v>0</v>
      </c>
      <c r="O310" s="126"/>
      <c r="P310" s="126"/>
      <c r="Q310" s="126"/>
    </row>
    <row r="311" spans="1:17" x14ac:dyDescent="0.25">
      <c r="A311" s="232">
        <v>6300</v>
      </c>
      <c r="B311" s="108" t="s">
        <v>39</v>
      </c>
      <c r="C311" s="123"/>
      <c r="D311" s="124" t="s">
        <v>695</v>
      </c>
      <c r="E311" s="124"/>
      <c r="F311" s="124"/>
      <c r="G311" s="124"/>
      <c r="H311" s="124"/>
      <c r="I311" s="124"/>
      <c r="J311" s="234"/>
      <c r="K311" s="234">
        <f t="shared" si="21"/>
        <v>0</v>
      </c>
      <c r="L311" s="234">
        <f t="shared" si="21"/>
        <v>0</v>
      </c>
      <c r="M311" s="234">
        <f t="shared" si="21"/>
        <v>0</v>
      </c>
      <c r="N311" s="234">
        <f t="shared" si="21"/>
        <v>0</v>
      </c>
      <c r="O311" s="126"/>
      <c r="P311" s="126"/>
      <c r="Q311" s="126"/>
    </row>
    <row r="312" spans="1:17" ht="15.75" thickBot="1" x14ac:dyDescent="0.3">
      <c r="A312" s="325">
        <v>6300</v>
      </c>
      <c r="B312" s="225" t="s">
        <v>34</v>
      </c>
      <c r="C312" s="226"/>
      <c r="D312" s="227" t="s">
        <v>695</v>
      </c>
      <c r="E312" s="227"/>
      <c r="F312" s="227"/>
      <c r="G312" s="227"/>
      <c r="H312" s="227"/>
      <c r="I312" s="227"/>
      <c r="J312" s="227"/>
      <c r="K312" s="327">
        <f t="shared" si="21"/>
        <v>0</v>
      </c>
      <c r="L312" s="327">
        <f t="shared" si="21"/>
        <v>0</v>
      </c>
      <c r="M312" s="327">
        <f t="shared" si="21"/>
        <v>0</v>
      </c>
      <c r="N312" s="327">
        <f t="shared" si="21"/>
        <v>0</v>
      </c>
      <c r="O312" s="126"/>
      <c r="P312" s="126"/>
      <c r="Q312" s="126"/>
    </row>
    <row r="313" spans="1:17" x14ac:dyDescent="0.25">
      <c r="A313" s="231">
        <v>6410</v>
      </c>
      <c r="B313" s="119" t="s">
        <v>28</v>
      </c>
      <c r="C313" s="120"/>
      <c r="D313" s="121" t="s">
        <v>469</v>
      </c>
      <c r="E313" s="121"/>
      <c r="F313" s="121"/>
      <c r="G313" s="121"/>
      <c r="H313" s="121"/>
      <c r="I313" s="121"/>
      <c r="J313" s="236"/>
      <c r="K313" s="236">
        <f t="shared" si="21"/>
        <v>0</v>
      </c>
      <c r="L313" s="236">
        <f t="shared" si="21"/>
        <v>0</v>
      </c>
      <c r="M313" s="236">
        <f t="shared" si="21"/>
        <v>0</v>
      </c>
      <c r="N313" s="236">
        <f t="shared" si="21"/>
        <v>0</v>
      </c>
      <c r="O313" s="126"/>
      <c r="P313" s="126"/>
      <c r="Q313" s="126"/>
    </row>
    <row r="314" spans="1:17" x14ac:dyDescent="0.25">
      <c r="A314" s="232">
        <v>6410</v>
      </c>
      <c r="B314" s="108" t="s">
        <v>27</v>
      </c>
      <c r="C314" s="123"/>
      <c r="D314" s="124" t="s">
        <v>469</v>
      </c>
      <c r="E314" s="124"/>
      <c r="F314" s="124"/>
      <c r="G314" s="124"/>
      <c r="H314" s="124"/>
      <c r="I314" s="124"/>
      <c r="J314" s="234"/>
      <c r="K314" s="234">
        <f t="shared" si="21"/>
        <v>0</v>
      </c>
      <c r="L314" s="234">
        <f t="shared" si="21"/>
        <v>0</v>
      </c>
      <c r="M314" s="234">
        <f t="shared" si="21"/>
        <v>0</v>
      </c>
      <c r="N314" s="234">
        <f t="shared" si="21"/>
        <v>0</v>
      </c>
      <c r="O314" s="126"/>
      <c r="P314" s="126"/>
      <c r="Q314" s="126"/>
    </row>
    <row r="315" spans="1:17" x14ac:dyDescent="0.25">
      <c r="A315" s="232">
        <v>6410</v>
      </c>
      <c r="B315" s="108" t="s">
        <v>32</v>
      </c>
      <c r="C315" s="123"/>
      <c r="D315" s="124" t="s">
        <v>469</v>
      </c>
      <c r="E315" s="124"/>
      <c r="F315" s="124"/>
      <c r="G315" s="124"/>
      <c r="H315" s="124"/>
      <c r="I315" s="124"/>
      <c r="J315" s="234"/>
      <c r="K315" s="234">
        <f t="shared" si="21"/>
        <v>0</v>
      </c>
      <c r="L315" s="234">
        <f t="shared" si="21"/>
        <v>0</v>
      </c>
      <c r="M315" s="234">
        <f t="shared" si="21"/>
        <v>0</v>
      </c>
      <c r="N315" s="234">
        <f t="shared" si="21"/>
        <v>0</v>
      </c>
      <c r="O315" s="126"/>
      <c r="P315" s="126"/>
      <c r="Q315" s="126"/>
    </row>
    <row r="316" spans="1:17" x14ac:dyDescent="0.25">
      <c r="A316" s="232">
        <v>6410</v>
      </c>
      <c r="B316" s="108" t="s">
        <v>685</v>
      </c>
      <c r="C316" s="123"/>
      <c r="D316" s="124" t="s">
        <v>469</v>
      </c>
      <c r="E316" s="124"/>
      <c r="F316" s="124"/>
      <c r="G316" s="124"/>
      <c r="H316" s="124"/>
      <c r="I316" s="124"/>
      <c r="J316" s="234"/>
      <c r="K316" s="234">
        <f t="shared" si="21"/>
        <v>0</v>
      </c>
      <c r="L316" s="234">
        <f t="shared" si="21"/>
        <v>0</v>
      </c>
      <c r="M316" s="234">
        <f t="shared" si="21"/>
        <v>0</v>
      </c>
      <c r="N316" s="234">
        <f t="shared" si="21"/>
        <v>0</v>
      </c>
      <c r="O316" s="126"/>
      <c r="P316" s="126"/>
      <c r="Q316" s="126"/>
    </row>
    <row r="317" spans="1:17" x14ac:dyDescent="0.25">
      <c r="A317" s="232">
        <v>6410</v>
      </c>
      <c r="B317" s="108" t="s">
        <v>41</v>
      </c>
      <c r="C317" s="123"/>
      <c r="D317" s="124" t="s">
        <v>469</v>
      </c>
      <c r="E317" s="124"/>
      <c r="F317" s="124"/>
      <c r="G317" s="124"/>
      <c r="H317" s="124"/>
      <c r="I317" s="124"/>
      <c r="J317" s="234"/>
      <c r="K317" s="234">
        <f t="shared" ref="K317:N336" si="22">SUMIFS(K$28:K$275,$A$28:$A$275,$A317,$B$28:$B$275,$B317)</f>
        <v>0</v>
      </c>
      <c r="L317" s="234">
        <f t="shared" si="22"/>
        <v>0</v>
      </c>
      <c r="M317" s="234">
        <f t="shared" si="22"/>
        <v>0</v>
      </c>
      <c r="N317" s="234">
        <f t="shared" si="22"/>
        <v>0</v>
      </c>
      <c r="O317" s="126"/>
      <c r="P317" s="126"/>
      <c r="Q317" s="126"/>
    </row>
    <row r="318" spans="1:17" x14ac:dyDescent="0.25">
      <c r="A318" s="232">
        <v>6410</v>
      </c>
      <c r="B318" s="108" t="s">
        <v>775</v>
      </c>
      <c r="C318" s="123"/>
      <c r="D318" s="124" t="s">
        <v>469</v>
      </c>
      <c r="E318" s="124"/>
      <c r="F318" s="124"/>
      <c r="G318" s="124"/>
      <c r="H318" s="124"/>
      <c r="I318" s="124"/>
      <c r="J318" s="234"/>
      <c r="K318" s="234">
        <f t="shared" si="22"/>
        <v>0</v>
      </c>
      <c r="L318" s="234">
        <f t="shared" si="22"/>
        <v>0</v>
      </c>
      <c r="M318" s="234">
        <f t="shared" si="22"/>
        <v>0</v>
      </c>
      <c r="N318" s="234">
        <f t="shared" si="22"/>
        <v>0</v>
      </c>
      <c r="O318" s="126"/>
      <c r="P318" s="126"/>
      <c r="Q318" s="126"/>
    </row>
    <row r="319" spans="1:17" x14ac:dyDescent="0.25">
      <c r="A319" s="232">
        <v>6410</v>
      </c>
      <c r="B319" s="108" t="s">
        <v>37</v>
      </c>
      <c r="C319" s="123"/>
      <c r="D319" s="124" t="s">
        <v>469</v>
      </c>
      <c r="E319" s="124"/>
      <c r="F319" s="124"/>
      <c r="G319" s="124"/>
      <c r="H319" s="124"/>
      <c r="I319" s="124"/>
      <c r="J319" s="234"/>
      <c r="K319" s="234">
        <f t="shared" si="22"/>
        <v>0</v>
      </c>
      <c r="L319" s="234">
        <f t="shared" si="22"/>
        <v>0</v>
      </c>
      <c r="M319" s="234">
        <f t="shared" si="22"/>
        <v>0</v>
      </c>
      <c r="N319" s="234">
        <f t="shared" si="22"/>
        <v>0</v>
      </c>
      <c r="O319" s="126"/>
      <c r="P319" s="126"/>
      <c r="Q319" s="126"/>
    </row>
    <row r="320" spans="1:17" x14ac:dyDescent="0.25">
      <c r="A320" s="232">
        <v>6410</v>
      </c>
      <c r="B320" s="108" t="s">
        <v>29</v>
      </c>
      <c r="C320" s="123"/>
      <c r="D320" s="124" t="s">
        <v>469</v>
      </c>
      <c r="E320" s="124"/>
      <c r="F320" s="124"/>
      <c r="G320" s="124"/>
      <c r="H320" s="124"/>
      <c r="I320" s="124"/>
      <c r="J320" s="234"/>
      <c r="K320" s="234">
        <f t="shared" si="22"/>
        <v>0</v>
      </c>
      <c r="L320" s="234">
        <f t="shared" si="22"/>
        <v>0</v>
      </c>
      <c r="M320" s="234">
        <f t="shared" si="22"/>
        <v>0</v>
      </c>
      <c r="N320" s="234">
        <f t="shared" si="22"/>
        <v>0</v>
      </c>
      <c r="O320" s="126"/>
      <c r="P320" s="126"/>
      <c r="Q320" s="126"/>
    </row>
    <row r="321" spans="1:17" x14ac:dyDescent="0.25">
      <c r="A321" s="232">
        <v>6410</v>
      </c>
      <c r="B321" s="108" t="s">
        <v>536</v>
      </c>
      <c r="C321" s="123"/>
      <c r="D321" s="124" t="s">
        <v>469</v>
      </c>
      <c r="E321" s="124"/>
      <c r="F321" s="124"/>
      <c r="G321" s="124"/>
      <c r="H321" s="124"/>
      <c r="I321" s="124"/>
      <c r="J321" s="234"/>
      <c r="K321" s="234">
        <f t="shared" si="22"/>
        <v>0</v>
      </c>
      <c r="L321" s="234">
        <f t="shared" si="22"/>
        <v>0</v>
      </c>
      <c r="M321" s="234">
        <f t="shared" si="22"/>
        <v>0</v>
      </c>
      <c r="N321" s="234">
        <f t="shared" si="22"/>
        <v>0</v>
      </c>
      <c r="O321" s="126"/>
      <c r="P321" s="126"/>
      <c r="Q321" s="126"/>
    </row>
    <row r="322" spans="1:17" x14ac:dyDescent="0.25">
      <c r="A322" s="232">
        <v>6410</v>
      </c>
      <c r="B322" s="108" t="s">
        <v>36</v>
      </c>
      <c r="C322" s="123"/>
      <c r="D322" s="124" t="s">
        <v>469</v>
      </c>
      <c r="E322" s="124"/>
      <c r="F322" s="124"/>
      <c r="G322" s="124"/>
      <c r="H322" s="124"/>
      <c r="I322" s="124"/>
      <c r="J322" s="234"/>
      <c r="K322" s="234">
        <f t="shared" si="22"/>
        <v>0</v>
      </c>
      <c r="L322" s="234">
        <f t="shared" si="22"/>
        <v>0</v>
      </c>
      <c r="M322" s="234">
        <f t="shared" si="22"/>
        <v>0</v>
      </c>
      <c r="N322" s="234">
        <f t="shared" si="22"/>
        <v>0</v>
      </c>
      <c r="O322" s="126"/>
      <c r="P322" s="126"/>
      <c r="Q322" s="126"/>
    </row>
    <row r="323" spans="1:17" x14ac:dyDescent="0.25">
      <c r="A323" s="232">
        <v>6410</v>
      </c>
      <c r="B323" s="85" t="s">
        <v>31</v>
      </c>
      <c r="C323" s="123"/>
      <c r="D323" s="124" t="s">
        <v>469</v>
      </c>
      <c r="E323" s="124"/>
      <c r="F323" s="124"/>
      <c r="G323" s="124"/>
      <c r="H323" s="124"/>
      <c r="I323" s="124"/>
      <c r="J323" s="234"/>
      <c r="K323" s="234">
        <f t="shared" si="22"/>
        <v>0</v>
      </c>
      <c r="L323" s="234">
        <f t="shared" si="22"/>
        <v>0</v>
      </c>
      <c r="M323" s="234">
        <f t="shared" si="22"/>
        <v>0</v>
      </c>
      <c r="N323" s="234">
        <f t="shared" si="22"/>
        <v>0</v>
      </c>
      <c r="O323" s="126"/>
      <c r="P323" s="126"/>
      <c r="Q323" s="126"/>
    </row>
    <row r="324" spans="1:17" x14ac:dyDescent="0.25">
      <c r="A324" s="232">
        <v>6410</v>
      </c>
      <c r="B324" s="85" t="s">
        <v>30</v>
      </c>
      <c r="C324" s="123"/>
      <c r="D324" s="124" t="s">
        <v>469</v>
      </c>
      <c r="E324" s="124"/>
      <c r="F324" s="124"/>
      <c r="G324" s="124"/>
      <c r="H324" s="124"/>
      <c r="I324" s="124"/>
      <c r="J324" s="234"/>
      <c r="K324" s="234">
        <f t="shared" si="22"/>
        <v>700000</v>
      </c>
      <c r="L324" s="234">
        <f t="shared" si="22"/>
        <v>130741.25</v>
      </c>
      <c r="M324" s="234">
        <f t="shared" si="22"/>
        <v>60000</v>
      </c>
      <c r="N324" s="234">
        <f t="shared" si="22"/>
        <v>100000</v>
      </c>
      <c r="O324" s="126"/>
      <c r="P324" s="126"/>
      <c r="Q324" s="126"/>
    </row>
    <row r="325" spans="1:17" x14ac:dyDescent="0.25">
      <c r="A325" s="232">
        <v>6410</v>
      </c>
      <c r="B325" s="85" t="s">
        <v>38</v>
      </c>
      <c r="C325" s="123"/>
      <c r="D325" s="124" t="s">
        <v>469</v>
      </c>
      <c r="E325" s="124"/>
      <c r="F325" s="124"/>
      <c r="G325" s="124"/>
      <c r="H325" s="124"/>
      <c r="I325" s="124"/>
      <c r="J325" s="234"/>
      <c r="K325" s="234">
        <f t="shared" si="22"/>
        <v>0</v>
      </c>
      <c r="L325" s="234">
        <f t="shared" si="22"/>
        <v>0</v>
      </c>
      <c r="M325" s="234">
        <f t="shared" si="22"/>
        <v>0</v>
      </c>
      <c r="N325" s="234">
        <f t="shared" si="22"/>
        <v>0</v>
      </c>
      <c r="O325" s="126"/>
      <c r="P325" s="126"/>
      <c r="Q325" s="126"/>
    </row>
    <row r="326" spans="1:17" x14ac:dyDescent="0.25">
      <c r="A326" s="232">
        <v>6410</v>
      </c>
      <c r="B326" s="85" t="s">
        <v>684</v>
      </c>
      <c r="C326" s="123"/>
      <c r="D326" s="124" t="s">
        <v>469</v>
      </c>
      <c r="E326" s="124"/>
      <c r="F326" s="124"/>
      <c r="G326" s="124"/>
      <c r="H326" s="124"/>
      <c r="I326" s="124"/>
      <c r="J326" s="234"/>
      <c r="K326" s="234">
        <f t="shared" si="22"/>
        <v>0</v>
      </c>
      <c r="L326" s="234">
        <f t="shared" si="22"/>
        <v>0</v>
      </c>
      <c r="M326" s="234">
        <f t="shared" si="22"/>
        <v>0</v>
      </c>
      <c r="N326" s="234">
        <f t="shared" si="22"/>
        <v>0</v>
      </c>
      <c r="O326" s="126"/>
      <c r="P326" s="126"/>
      <c r="Q326" s="126"/>
    </row>
    <row r="327" spans="1:17" x14ac:dyDescent="0.25">
      <c r="A327" s="232">
        <v>6410</v>
      </c>
      <c r="B327" s="85" t="s">
        <v>33</v>
      </c>
      <c r="C327" s="123"/>
      <c r="D327" s="124" t="s">
        <v>469</v>
      </c>
      <c r="E327" s="124"/>
      <c r="F327" s="124"/>
      <c r="G327" s="124"/>
      <c r="H327" s="124"/>
      <c r="I327" s="124"/>
      <c r="J327" s="234"/>
      <c r="K327" s="234">
        <f t="shared" si="22"/>
        <v>0</v>
      </c>
      <c r="L327" s="234">
        <f t="shared" si="22"/>
        <v>0</v>
      </c>
      <c r="M327" s="234">
        <f t="shared" si="22"/>
        <v>0</v>
      </c>
      <c r="N327" s="234">
        <f t="shared" si="22"/>
        <v>0</v>
      </c>
      <c r="O327" s="126"/>
      <c r="P327" s="126"/>
      <c r="Q327" s="126"/>
    </row>
    <row r="328" spans="1:17" x14ac:dyDescent="0.25">
      <c r="A328" s="232">
        <v>6410</v>
      </c>
      <c r="B328" s="85" t="s">
        <v>35</v>
      </c>
      <c r="C328" s="123"/>
      <c r="D328" s="124" t="s">
        <v>469</v>
      </c>
      <c r="E328" s="124"/>
      <c r="F328" s="124"/>
      <c r="G328" s="124"/>
      <c r="H328" s="124"/>
      <c r="I328" s="124"/>
      <c r="J328" s="234"/>
      <c r="K328" s="234">
        <f t="shared" si="22"/>
        <v>0</v>
      </c>
      <c r="L328" s="234">
        <f t="shared" si="22"/>
        <v>0</v>
      </c>
      <c r="M328" s="234">
        <f t="shared" si="22"/>
        <v>0</v>
      </c>
      <c r="N328" s="234">
        <f t="shared" si="22"/>
        <v>0</v>
      </c>
      <c r="O328" s="126"/>
      <c r="P328" s="126"/>
      <c r="Q328" s="126"/>
    </row>
    <row r="329" spans="1:17" x14ac:dyDescent="0.25">
      <c r="A329" s="232">
        <v>6410</v>
      </c>
      <c r="B329" s="108" t="s">
        <v>39</v>
      </c>
      <c r="C329" s="123"/>
      <c r="D329" s="124" t="s">
        <v>469</v>
      </c>
      <c r="E329" s="124"/>
      <c r="F329" s="124"/>
      <c r="G329" s="124"/>
      <c r="H329" s="124"/>
      <c r="I329" s="124"/>
      <c r="J329" s="234"/>
      <c r="K329" s="234">
        <f t="shared" si="22"/>
        <v>0</v>
      </c>
      <c r="L329" s="234">
        <f t="shared" si="22"/>
        <v>0</v>
      </c>
      <c r="M329" s="234">
        <f t="shared" si="22"/>
        <v>0</v>
      </c>
      <c r="N329" s="234">
        <f t="shared" si="22"/>
        <v>0</v>
      </c>
      <c r="O329" s="126"/>
      <c r="P329" s="126"/>
      <c r="Q329" s="126"/>
    </row>
    <row r="330" spans="1:17" ht="15.75" thickBot="1" x14ac:dyDescent="0.3">
      <c r="A330" s="232">
        <v>6410</v>
      </c>
      <c r="B330" s="108" t="s">
        <v>34</v>
      </c>
      <c r="C330" s="123"/>
      <c r="D330" s="124" t="s">
        <v>469</v>
      </c>
      <c r="E330" s="124"/>
      <c r="F330" s="124"/>
      <c r="G330" s="124"/>
      <c r="H330" s="124"/>
      <c r="I330" s="124"/>
      <c r="J330" s="234"/>
      <c r="K330" s="234">
        <f t="shared" si="22"/>
        <v>0</v>
      </c>
      <c r="L330" s="234">
        <f t="shared" si="22"/>
        <v>0</v>
      </c>
      <c r="M330" s="234">
        <f t="shared" si="22"/>
        <v>0</v>
      </c>
      <c r="N330" s="234">
        <f t="shared" si="22"/>
        <v>0</v>
      </c>
      <c r="O330" s="126"/>
      <c r="P330" s="126"/>
      <c r="Q330" s="126"/>
    </row>
    <row r="331" spans="1:17" x14ac:dyDescent="0.25">
      <c r="A331" s="231">
        <v>6420</v>
      </c>
      <c r="B331" s="119" t="s">
        <v>28</v>
      </c>
      <c r="C331" s="120"/>
      <c r="D331" s="121" t="s">
        <v>755</v>
      </c>
      <c r="E331" s="121"/>
      <c r="F331" s="121"/>
      <c r="G331" s="121"/>
      <c r="H331" s="121"/>
      <c r="I331" s="121"/>
      <c r="J331" s="236"/>
      <c r="K331" s="236">
        <f t="shared" si="22"/>
        <v>39080</v>
      </c>
      <c r="L331" s="236">
        <f t="shared" si="22"/>
        <v>35172</v>
      </c>
      <c r="M331" s="236">
        <f t="shared" si="22"/>
        <v>35172</v>
      </c>
      <c r="N331" s="236">
        <f t="shared" si="22"/>
        <v>4608</v>
      </c>
      <c r="O331" s="126"/>
      <c r="P331" s="126"/>
      <c r="Q331" s="126"/>
    </row>
    <row r="332" spans="1:17" x14ac:dyDescent="0.25">
      <c r="A332" s="232">
        <v>6420</v>
      </c>
      <c r="B332" s="108" t="s">
        <v>27</v>
      </c>
      <c r="C332" s="123"/>
      <c r="D332" s="124" t="s">
        <v>755</v>
      </c>
      <c r="E332" s="124"/>
      <c r="F332" s="124"/>
      <c r="G332" s="124"/>
      <c r="H332" s="124"/>
      <c r="I332" s="124"/>
      <c r="J332" s="234"/>
      <c r="K332" s="234">
        <f t="shared" si="22"/>
        <v>18000</v>
      </c>
      <c r="L332" s="234">
        <f t="shared" si="22"/>
        <v>2171</v>
      </c>
      <c r="M332" s="234">
        <f t="shared" si="22"/>
        <v>4571</v>
      </c>
      <c r="N332" s="234">
        <f t="shared" si="22"/>
        <v>15000</v>
      </c>
      <c r="O332" s="126"/>
      <c r="P332" s="126"/>
      <c r="Q332" s="126"/>
    </row>
    <row r="333" spans="1:17" x14ac:dyDescent="0.25">
      <c r="A333" s="232">
        <v>6420</v>
      </c>
      <c r="B333" s="108" t="s">
        <v>32</v>
      </c>
      <c r="C333" s="123"/>
      <c r="D333" s="124" t="s">
        <v>755</v>
      </c>
      <c r="E333" s="124"/>
      <c r="F333" s="124"/>
      <c r="G333" s="124"/>
      <c r="H333" s="124"/>
      <c r="I333" s="124"/>
      <c r="J333" s="234"/>
      <c r="K333" s="234">
        <f t="shared" si="22"/>
        <v>56700</v>
      </c>
      <c r="L333" s="234">
        <f t="shared" si="22"/>
        <v>56700</v>
      </c>
      <c r="M333" s="234">
        <f t="shared" si="22"/>
        <v>13260</v>
      </c>
      <c r="N333" s="234">
        <f t="shared" si="22"/>
        <v>32900</v>
      </c>
      <c r="O333" s="126"/>
      <c r="P333" s="126"/>
      <c r="Q333" s="126"/>
    </row>
    <row r="334" spans="1:17" x14ac:dyDescent="0.25">
      <c r="A334" s="232">
        <v>6420</v>
      </c>
      <c r="B334" s="108" t="s">
        <v>685</v>
      </c>
      <c r="C334" s="123"/>
      <c r="D334" s="124" t="s">
        <v>755</v>
      </c>
      <c r="E334" s="124"/>
      <c r="F334" s="124"/>
      <c r="G334" s="124"/>
      <c r="H334" s="124"/>
      <c r="I334" s="124"/>
      <c r="J334" s="234"/>
      <c r="K334" s="234">
        <f t="shared" si="22"/>
        <v>30000</v>
      </c>
      <c r="L334" s="234">
        <f t="shared" si="22"/>
        <v>0</v>
      </c>
      <c r="M334" s="234">
        <f t="shared" si="22"/>
        <v>0</v>
      </c>
      <c r="N334" s="234">
        <f t="shared" si="22"/>
        <v>30000</v>
      </c>
      <c r="O334" s="126"/>
      <c r="P334" s="126"/>
      <c r="Q334" s="126"/>
    </row>
    <row r="335" spans="1:17" x14ac:dyDescent="0.25">
      <c r="A335" s="232">
        <v>6420</v>
      </c>
      <c r="B335" s="108" t="s">
        <v>41</v>
      </c>
      <c r="C335" s="123"/>
      <c r="D335" s="124" t="s">
        <v>755</v>
      </c>
      <c r="E335" s="124"/>
      <c r="F335" s="124"/>
      <c r="G335" s="124"/>
      <c r="H335" s="124"/>
      <c r="I335" s="124"/>
      <c r="J335" s="234"/>
      <c r="K335" s="234">
        <f t="shared" si="22"/>
        <v>0</v>
      </c>
      <c r="L335" s="234">
        <f t="shared" si="22"/>
        <v>0</v>
      </c>
      <c r="M335" s="234">
        <f t="shared" si="22"/>
        <v>0</v>
      </c>
      <c r="N335" s="234">
        <f t="shared" si="22"/>
        <v>0</v>
      </c>
      <c r="O335" s="126"/>
      <c r="P335" s="126"/>
      <c r="Q335" s="126"/>
    </row>
    <row r="336" spans="1:17" x14ac:dyDescent="0.25">
      <c r="A336" s="232">
        <v>6420</v>
      </c>
      <c r="B336" s="108" t="s">
        <v>775</v>
      </c>
      <c r="C336" s="123"/>
      <c r="D336" s="124" t="s">
        <v>755</v>
      </c>
      <c r="E336" s="124"/>
      <c r="F336" s="124"/>
      <c r="G336" s="124"/>
      <c r="H336" s="124"/>
      <c r="I336" s="124"/>
      <c r="J336" s="234"/>
      <c r="K336" s="234">
        <f t="shared" si="22"/>
        <v>2250000</v>
      </c>
      <c r="L336" s="234">
        <f t="shared" si="22"/>
        <v>59200</v>
      </c>
      <c r="M336" s="234">
        <f t="shared" si="22"/>
        <v>102000</v>
      </c>
      <c r="N336" s="234">
        <f t="shared" si="22"/>
        <v>285500</v>
      </c>
      <c r="O336" s="126"/>
      <c r="P336" s="126"/>
      <c r="Q336" s="126"/>
    </row>
    <row r="337" spans="1:17" x14ac:dyDescent="0.25">
      <c r="A337" s="232">
        <v>6420</v>
      </c>
      <c r="B337" s="108" t="s">
        <v>37</v>
      </c>
      <c r="C337" s="123"/>
      <c r="D337" s="124" t="s">
        <v>755</v>
      </c>
      <c r="E337" s="124"/>
      <c r="F337" s="124"/>
      <c r="G337" s="124"/>
      <c r="H337" s="124"/>
      <c r="I337" s="124"/>
      <c r="J337" s="234"/>
      <c r="K337" s="234">
        <f t="shared" ref="K337:N356" si="23">SUMIFS(K$28:K$275,$A$28:$A$275,$A337,$B$28:$B$275,$B337)</f>
        <v>744322.04</v>
      </c>
      <c r="L337" s="234">
        <f t="shared" si="23"/>
        <v>637252.28</v>
      </c>
      <c r="M337" s="234">
        <f t="shared" si="23"/>
        <v>159000</v>
      </c>
      <c r="N337" s="234">
        <f t="shared" si="23"/>
        <v>122000</v>
      </c>
      <c r="O337" s="126"/>
      <c r="P337" s="126"/>
      <c r="Q337" s="126"/>
    </row>
    <row r="338" spans="1:17" x14ac:dyDescent="0.25">
      <c r="A338" s="232">
        <v>6420</v>
      </c>
      <c r="B338" s="108" t="s">
        <v>29</v>
      </c>
      <c r="C338" s="123"/>
      <c r="D338" s="124" t="s">
        <v>755</v>
      </c>
      <c r="E338" s="124"/>
      <c r="F338" s="124"/>
      <c r="G338" s="124"/>
      <c r="H338" s="124"/>
      <c r="I338" s="124"/>
      <c r="J338" s="234"/>
      <c r="K338" s="234">
        <f t="shared" si="23"/>
        <v>2823063.19</v>
      </c>
      <c r="L338" s="234">
        <f t="shared" si="23"/>
        <v>1976572.5699999998</v>
      </c>
      <c r="M338" s="234">
        <f t="shared" si="23"/>
        <v>308597</v>
      </c>
      <c r="N338" s="234">
        <f t="shared" si="23"/>
        <v>140000</v>
      </c>
      <c r="O338" s="126"/>
      <c r="P338" s="126"/>
      <c r="Q338" s="126"/>
    </row>
    <row r="339" spans="1:17" x14ac:dyDescent="0.25">
      <c r="A339" s="232">
        <v>6420</v>
      </c>
      <c r="B339" s="108" t="s">
        <v>536</v>
      </c>
      <c r="C339" s="123"/>
      <c r="D339" s="124" t="s">
        <v>755</v>
      </c>
      <c r="E339" s="124"/>
      <c r="F339" s="124"/>
      <c r="G339" s="124"/>
      <c r="H339" s="124"/>
      <c r="I339" s="124"/>
      <c r="J339" s="234"/>
      <c r="K339" s="234">
        <f t="shared" si="23"/>
        <v>0</v>
      </c>
      <c r="L339" s="234">
        <f t="shared" si="23"/>
        <v>0</v>
      </c>
      <c r="M339" s="234">
        <f t="shared" si="23"/>
        <v>0</v>
      </c>
      <c r="N339" s="234">
        <f t="shared" si="23"/>
        <v>250</v>
      </c>
      <c r="O339" s="126"/>
      <c r="P339" s="126"/>
      <c r="Q339" s="126"/>
    </row>
    <row r="340" spans="1:17" x14ac:dyDescent="0.25">
      <c r="A340" s="232">
        <v>6420</v>
      </c>
      <c r="B340" s="108" t="s">
        <v>36</v>
      </c>
      <c r="C340" s="123"/>
      <c r="D340" s="124" t="s">
        <v>755</v>
      </c>
      <c r="E340" s="124"/>
      <c r="F340" s="124"/>
      <c r="G340" s="124"/>
      <c r="H340" s="124"/>
      <c r="I340" s="124"/>
      <c r="J340" s="234"/>
      <c r="K340" s="234">
        <f t="shared" si="23"/>
        <v>98511.46</v>
      </c>
      <c r="L340" s="234">
        <f t="shared" si="23"/>
        <v>0</v>
      </c>
      <c r="M340" s="234">
        <f t="shared" si="23"/>
        <v>0</v>
      </c>
      <c r="N340" s="234">
        <f t="shared" si="23"/>
        <v>99000</v>
      </c>
      <c r="O340" s="126"/>
      <c r="P340" s="126"/>
      <c r="Q340" s="126"/>
    </row>
    <row r="341" spans="1:17" x14ac:dyDescent="0.25">
      <c r="A341" s="232">
        <v>6420</v>
      </c>
      <c r="B341" s="85" t="s">
        <v>31</v>
      </c>
      <c r="C341" s="123"/>
      <c r="D341" s="124" t="s">
        <v>755</v>
      </c>
      <c r="E341" s="124"/>
      <c r="F341" s="124"/>
      <c r="G341" s="124"/>
      <c r="H341" s="124"/>
      <c r="I341" s="124"/>
      <c r="J341" s="234"/>
      <c r="K341" s="234">
        <f t="shared" si="23"/>
        <v>0</v>
      </c>
      <c r="L341" s="234">
        <f t="shared" si="23"/>
        <v>0</v>
      </c>
      <c r="M341" s="234">
        <f t="shared" si="23"/>
        <v>0</v>
      </c>
      <c r="N341" s="234">
        <f t="shared" si="23"/>
        <v>0</v>
      </c>
      <c r="O341" s="126"/>
      <c r="P341" s="126"/>
      <c r="Q341" s="126"/>
    </row>
    <row r="342" spans="1:17" x14ac:dyDescent="0.25">
      <c r="A342" s="232">
        <v>6420</v>
      </c>
      <c r="B342" s="85" t="s">
        <v>30</v>
      </c>
      <c r="C342" s="123"/>
      <c r="D342" s="124" t="s">
        <v>755</v>
      </c>
      <c r="E342" s="124"/>
      <c r="F342" s="124"/>
      <c r="G342" s="124"/>
      <c r="H342" s="124"/>
      <c r="I342" s="124"/>
      <c r="J342" s="234"/>
      <c r="K342" s="234">
        <f t="shared" si="23"/>
        <v>0</v>
      </c>
      <c r="L342" s="234">
        <f t="shared" si="23"/>
        <v>0</v>
      </c>
      <c r="M342" s="234">
        <f t="shared" si="23"/>
        <v>0</v>
      </c>
      <c r="N342" s="234">
        <f t="shared" si="23"/>
        <v>0</v>
      </c>
      <c r="O342" s="126"/>
      <c r="P342" s="126"/>
      <c r="Q342" s="126"/>
    </row>
    <row r="343" spans="1:17" x14ac:dyDescent="0.25">
      <c r="A343" s="232">
        <v>6420</v>
      </c>
      <c r="B343" s="85" t="s">
        <v>38</v>
      </c>
      <c r="C343" s="123"/>
      <c r="D343" s="124" t="s">
        <v>755</v>
      </c>
      <c r="E343" s="124"/>
      <c r="F343" s="124"/>
      <c r="G343" s="124"/>
      <c r="H343" s="124"/>
      <c r="I343" s="124"/>
      <c r="J343" s="234"/>
      <c r="K343" s="234">
        <f t="shared" si="23"/>
        <v>1009151.5</v>
      </c>
      <c r="L343" s="234">
        <f t="shared" si="23"/>
        <v>208168.05</v>
      </c>
      <c r="M343" s="234">
        <f t="shared" si="23"/>
        <v>91230</v>
      </c>
      <c r="N343" s="234">
        <f t="shared" si="23"/>
        <v>111000</v>
      </c>
      <c r="O343" s="126"/>
      <c r="P343" s="126"/>
      <c r="Q343" s="126"/>
    </row>
    <row r="344" spans="1:17" x14ac:dyDescent="0.25">
      <c r="A344" s="232">
        <v>6420</v>
      </c>
      <c r="B344" s="85" t="s">
        <v>684</v>
      </c>
      <c r="C344" s="123"/>
      <c r="D344" s="124" t="s">
        <v>755</v>
      </c>
      <c r="E344" s="124"/>
      <c r="F344" s="124"/>
      <c r="G344" s="124"/>
      <c r="H344" s="124"/>
      <c r="I344" s="124"/>
      <c r="J344" s="234"/>
      <c r="K344" s="234">
        <f t="shared" si="23"/>
        <v>40000</v>
      </c>
      <c r="L344" s="234">
        <f t="shared" si="23"/>
        <v>2500</v>
      </c>
      <c r="M344" s="234">
        <f t="shared" si="23"/>
        <v>10000</v>
      </c>
      <c r="N344" s="234">
        <f t="shared" si="23"/>
        <v>30000</v>
      </c>
      <c r="O344" s="126"/>
      <c r="P344" s="126"/>
      <c r="Q344" s="126"/>
    </row>
    <row r="345" spans="1:17" x14ac:dyDescent="0.25">
      <c r="A345" s="232">
        <v>6420</v>
      </c>
      <c r="B345" s="85" t="s">
        <v>33</v>
      </c>
      <c r="C345" s="123"/>
      <c r="D345" s="124" t="s">
        <v>755</v>
      </c>
      <c r="E345" s="124"/>
      <c r="F345" s="124"/>
      <c r="G345" s="124"/>
      <c r="H345" s="124"/>
      <c r="I345" s="124"/>
      <c r="J345" s="234"/>
      <c r="K345" s="234">
        <f t="shared" si="23"/>
        <v>0</v>
      </c>
      <c r="L345" s="234">
        <f t="shared" si="23"/>
        <v>0</v>
      </c>
      <c r="M345" s="234">
        <f t="shared" si="23"/>
        <v>7500</v>
      </c>
      <c r="N345" s="234">
        <f t="shared" si="23"/>
        <v>8500</v>
      </c>
      <c r="O345" s="126"/>
      <c r="P345" s="126"/>
      <c r="Q345" s="126"/>
    </row>
    <row r="346" spans="1:17" x14ac:dyDescent="0.25">
      <c r="A346" s="232">
        <v>6420</v>
      </c>
      <c r="B346" s="85" t="s">
        <v>35</v>
      </c>
      <c r="C346" s="123"/>
      <c r="D346" s="124" t="s">
        <v>755</v>
      </c>
      <c r="E346" s="124"/>
      <c r="F346" s="124"/>
      <c r="G346" s="124"/>
      <c r="H346" s="124"/>
      <c r="I346" s="124"/>
      <c r="J346" s="234"/>
      <c r="K346" s="234">
        <f t="shared" si="23"/>
        <v>0</v>
      </c>
      <c r="L346" s="234">
        <f t="shared" si="23"/>
        <v>0</v>
      </c>
      <c r="M346" s="234">
        <f t="shared" si="23"/>
        <v>0</v>
      </c>
      <c r="N346" s="234">
        <f t="shared" si="23"/>
        <v>0</v>
      </c>
      <c r="O346" s="126"/>
      <c r="P346" s="126"/>
      <c r="Q346" s="126"/>
    </row>
    <row r="347" spans="1:17" x14ac:dyDescent="0.25">
      <c r="A347" s="232">
        <v>6420</v>
      </c>
      <c r="B347" s="108" t="s">
        <v>39</v>
      </c>
      <c r="C347" s="123"/>
      <c r="D347" s="124" t="s">
        <v>755</v>
      </c>
      <c r="E347" s="124"/>
      <c r="F347" s="124"/>
      <c r="G347" s="124"/>
      <c r="H347" s="124"/>
      <c r="I347" s="124"/>
      <c r="J347" s="234"/>
      <c r="K347" s="234">
        <f t="shared" si="23"/>
        <v>1350000</v>
      </c>
      <c r="L347" s="234">
        <f t="shared" si="23"/>
        <v>585683.38</v>
      </c>
      <c r="M347" s="234">
        <f t="shared" si="23"/>
        <v>322007.93</v>
      </c>
      <c r="N347" s="234">
        <f t="shared" si="23"/>
        <v>407001.02</v>
      </c>
      <c r="O347" s="126"/>
      <c r="P347" s="126"/>
      <c r="Q347" s="126"/>
    </row>
    <row r="348" spans="1:17" ht="15.75" thickBot="1" x14ac:dyDescent="0.3">
      <c r="A348" s="325">
        <v>6420</v>
      </c>
      <c r="B348" s="225" t="s">
        <v>34</v>
      </c>
      <c r="C348" s="226"/>
      <c r="D348" s="227" t="s">
        <v>755</v>
      </c>
      <c r="E348" s="227"/>
      <c r="F348" s="227"/>
      <c r="G348" s="227"/>
      <c r="H348" s="227"/>
      <c r="I348" s="227"/>
      <c r="J348" s="227"/>
      <c r="K348" s="327">
        <f t="shared" si="23"/>
        <v>30000</v>
      </c>
      <c r="L348" s="327">
        <f t="shared" si="23"/>
        <v>49158.96</v>
      </c>
      <c r="M348" s="327">
        <f t="shared" si="23"/>
        <v>12530</v>
      </c>
      <c r="N348" s="327">
        <f t="shared" si="23"/>
        <v>68000</v>
      </c>
      <c r="O348" s="126"/>
      <c r="P348" s="126"/>
      <c r="Q348" s="126"/>
    </row>
    <row r="349" spans="1:17" x14ac:dyDescent="0.25">
      <c r="A349" s="231">
        <v>6305</v>
      </c>
      <c r="B349" s="119" t="s">
        <v>28</v>
      </c>
      <c r="C349" s="120"/>
      <c r="D349" s="121" t="s">
        <v>495</v>
      </c>
      <c r="E349" s="121"/>
      <c r="F349" s="121"/>
      <c r="G349" s="121"/>
      <c r="H349" s="121"/>
      <c r="I349" s="121"/>
      <c r="J349" s="236"/>
      <c r="K349" s="236">
        <f t="shared" si="23"/>
        <v>0</v>
      </c>
      <c r="L349" s="236">
        <f t="shared" si="23"/>
        <v>0</v>
      </c>
      <c r="M349" s="236">
        <f t="shared" si="23"/>
        <v>0</v>
      </c>
      <c r="N349" s="236">
        <f t="shared" si="23"/>
        <v>0</v>
      </c>
      <c r="O349" s="126"/>
      <c r="P349" s="126"/>
      <c r="Q349" s="126"/>
    </row>
    <row r="350" spans="1:17" x14ac:dyDescent="0.25">
      <c r="A350" s="232">
        <v>6305</v>
      </c>
      <c r="B350" s="108" t="s">
        <v>27</v>
      </c>
      <c r="C350" s="123"/>
      <c r="D350" s="124" t="s">
        <v>495</v>
      </c>
      <c r="E350" s="124"/>
      <c r="F350" s="124"/>
      <c r="G350" s="124"/>
      <c r="H350" s="124"/>
      <c r="I350" s="124"/>
      <c r="J350" s="234"/>
      <c r="K350" s="234">
        <f t="shared" si="23"/>
        <v>0</v>
      </c>
      <c r="L350" s="234">
        <f t="shared" si="23"/>
        <v>0</v>
      </c>
      <c r="M350" s="234">
        <f t="shared" si="23"/>
        <v>0</v>
      </c>
      <c r="N350" s="234">
        <f t="shared" si="23"/>
        <v>0</v>
      </c>
      <c r="O350" s="126"/>
      <c r="P350" s="126"/>
      <c r="Q350" s="126"/>
    </row>
    <row r="351" spans="1:17" x14ac:dyDescent="0.25">
      <c r="A351" s="232">
        <v>6305</v>
      </c>
      <c r="B351" s="108" t="s">
        <v>32</v>
      </c>
      <c r="C351" s="123"/>
      <c r="D351" s="124" t="s">
        <v>495</v>
      </c>
      <c r="E351" s="124"/>
      <c r="F351" s="124"/>
      <c r="G351" s="124"/>
      <c r="H351" s="124"/>
      <c r="I351" s="124"/>
      <c r="J351" s="234"/>
      <c r="K351" s="234">
        <f t="shared" si="23"/>
        <v>0</v>
      </c>
      <c r="L351" s="234">
        <f t="shared" si="23"/>
        <v>0</v>
      </c>
      <c r="M351" s="234">
        <f t="shared" si="23"/>
        <v>13950</v>
      </c>
      <c r="N351" s="234">
        <f t="shared" si="23"/>
        <v>21000</v>
      </c>
      <c r="O351" s="126"/>
      <c r="P351" s="126"/>
      <c r="Q351" s="126"/>
    </row>
    <row r="352" spans="1:17" x14ac:dyDescent="0.25">
      <c r="A352" s="232">
        <v>6305</v>
      </c>
      <c r="B352" s="108" t="s">
        <v>685</v>
      </c>
      <c r="C352" s="123"/>
      <c r="D352" s="124" t="s">
        <v>495</v>
      </c>
      <c r="E352" s="124"/>
      <c r="F352" s="124"/>
      <c r="G352" s="124"/>
      <c r="H352" s="124"/>
      <c r="I352" s="124"/>
      <c r="J352" s="234"/>
      <c r="K352" s="234">
        <f t="shared" si="23"/>
        <v>0</v>
      </c>
      <c r="L352" s="234">
        <f t="shared" si="23"/>
        <v>0</v>
      </c>
      <c r="M352" s="234">
        <f t="shared" si="23"/>
        <v>0</v>
      </c>
      <c r="N352" s="234">
        <f t="shared" si="23"/>
        <v>0</v>
      </c>
      <c r="O352" s="126"/>
      <c r="P352" s="126"/>
      <c r="Q352" s="126"/>
    </row>
    <row r="353" spans="1:17" x14ac:dyDescent="0.25">
      <c r="A353" s="232">
        <v>6305</v>
      </c>
      <c r="B353" s="108" t="s">
        <v>41</v>
      </c>
      <c r="C353" s="123"/>
      <c r="D353" s="124" t="s">
        <v>495</v>
      </c>
      <c r="E353" s="124"/>
      <c r="F353" s="124"/>
      <c r="G353" s="124"/>
      <c r="H353" s="124"/>
      <c r="I353" s="124"/>
      <c r="J353" s="234"/>
      <c r="K353" s="234">
        <f t="shared" si="23"/>
        <v>0</v>
      </c>
      <c r="L353" s="234">
        <f t="shared" si="23"/>
        <v>0</v>
      </c>
      <c r="M353" s="234">
        <f t="shared" si="23"/>
        <v>0</v>
      </c>
      <c r="N353" s="234">
        <f t="shared" si="23"/>
        <v>0</v>
      </c>
      <c r="O353" s="126"/>
      <c r="P353" s="126"/>
      <c r="Q353" s="126"/>
    </row>
    <row r="354" spans="1:17" x14ac:dyDescent="0.25">
      <c r="A354" s="232">
        <v>6305</v>
      </c>
      <c r="B354" s="108" t="s">
        <v>775</v>
      </c>
      <c r="C354" s="123"/>
      <c r="D354" s="124" t="s">
        <v>495</v>
      </c>
      <c r="E354" s="124"/>
      <c r="F354" s="124"/>
      <c r="G354" s="124"/>
      <c r="H354" s="124"/>
      <c r="I354" s="124"/>
      <c r="J354" s="234"/>
      <c r="K354" s="234">
        <f t="shared" si="23"/>
        <v>0</v>
      </c>
      <c r="L354" s="234">
        <f t="shared" si="23"/>
        <v>0</v>
      </c>
      <c r="M354" s="234">
        <f t="shared" si="23"/>
        <v>0</v>
      </c>
      <c r="N354" s="234">
        <f t="shared" si="23"/>
        <v>750</v>
      </c>
      <c r="O354" s="126"/>
      <c r="P354" s="126"/>
      <c r="Q354" s="126"/>
    </row>
    <row r="355" spans="1:17" x14ac:dyDescent="0.25">
      <c r="A355" s="232">
        <v>6305</v>
      </c>
      <c r="B355" s="108" t="s">
        <v>37</v>
      </c>
      <c r="C355" s="123"/>
      <c r="D355" s="124" t="s">
        <v>495</v>
      </c>
      <c r="E355" s="124"/>
      <c r="F355" s="124"/>
      <c r="G355" s="124"/>
      <c r="H355" s="124"/>
      <c r="I355" s="124"/>
      <c r="J355" s="234"/>
      <c r="K355" s="234">
        <f t="shared" si="23"/>
        <v>0</v>
      </c>
      <c r="L355" s="234">
        <f t="shared" si="23"/>
        <v>0</v>
      </c>
      <c r="M355" s="234">
        <f t="shared" si="23"/>
        <v>0</v>
      </c>
      <c r="N355" s="234">
        <f t="shared" si="23"/>
        <v>0</v>
      </c>
      <c r="O355" s="126"/>
      <c r="P355" s="126"/>
      <c r="Q355" s="126"/>
    </row>
    <row r="356" spans="1:17" x14ac:dyDescent="0.25">
      <c r="A356" s="232">
        <v>6305</v>
      </c>
      <c r="B356" s="108" t="s">
        <v>29</v>
      </c>
      <c r="C356" s="123"/>
      <c r="D356" s="124" t="s">
        <v>495</v>
      </c>
      <c r="E356" s="124"/>
      <c r="F356" s="124"/>
      <c r="G356" s="124"/>
      <c r="H356" s="124"/>
      <c r="I356" s="124"/>
      <c r="J356" s="234"/>
      <c r="K356" s="234">
        <f t="shared" si="23"/>
        <v>0</v>
      </c>
      <c r="L356" s="234">
        <f t="shared" si="23"/>
        <v>0</v>
      </c>
      <c r="M356" s="234">
        <f t="shared" si="23"/>
        <v>0</v>
      </c>
      <c r="N356" s="234">
        <f t="shared" si="23"/>
        <v>0</v>
      </c>
      <c r="O356" s="126"/>
      <c r="P356" s="126"/>
      <c r="Q356" s="126"/>
    </row>
    <row r="357" spans="1:17" x14ac:dyDescent="0.25">
      <c r="A357" s="232">
        <v>6305</v>
      </c>
      <c r="B357" s="108" t="s">
        <v>536</v>
      </c>
      <c r="C357" s="123"/>
      <c r="D357" s="124" t="s">
        <v>495</v>
      </c>
      <c r="E357" s="124"/>
      <c r="F357" s="124"/>
      <c r="G357" s="124"/>
      <c r="H357" s="124"/>
      <c r="I357" s="124"/>
      <c r="J357" s="234"/>
      <c r="K357" s="234">
        <f t="shared" ref="K357:N376" si="24">SUMIFS(K$28:K$275,$A$28:$A$275,$A357,$B$28:$B$275,$B357)</f>
        <v>0</v>
      </c>
      <c r="L357" s="234">
        <f t="shared" si="24"/>
        <v>0</v>
      </c>
      <c r="M357" s="234">
        <f t="shared" si="24"/>
        <v>0</v>
      </c>
      <c r="N357" s="234">
        <f t="shared" si="24"/>
        <v>0</v>
      </c>
      <c r="O357" s="126"/>
      <c r="P357" s="126"/>
      <c r="Q357" s="126"/>
    </row>
    <row r="358" spans="1:17" x14ac:dyDescent="0.25">
      <c r="A358" s="232">
        <v>6305</v>
      </c>
      <c r="B358" s="108" t="s">
        <v>36</v>
      </c>
      <c r="C358" s="123"/>
      <c r="D358" s="124" t="s">
        <v>495</v>
      </c>
      <c r="E358" s="124"/>
      <c r="F358" s="124"/>
      <c r="G358" s="124"/>
      <c r="H358" s="124"/>
      <c r="I358" s="124"/>
      <c r="J358" s="234"/>
      <c r="K358" s="234">
        <f t="shared" si="24"/>
        <v>0</v>
      </c>
      <c r="L358" s="234">
        <f t="shared" si="24"/>
        <v>0</v>
      </c>
      <c r="M358" s="234">
        <f t="shared" si="24"/>
        <v>0</v>
      </c>
      <c r="N358" s="234">
        <f t="shared" si="24"/>
        <v>0</v>
      </c>
      <c r="O358" s="126"/>
      <c r="P358" s="126"/>
      <c r="Q358" s="126"/>
    </row>
    <row r="359" spans="1:17" x14ac:dyDescent="0.25">
      <c r="A359" s="232">
        <v>6305</v>
      </c>
      <c r="B359" s="85" t="s">
        <v>31</v>
      </c>
      <c r="C359" s="123"/>
      <c r="D359" s="124" t="s">
        <v>495</v>
      </c>
      <c r="E359" s="124"/>
      <c r="F359" s="124"/>
      <c r="G359" s="124"/>
      <c r="H359" s="124"/>
      <c r="I359" s="124"/>
      <c r="J359" s="234"/>
      <c r="K359" s="234">
        <f t="shared" si="24"/>
        <v>0</v>
      </c>
      <c r="L359" s="234">
        <f t="shared" si="24"/>
        <v>0</v>
      </c>
      <c r="M359" s="234">
        <f t="shared" si="24"/>
        <v>0</v>
      </c>
      <c r="N359" s="234">
        <f t="shared" si="24"/>
        <v>0</v>
      </c>
      <c r="O359" s="126"/>
      <c r="P359" s="126"/>
      <c r="Q359" s="126"/>
    </row>
    <row r="360" spans="1:17" x14ac:dyDescent="0.25">
      <c r="A360" s="232">
        <v>6305</v>
      </c>
      <c r="B360" s="85" t="s">
        <v>30</v>
      </c>
      <c r="C360" s="123"/>
      <c r="D360" s="124" t="s">
        <v>495</v>
      </c>
      <c r="E360" s="124"/>
      <c r="F360" s="124"/>
      <c r="G360" s="124"/>
      <c r="H360" s="124"/>
      <c r="I360" s="124"/>
      <c r="J360" s="234"/>
      <c r="K360" s="234">
        <f t="shared" si="24"/>
        <v>0</v>
      </c>
      <c r="L360" s="234">
        <f t="shared" si="24"/>
        <v>0</v>
      </c>
      <c r="M360" s="234">
        <f t="shared" si="24"/>
        <v>0</v>
      </c>
      <c r="N360" s="234">
        <f t="shared" si="24"/>
        <v>0</v>
      </c>
      <c r="O360" s="126"/>
      <c r="P360" s="126"/>
      <c r="Q360" s="126"/>
    </row>
    <row r="361" spans="1:17" x14ac:dyDescent="0.25">
      <c r="A361" s="232">
        <v>6305</v>
      </c>
      <c r="B361" s="85" t="s">
        <v>38</v>
      </c>
      <c r="C361" s="123"/>
      <c r="D361" s="124" t="s">
        <v>495</v>
      </c>
      <c r="E361" s="124"/>
      <c r="F361" s="124"/>
      <c r="G361" s="124"/>
      <c r="H361" s="124"/>
      <c r="I361" s="124"/>
      <c r="J361" s="234"/>
      <c r="K361" s="234">
        <f t="shared" si="24"/>
        <v>0</v>
      </c>
      <c r="L361" s="234">
        <f t="shared" si="24"/>
        <v>0</v>
      </c>
      <c r="M361" s="234">
        <f t="shared" si="24"/>
        <v>0</v>
      </c>
      <c r="N361" s="234">
        <f t="shared" si="24"/>
        <v>0</v>
      </c>
      <c r="O361" s="126"/>
      <c r="P361" s="126"/>
      <c r="Q361" s="126"/>
    </row>
    <row r="362" spans="1:17" x14ac:dyDescent="0.25">
      <c r="A362" s="232">
        <v>6305</v>
      </c>
      <c r="B362" s="85" t="s">
        <v>684</v>
      </c>
      <c r="C362" s="123"/>
      <c r="D362" s="124" t="s">
        <v>495</v>
      </c>
      <c r="E362" s="124"/>
      <c r="F362" s="124"/>
      <c r="G362" s="124"/>
      <c r="H362" s="124"/>
      <c r="I362" s="124"/>
      <c r="J362" s="234"/>
      <c r="K362" s="234">
        <f t="shared" si="24"/>
        <v>0</v>
      </c>
      <c r="L362" s="234">
        <f t="shared" si="24"/>
        <v>0</v>
      </c>
      <c r="M362" s="234">
        <f t="shared" si="24"/>
        <v>0</v>
      </c>
      <c r="N362" s="234">
        <f t="shared" si="24"/>
        <v>0</v>
      </c>
      <c r="O362" s="126"/>
      <c r="P362" s="126"/>
      <c r="Q362" s="126"/>
    </row>
    <row r="363" spans="1:17" x14ac:dyDescent="0.25">
      <c r="A363" s="232">
        <v>6305</v>
      </c>
      <c r="B363" s="85" t="s">
        <v>33</v>
      </c>
      <c r="C363" s="123"/>
      <c r="D363" s="124" t="s">
        <v>495</v>
      </c>
      <c r="E363" s="124"/>
      <c r="F363" s="124"/>
      <c r="G363" s="124"/>
      <c r="H363" s="124"/>
      <c r="I363" s="124"/>
      <c r="J363" s="234"/>
      <c r="K363" s="234">
        <f t="shared" si="24"/>
        <v>0</v>
      </c>
      <c r="L363" s="234">
        <f t="shared" si="24"/>
        <v>0</v>
      </c>
      <c r="M363" s="234">
        <f t="shared" si="24"/>
        <v>0</v>
      </c>
      <c r="N363" s="234">
        <f t="shared" si="24"/>
        <v>0</v>
      </c>
      <c r="O363" s="126"/>
      <c r="P363" s="126"/>
      <c r="Q363" s="126"/>
    </row>
    <row r="364" spans="1:17" x14ac:dyDescent="0.25">
      <c r="A364" s="232">
        <v>6305</v>
      </c>
      <c r="B364" s="85" t="s">
        <v>35</v>
      </c>
      <c r="C364" s="123"/>
      <c r="D364" s="124" t="s">
        <v>495</v>
      </c>
      <c r="E364" s="124"/>
      <c r="F364" s="124"/>
      <c r="G364" s="124"/>
      <c r="H364" s="124"/>
      <c r="I364" s="124"/>
      <c r="J364" s="234"/>
      <c r="K364" s="234">
        <f t="shared" si="24"/>
        <v>0</v>
      </c>
      <c r="L364" s="234">
        <f t="shared" si="24"/>
        <v>0</v>
      </c>
      <c r="M364" s="234">
        <f t="shared" si="24"/>
        <v>0</v>
      </c>
      <c r="N364" s="234">
        <f t="shared" si="24"/>
        <v>0</v>
      </c>
      <c r="O364" s="126"/>
      <c r="P364" s="126"/>
      <c r="Q364" s="126"/>
    </row>
    <row r="365" spans="1:17" x14ac:dyDescent="0.25">
      <c r="A365" s="232">
        <v>6305</v>
      </c>
      <c r="B365" s="108" t="s">
        <v>39</v>
      </c>
      <c r="C365" s="123"/>
      <c r="D365" s="124" t="s">
        <v>495</v>
      </c>
      <c r="E365" s="124"/>
      <c r="F365" s="124"/>
      <c r="G365" s="124"/>
      <c r="H365" s="124"/>
      <c r="I365" s="124"/>
      <c r="J365" s="234"/>
      <c r="K365" s="234">
        <f t="shared" si="24"/>
        <v>0</v>
      </c>
      <c r="L365" s="234">
        <f t="shared" si="24"/>
        <v>0</v>
      </c>
      <c r="M365" s="234">
        <f t="shared" si="24"/>
        <v>0</v>
      </c>
      <c r="N365" s="234">
        <f t="shared" si="24"/>
        <v>0</v>
      </c>
      <c r="O365" s="126"/>
      <c r="P365" s="126"/>
      <c r="Q365" s="126"/>
    </row>
    <row r="366" spans="1:17" ht="15.75" thickBot="1" x14ac:dyDescent="0.3">
      <c r="A366" s="326">
        <v>6305</v>
      </c>
      <c r="B366" s="322" t="s">
        <v>34</v>
      </c>
      <c r="C366" s="323"/>
      <c r="D366" s="324" t="s">
        <v>495</v>
      </c>
      <c r="E366" s="324"/>
      <c r="F366" s="324"/>
      <c r="G366" s="324"/>
      <c r="H366" s="324"/>
      <c r="I366" s="324"/>
      <c r="J366" s="324"/>
      <c r="K366" s="328">
        <f t="shared" si="24"/>
        <v>0</v>
      </c>
      <c r="L366" s="328">
        <f t="shared" si="24"/>
        <v>0</v>
      </c>
      <c r="M366" s="328">
        <f t="shared" si="24"/>
        <v>0</v>
      </c>
      <c r="N366" s="328">
        <f t="shared" si="24"/>
        <v>0</v>
      </c>
      <c r="O366" s="126"/>
      <c r="P366" s="126"/>
      <c r="Q366" s="126"/>
    </row>
    <row r="367" spans="1:17" x14ac:dyDescent="0.25">
      <c r="A367" s="231">
        <v>6303</v>
      </c>
      <c r="B367" s="119" t="s">
        <v>28</v>
      </c>
      <c r="C367" s="120"/>
      <c r="D367" s="121" t="s">
        <v>712</v>
      </c>
      <c r="E367" s="121"/>
      <c r="F367" s="121"/>
      <c r="G367" s="121"/>
      <c r="H367" s="121"/>
      <c r="I367" s="121"/>
      <c r="J367" s="236"/>
      <c r="K367" s="236">
        <f t="shared" si="24"/>
        <v>0</v>
      </c>
      <c r="L367" s="236">
        <f t="shared" si="24"/>
        <v>0</v>
      </c>
      <c r="M367" s="236">
        <f t="shared" si="24"/>
        <v>0</v>
      </c>
      <c r="N367" s="236">
        <f t="shared" si="24"/>
        <v>0</v>
      </c>
      <c r="O367" s="126"/>
      <c r="P367" s="126"/>
      <c r="Q367" s="126"/>
    </row>
    <row r="368" spans="1:17" x14ac:dyDescent="0.25">
      <c r="A368" s="232">
        <v>6303</v>
      </c>
      <c r="B368" s="108" t="s">
        <v>27</v>
      </c>
      <c r="C368" s="123"/>
      <c r="D368" s="124" t="s">
        <v>712</v>
      </c>
      <c r="E368" s="124"/>
      <c r="F368" s="124"/>
      <c r="G368" s="124"/>
      <c r="H368" s="124"/>
      <c r="I368" s="124"/>
      <c r="J368" s="234"/>
      <c r="K368" s="234">
        <f t="shared" si="24"/>
        <v>0</v>
      </c>
      <c r="L368" s="234">
        <f t="shared" si="24"/>
        <v>0</v>
      </c>
      <c r="M368" s="234">
        <f t="shared" si="24"/>
        <v>0</v>
      </c>
      <c r="N368" s="234">
        <f t="shared" si="24"/>
        <v>0</v>
      </c>
      <c r="O368" s="126"/>
      <c r="P368" s="126"/>
      <c r="Q368" s="126"/>
    </row>
    <row r="369" spans="1:17" x14ac:dyDescent="0.25">
      <c r="A369" s="232">
        <v>6303</v>
      </c>
      <c r="B369" s="108" t="s">
        <v>32</v>
      </c>
      <c r="C369" s="123"/>
      <c r="D369" s="124" t="s">
        <v>712</v>
      </c>
      <c r="E369" s="124"/>
      <c r="F369" s="124"/>
      <c r="G369" s="124"/>
      <c r="H369" s="124"/>
      <c r="I369" s="124"/>
      <c r="J369" s="234"/>
      <c r="K369" s="234">
        <f t="shared" si="24"/>
        <v>0</v>
      </c>
      <c r="L369" s="234">
        <f t="shared" si="24"/>
        <v>0</v>
      </c>
      <c r="M369" s="234">
        <f t="shared" si="24"/>
        <v>0</v>
      </c>
      <c r="N369" s="234">
        <f t="shared" si="24"/>
        <v>0</v>
      </c>
      <c r="O369" s="126"/>
      <c r="P369" s="126"/>
      <c r="Q369" s="126"/>
    </row>
    <row r="370" spans="1:17" x14ac:dyDescent="0.25">
      <c r="A370" s="232">
        <v>6303</v>
      </c>
      <c r="B370" s="108" t="s">
        <v>685</v>
      </c>
      <c r="C370" s="123"/>
      <c r="D370" s="124" t="s">
        <v>712</v>
      </c>
      <c r="E370" s="124"/>
      <c r="F370" s="124"/>
      <c r="G370" s="124"/>
      <c r="H370" s="124"/>
      <c r="I370" s="124"/>
      <c r="J370" s="234"/>
      <c r="K370" s="234">
        <f t="shared" si="24"/>
        <v>0</v>
      </c>
      <c r="L370" s="234">
        <f t="shared" si="24"/>
        <v>0</v>
      </c>
      <c r="M370" s="234">
        <f t="shared" si="24"/>
        <v>0</v>
      </c>
      <c r="N370" s="234">
        <f t="shared" si="24"/>
        <v>0</v>
      </c>
      <c r="O370" s="126"/>
      <c r="P370" s="126"/>
      <c r="Q370" s="126"/>
    </row>
    <row r="371" spans="1:17" x14ac:dyDescent="0.25">
      <c r="A371" s="232">
        <v>6303</v>
      </c>
      <c r="B371" s="108" t="s">
        <v>41</v>
      </c>
      <c r="C371" s="123"/>
      <c r="D371" s="124" t="s">
        <v>712</v>
      </c>
      <c r="E371" s="124"/>
      <c r="F371" s="124"/>
      <c r="G371" s="124"/>
      <c r="H371" s="124"/>
      <c r="I371" s="124"/>
      <c r="J371" s="234"/>
      <c r="K371" s="234">
        <f t="shared" si="24"/>
        <v>0</v>
      </c>
      <c r="L371" s="234">
        <f t="shared" si="24"/>
        <v>0</v>
      </c>
      <c r="M371" s="234">
        <f t="shared" si="24"/>
        <v>0</v>
      </c>
      <c r="N371" s="234">
        <f t="shared" si="24"/>
        <v>0</v>
      </c>
      <c r="O371" s="126"/>
      <c r="P371" s="126"/>
      <c r="Q371" s="126"/>
    </row>
    <row r="372" spans="1:17" x14ac:dyDescent="0.25">
      <c r="A372" s="232">
        <v>6303</v>
      </c>
      <c r="B372" s="108" t="s">
        <v>775</v>
      </c>
      <c r="C372" s="123"/>
      <c r="D372" s="124" t="s">
        <v>712</v>
      </c>
      <c r="E372" s="124"/>
      <c r="F372" s="124"/>
      <c r="G372" s="124"/>
      <c r="H372" s="124"/>
      <c r="I372" s="124"/>
      <c r="J372" s="234"/>
      <c r="K372" s="234">
        <f t="shared" si="24"/>
        <v>0</v>
      </c>
      <c r="L372" s="234">
        <f t="shared" si="24"/>
        <v>0</v>
      </c>
      <c r="M372" s="234">
        <f t="shared" si="24"/>
        <v>0</v>
      </c>
      <c r="N372" s="234">
        <f t="shared" si="24"/>
        <v>0</v>
      </c>
      <c r="O372" s="126"/>
      <c r="P372" s="126"/>
      <c r="Q372" s="126"/>
    </row>
    <row r="373" spans="1:17" x14ac:dyDescent="0.25">
      <c r="A373" s="232">
        <v>6303</v>
      </c>
      <c r="B373" s="108" t="s">
        <v>37</v>
      </c>
      <c r="C373" s="123"/>
      <c r="D373" s="124" t="s">
        <v>712</v>
      </c>
      <c r="E373" s="124"/>
      <c r="F373" s="124"/>
      <c r="G373" s="124"/>
      <c r="H373" s="124"/>
      <c r="I373" s="124"/>
      <c r="J373" s="234"/>
      <c r="K373" s="234">
        <f t="shared" si="24"/>
        <v>0</v>
      </c>
      <c r="L373" s="234">
        <f t="shared" si="24"/>
        <v>0</v>
      </c>
      <c r="M373" s="234">
        <f t="shared" si="24"/>
        <v>0</v>
      </c>
      <c r="N373" s="234">
        <f t="shared" si="24"/>
        <v>0</v>
      </c>
      <c r="O373" s="126"/>
      <c r="P373" s="126"/>
      <c r="Q373" s="126"/>
    </row>
    <row r="374" spans="1:17" x14ac:dyDescent="0.25">
      <c r="A374" s="232">
        <v>6303</v>
      </c>
      <c r="B374" s="108" t="s">
        <v>29</v>
      </c>
      <c r="C374" s="123"/>
      <c r="D374" s="124" t="s">
        <v>712</v>
      </c>
      <c r="E374" s="124"/>
      <c r="F374" s="124"/>
      <c r="G374" s="124"/>
      <c r="H374" s="124"/>
      <c r="I374" s="124"/>
      <c r="J374" s="234"/>
      <c r="K374" s="234">
        <f t="shared" si="24"/>
        <v>0</v>
      </c>
      <c r="L374" s="234">
        <f t="shared" si="24"/>
        <v>0</v>
      </c>
      <c r="M374" s="234">
        <f t="shared" si="24"/>
        <v>0</v>
      </c>
      <c r="N374" s="234">
        <f t="shared" si="24"/>
        <v>0</v>
      </c>
      <c r="O374" s="126"/>
      <c r="P374" s="126"/>
      <c r="Q374" s="126"/>
    </row>
    <row r="375" spans="1:17" x14ac:dyDescent="0.25">
      <c r="A375" s="232">
        <v>6303</v>
      </c>
      <c r="B375" s="108" t="s">
        <v>536</v>
      </c>
      <c r="C375" s="123"/>
      <c r="D375" s="124" t="s">
        <v>712</v>
      </c>
      <c r="E375" s="124"/>
      <c r="F375" s="124"/>
      <c r="G375" s="124"/>
      <c r="H375" s="124"/>
      <c r="I375" s="124"/>
      <c r="J375" s="234"/>
      <c r="K375" s="234">
        <f t="shared" si="24"/>
        <v>0</v>
      </c>
      <c r="L375" s="234">
        <f t="shared" si="24"/>
        <v>0</v>
      </c>
      <c r="M375" s="234">
        <f t="shared" si="24"/>
        <v>0</v>
      </c>
      <c r="N375" s="234">
        <f t="shared" si="24"/>
        <v>0</v>
      </c>
      <c r="O375" s="126"/>
      <c r="P375" s="126"/>
      <c r="Q375" s="126"/>
    </row>
    <row r="376" spans="1:17" x14ac:dyDescent="0.25">
      <c r="A376" s="232">
        <v>6303</v>
      </c>
      <c r="B376" s="108" t="s">
        <v>36</v>
      </c>
      <c r="C376" s="123"/>
      <c r="D376" s="124" t="s">
        <v>712</v>
      </c>
      <c r="E376" s="124"/>
      <c r="F376" s="124"/>
      <c r="G376" s="124"/>
      <c r="H376" s="124"/>
      <c r="I376" s="124"/>
      <c r="J376" s="234"/>
      <c r="K376" s="234">
        <f t="shared" si="24"/>
        <v>0</v>
      </c>
      <c r="L376" s="234">
        <f t="shared" si="24"/>
        <v>0</v>
      </c>
      <c r="M376" s="234">
        <f t="shared" si="24"/>
        <v>0</v>
      </c>
      <c r="N376" s="234">
        <f t="shared" si="24"/>
        <v>0</v>
      </c>
      <c r="O376" s="126"/>
      <c r="P376" s="126"/>
      <c r="Q376" s="126"/>
    </row>
    <row r="377" spans="1:17" x14ac:dyDescent="0.25">
      <c r="A377" s="232">
        <v>6303</v>
      </c>
      <c r="B377" s="85" t="s">
        <v>31</v>
      </c>
      <c r="C377" s="123"/>
      <c r="D377" s="124" t="s">
        <v>712</v>
      </c>
      <c r="E377" s="124"/>
      <c r="F377" s="124"/>
      <c r="G377" s="124"/>
      <c r="H377" s="124"/>
      <c r="I377" s="124"/>
      <c r="J377" s="234"/>
      <c r="K377" s="234">
        <f t="shared" ref="K377:N384" si="25">SUMIFS(K$28:K$275,$A$28:$A$275,$A377,$B$28:$B$275,$B377)</f>
        <v>0</v>
      </c>
      <c r="L377" s="234">
        <f t="shared" si="25"/>
        <v>0</v>
      </c>
      <c r="M377" s="234">
        <f t="shared" si="25"/>
        <v>0</v>
      </c>
      <c r="N377" s="234">
        <f t="shared" si="25"/>
        <v>0</v>
      </c>
      <c r="O377" s="126"/>
      <c r="P377" s="126"/>
      <c r="Q377" s="126"/>
    </row>
    <row r="378" spans="1:17" x14ac:dyDescent="0.25">
      <c r="A378" s="232">
        <v>6303</v>
      </c>
      <c r="B378" s="85" t="s">
        <v>30</v>
      </c>
      <c r="C378" s="123"/>
      <c r="D378" s="124" t="s">
        <v>712</v>
      </c>
      <c r="E378" s="124"/>
      <c r="F378" s="124"/>
      <c r="G378" s="124"/>
      <c r="H378" s="124"/>
      <c r="I378" s="124"/>
      <c r="J378" s="234"/>
      <c r="K378" s="234">
        <f t="shared" si="25"/>
        <v>0</v>
      </c>
      <c r="L378" s="234">
        <f t="shared" si="25"/>
        <v>0</v>
      </c>
      <c r="M378" s="234">
        <f t="shared" si="25"/>
        <v>0</v>
      </c>
      <c r="N378" s="234">
        <f t="shared" si="25"/>
        <v>0</v>
      </c>
      <c r="O378" s="126"/>
      <c r="P378" s="126"/>
      <c r="Q378" s="126"/>
    </row>
    <row r="379" spans="1:17" x14ac:dyDescent="0.25">
      <c r="A379" s="232">
        <v>6303</v>
      </c>
      <c r="B379" s="85" t="s">
        <v>38</v>
      </c>
      <c r="C379" s="123"/>
      <c r="D379" s="124" t="s">
        <v>712</v>
      </c>
      <c r="E379" s="124"/>
      <c r="F379" s="124"/>
      <c r="G379" s="124"/>
      <c r="H379" s="124"/>
      <c r="I379" s="124"/>
      <c r="J379" s="234"/>
      <c r="K379" s="234">
        <f t="shared" si="25"/>
        <v>0</v>
      </c>
      <c r="L379" s="234">
        <f t="shared" si="25"/>
        <v>0</v>
      </c>
      <c r="M379" s="234">
        <f t="shared" si="25"/>
        <v>0</v>
      </c>
      <c r="N379" s="234">
        <f t="shared" si="25"/>
        <v>0</v>
      </c>
      <c r="O379" s="126"/>
      <c r="P379" s="126"/>
      <c r="Q379" s="126"/>
    </row>
    <row r="380" spans="1:17" x14ac:dyDescent="0.25">
      <c r="A380" s="232">
        <v>6303</v>
      </c>
      <c r="B380" s="85" t="s">
        <v>684</v>
      </c>
      <c r="C380" s="123"/>
      <c r="D380" s="124" t="s">
        <v>712</v>
      </c>
      <c r="E380" s="124"/>
      <c r="F380" s="124"/>
      <c r="G380" s="124"/>
      <c r="H380" s="124"/>
      <c r="I380" s="124"/>
      <c r="J380" s="234"/>
      <c r="K380" s="234">
        <f t="shared" si="25"/>
        <v>0</v>
      </c>
      <c r="L380" s="234">
        <f t="shared" si="25"/>
        <v>0</v>
      </c>
      <c r="M380" s="234">
        <f t="shared" si="25"/>
        <v>0</v>
      </c>
      <c r="N380" s="234">
        <f t="shared" si="25"/>
        <v>0</v>
      </c>
      <c r="O380" s="126"/>
      <c r="P380" s="126"/>
      <c r="Q380" s="126"/>
    </row>
    <row r="381" spans="1:17" x14ac:dyDescent="0.25">
      <c r="A381" s="232">
        <v>6303</v>
      </c>
      <c r="B381" s="85" t="s">
        <v>33</v>
      </c>
      <c r="C381" s="123"/>
      <c r="D381" s="124" t="s">
        <v>712</v>
      </c>
      <c r="E381" s="124"/>
      <c r="F381" s="124"/>
      <c r="G381" s="124"/>
      <c r="H381" s="124"/>
      <c r="I381" s="124"/>
      <c r="J381" s="234"/>
      <c r="K381" s="234">
        <f t="shared" si="25"/>
        <v>0</v>
      </c>
      <c r="L381" s="234">
        <f t="shared" si="25"/>
        <v>0</v>
      </c>
      <c r="M381" s="234">
        <f t="shared" si="25"/>
        <v>0</v>
      </c>
      <c r="N381" s="234">
        <f t="shared" si="25"/>
        <v>0</v>
      </c>
      <c r="O381" s="126"/>
      <c r="P381" s="126"/>
      <c r="Q381" s="126"/>
    </row>
    <row r="382" spans="1:17" x14ac:dyDescent="0.25">
      <c r="A382" s="232">
        <v>6303</v>
      </c>
      <c r="B382" s="85" t="s">
        <v>35</v>
      </c>
      <c r="C382" s="123"/>
      <c r="D382" s="124" t="s">
        <v>712</v>
      </c>
      <c r="E382" s="124"/>
      <c r="F382" s="124"/>
      <c r="G382" s="124"/>
      <c r="H382" s="124"/>
      <c r="I382" s="124"/>
      <c r="J382" s="234"/>
      <c r="K382" s="234">
        <f t="shared" si="25"/>
        <v>0</v>
      </c>
      <c r="L382" s="234">
        <f t="shared" si="25"/>
        <v>0</v>
      </c>
      <c r="M382" s="234">
        <f t="shared" si="25"/>
        <v>0</v>
      </c>
      <c r="N382" s="234">
        <f t="shared" si="25"/>
        <v>0</v>
      </c>
      <c r="O382" s="126"/>
      <c r="P382" s="126"/>
      <c r="Q382" s="126"/>
    </row>
    <row r="383" spans="1:17" x14ac:dyDescent="0.25">
      <c r="A383" s="232">
        <v>6303</v>
      </c>
      <c r="B383" s="108" t="s">
        <v>39</v>
      </c>
      <c r="C383" s="123"/>
      <c r="D383" s="124" t="s">
        <v>712</v>
      </c>
      <c r="E383" s="124"/>
      <c r="F383" s="124"/>
      <c r="G383" s="124"/>
      <c r="H383" s="124"/>
      <c r="I383" s="124"/>
      <c r="J383" s="234"/>
      <c r="K383" s="234">
        <f t="shared" si="25"/>
        <v>0</v>
      </c>
      <c r="L383" s="234">
        <f t="shared" si="25"/>
        <v>0</v>
      </c>
      <c r="M383" s="234">
        <f t="shared" si="25"/>
        <v>0</v>
      </c>
      <c r="N383" s="234">
        <f t="shared" si="25"/>
        <v>0</v>
      </c>
      <c r="O383" s="126"/>
      <c r="P383" s="126"/>
      <c r="Q383" s="126"/>
    </row>
    <row r="384" spans="1:17" ht="15.75" thickBot="1" x14ac:dyDescent="0.3">
      <c r="A384" s="326">
        <v>6303</v>
      </c>
      <c r="B384" s="322" t="s">
        <v>34</v>
      </c>
      <c r="C384" s="323"/>
      <c r="D384" s="324" t="s">
        <v>712</v>
      </c>
      <c r="E384" s="324"/>
      <c r="F384" s="324"/>
      <c r="G384" s="324"/>
      <c r="H384" s="324"/>
      <c r="I384" s="324"/>
      <c r="J384" s="324"/>
      <c r="K384" s="328">
        <f t="shared" si="25"/>
        <v>0</v>
      </c>
      <c r="L384" s="328">
        <f t="shared" si="25"/>
        <v>0</v>
      </c>
      <c r="M384" s="328">
        <f t="shared" si="25"/>
        <v>0</v>
      </c>
      <c r="N384" s="328">
        <f t="shared" si="25"/>
        <v>0</v>
      </c>
      <c r="O384" s="126"/>
      <c r="P384" s="126"/>
      <c r="Q384" s="126"/>
    </row>
    <row r="385" spans="1:17" ht="15.75" thickBot="1" x14ac:dyDescent="0.3">
      <c r="A385" s="126"/>
      <c r="B385" s="37"/>
      <c r="C385" s="9"/>
      <c r="D385" s="126"/>
      <c r="E385" s="126"/>
      <c r="F385" s="126"/>
      <c r="G385" s="126"/>
      <c r="H385" s="126"/>
      <c r="I385" s="126"/>
      <c r="J385" s="126"/>
      <c r="K385" s="126"/>
      <c r="L385" s="126"/>
      <c r="M385" s="126"/>
      <c r="N385" s="126"/>
      <c r="O385" s="126"/>
      <c r="P385" s="126"/>
      <c r="Q385" s="126"/>
    </row>
    <row r="386" spans="1:17" ht="15.75" thickBot="1" x14ac:dyDescent="0.3">
      <c r="A386" s="228"/>
      <c r="B386" s="229"/>
      <c r="C386" s="229"/>
      <c r="D386" s="228"/>
      <c r="E386" s="228"/>
      <c r="F386" s="228"/>
      <c r="G386" s="228"/>
      <c r="H386" s="228"/>
      <c r="I386" s="228"/>
      <c r="J386" s="240"/>
      <c r="K386" s="240">
        <f>K276-SUM(K277:K384)</f>
        <v>0</v>
      </c>
      <c r="L386" s="240">
        <f t="shared" ref="L386:N386" si="26">L276-SUM(L277:L384)</f>
        <v>0</v>
      </c>
      <c r="M386" s="240">
        <f t="shared" si="26"/>
        <v>0</v>
      </c>
      <c r="N386" s="240">
        <f t="shared" si="26"/>
        <v>0</v>
      </c>
    </row>
    <row r="389" spans="1:17" customFormat="1" ht="12.75" x14ac:dyDescent="0.2">
      <c r="A389" s="368" t="s">
        <v>376</v>
      </c>
      <c r="B389" s="368"/>
      <c r="C389" s="366"/>
      <c r="D389" s="366"/>
      <c r="E389" s="368"/>
    </row>
    <row r="390" spans="1:17" customFormat="1" ht="12.75" x14ac:dyDescent="0.2">
      <c r="A390" s="366"/>
      <c r="B390" s="366"/>
      <c r="C390" s="366"/>
      <c r="D390" s="366"/>
      <c r="E390" s="366"/>
    </row>
    <row r="391" spans="1:17" customFormat="1" ht="12.75" x14ac:dyDescent="0.2">
      <c r="A391" s="367"/>
      <c r="B391" s="367"/>
      <c r="C391" s="366"/>
      <c r="D391" s="366"/>
      <c r="E391" s="367"/>
    </row>
    <row r="392" spans="1:17" customFormat="1" ht="12.75" x14ac:dyDescent="0.2">
      <c r="A392" s="367"/>
      <c r="B392" s="367"/>
      <c r="C392" s="366"/>
      <c r="D392" s="366"/>
      <c r="E392" s="367"/>
    </row>
    <row r="393" spans="1:17" customFormat="1" ht="12.75" x14ac:dyDescent="0.2">
      <c r="A393" s="366"/>
      <c r="B393" s="366"/>
      <c r="C393" s="366"/>
      <c r="D393" s="366"/>
      <c r="E393" s="366"/>
    </row>
    <row r="394" spans="1:17" customFormat="1" ht="12.75" x14ac:dyDescent="0.2"/>
    <row r="395" spans="1:17" customFormat="1" ht="12.75" x14ac:dyDescent="0.2"/>
    <row r="396" spans="1:17" customFormat="1" ht="12.75" x14ac:dyDescent="0.2"/>
    <row r="397" spans="1:17" customFormat="1" ht="12.75" x14ac:dyDescent="0.2"/>
    <row r="398" spans="1:17" customFormat="1" ht="12.75" x14ac:dyDescent="0.2"/>
    <row r="399" spans="1:17" customFormat="1" ht="12.75" x14ac:dyDescent="0.2">
      <c r="A399" s="36" t="s">
        <v>380</v>
      </c>
      <c r="D399" s="39" t="s">
        <v>381</v>
      </c>
      <c r="F399" s="39" t="s">
        <v>382</v>
      </c>
      <c r="K399" s="39"/>
      <c r="L399" s="39"/>
      <c r="M399" s="39"/>
      <c r="N399" s="39"/>
      <c r="O399" s="39"/>
    </row>
    <row r="400" spans="1:17" customFormat="1" ht="12.75" x14ac:dyDescent="0.2">
      <c r="A400" s="367" t="s">
        <v>1026</v>
      </c>
    </row>
    <row r="401" spans="1:1" customFormat="1" ht="12.75" x14ac:dyDescent="0.2">
      <c r="A401" s="1" t="s">
        <v>378</v>
      </c>
    </row>
    <row r="402" spans="1:1" customFormat="1" ht="12.75" x14ac:dyDescent="0.2"/>
    <row r="420" spans="1:14" ht="12.75" x14ac:dyDescent="0.2">
      <c r="A420" s="232"/>
      <c r="B420" s="108"/>
      <c r="C420" s="85" t="s">
        <v>62</v>
      </c>
      <c r="D420" s="124" t="s">
        <v>756</v>
      </c>
      <c r="E420" s="124"/>
      <c r="F420" s="124"/>
      <c r="G420" s="124"/>
      <c r="H420" s="124"/>
      <c r="I420" s="124"/>
      <c r="J420" s="354"/>
      <c r="K420" s="354">
        <f>SUMIFS(K$28:K$275,$C$28:$C$275,$C420,$D$28:$D$275,$D420)</f>
        <v>0</v>
      </c>
      <c r="L420" s="354">
        <f t="shared" ref="L420:N440" si="27">SUMIFS(L$28:L$275,$C$28:$C$275,$C420,$D$28:$D$275,$D420)</f>
        <v>0</v>
      </c>
      <c r="M420" s="354">
        <f t="shared" si="27"/>
        <v>0</v>
      </c>
      <c r="N420" s="354">
        <f t="shared" si="27"/>
        <v>0</v>
      </c>
    </row>
    <row r="421" spans="1:14" s="430" customFormat="1" ht="12.75" x14ac:dyDescent="0.2">
      <c r="A421" s="232"/>
      <c r="B421" s="108"/>
      <c r="C421" s="85" t="s">
        <v>118</v>
      </c>
      <c r="D421" s="124" t="s">
        <v>756</v>
      </c>
      <c r="E421" s="124"/>
      <c r="F421" s="124"/>
      <c r="G421" s="124"/>
      <c r="H421" s="124"/>
      <c r="I421" s="124"/>
      <c r="J421" s="354"/>
      <c r="K421" s="354">
        <f t="shared" ref="K421:N441" si="28">SUMIFS(K$28:K$275,$C$28:$C$275,$C421,$D$28:$D$275,$D421)</f>
        <v>0</v>
      </c>
      <c r="L421" s="354">
        <f t="shared" si="27"/>
        <v>0</v>
      </c>
      <c r="M421" s="354">
        <f t="shared" si="27"/>
        <v>0</v>
      </c>
      <c r="N421" s="354">
        <f t="shared" si="27"/>
        <v>0</v>
      </c>
    </row>
    <row r="422" spans="1:14" s="430" customFormat="1" ht="12.75" x14ac:dyDescent="0.2">
      <c r="A422" s="232"/>
      <c r="B422" s="108"/>
      <c r="C422" s="85" t="s">
        <v>119</v>
      </c>
      <c r="D422" s="124" t="s">
        <v>756</v>
      </c>
      <c r="E422" s="124"/>
      <c r="F422" s="124"/>
      <c r="G422" s="124"/>
      <c r="H422" s="124"/>
      <c r="I422" s="124"/>
      <c r="J422" s="354"/>
      <c r="K422" s="354">
        <f t="shared" si="28"/>
        <v>0</v>
      </c>
      <c r="L422" s="354">
        <f t="shared" si="27"/>
        <v>0</v>
      </c>
      <c r="M422" s="354">
        <f t="shared" si="27"/>
        <v>0</v>
      </c>
      <c r="N422" s="354">
        <f t="shared" si="27"/>
        <v>0</v>
      </c>
    </row>
    <row r="423" spans="1:14" s="430" customFormat="1" ht="12.75" x14ac:dyDescent="0.2">
      <c r="A423" s="232"/>
      <c r="B423" s="108"/>
      <c r="C423" s="85" t="s">
        <v>142</v>
      </c>
      <c r="D423" s="124" t="s">
        <v>756</v>
      </c>
      <c r="E423" s="124"/>
      <c r="F423" s="124"/>
      <c r="G423" s="124"/>
      <c r="H423" s="124"/>
      <c r="I423" s="124"/>
      <c r="J423" s="354"/>
      <c r="K423" s="354">
        <f t="shared" si="28"/>
        <v>0</v>
      </c>
      <c r="L423" s="354">
        <f t="shared" si="27"/>
        <v>0</v>
      </c>
      <c r="M423" s="354">
        <f t="shared" si="27"/>
        <v>0</v>
      </c>
      <c r="N423" s="354">
        <f t="shared" si="27"/>
        <v>0</v>
      </c>
    </row>
    <row r="424" spans="1:14" s="430" customFormat="1" ht="12.75" x14ac:dyDescent="0.2">
      <c r="A424" s="232"/>
      <c r="B424" s="108"/>
      <c r="C424" s="85" t="s">
        <v>161</v>
      </c>
      <c r="D424" s="124" t="s">
        <v>756</v>
      </c>
      <c r="E424" s="124"/>
      <c r="F424" s="124"/>
      <c r="G424" s="124"/>
      <c r="H424" s="124"/>
      <c r="I424" s="124"/>
      <c r="J424" s="354"/>
      <c r="K424" s="354">
        <f t="shared" si="28"/>
        <v>0</v>
      </c>
      <c r="L424" s="354">
        <f t="shared" si="27"/>
        <v>0</v>
      </c>
      <c r="M424" s="354">
        <f t="shared" si="27"/>
        <v>0</v>
      </c>
      <c r="N424" s="354">
        <f t="shared" si="27"/>
        <v>0</v>
      </c>
    </row>
    <row r="425" spans="1:14" s="430" customFormat="1" ht="12.75" x14ac:dyDescent="0.2">
      <c r="A425" s="232"/>
      <c r="B425" s="108"/>
      <c r="C425" s="85" t="s">
        <v>1136</v>
      </c>
      <c r="D425" s="124" t="s">
        <v>756</v>
      </c>
      <c r="E425" s="124"/>
      <c r="F425" s="124"/>
      <c r="G425" s="124"/>
      <c r="H425" s="124"/>
      <c r="I425" s="124"/>
      <c r="J425" s="354"/>
      <c r="K425" s="354">
        <f t="shared" si="28"/>
        <v>0</v>
      </c>
      <c r="L425" s="354">
        <f t="shared" si="27"/>
        <v>0</v>
      </c>
      <c r="M425" s="354">
        <f t="shared" si="27"/>
        <v>0</v>
      </c>
      <c r="N425" s="354">
        <f t="shared" si="27"/>
        <v>0</v>
      </c>
    </row>
    <row r="426" spans="1:14" s="514" customFormat="1" ht="12.75" x14ac:dyDescent="0.2">
      <c r="A426" s="232"/>
      <c r="B426" s="108"/>
      <c r="C426" s="85" t="s">
        <v>1475</v>
      </c>
      <c r="D426" s="124" t="s">
        <v>756</v>
      </c>
      <c r="E426" s="124"/>
      <c r="F426" s="124"/>
      <c r="G426" s="124"/>
      <c r="H426" s="124"/>
      <c r="I426" s="124"/>
      <c r="J426" s="354"/>
      <c r="K426" s="354">
        <f t="shared" si="28"/>
        <v>0</v>
      </c>
      <c r="L426" s="354">
        <f t="shared" si="27"/>
        <v>0</v>
      </c>
      <c r="M426" s="354">
        <f t="shared" si="27"/>
        <v>0</v>
      </c>
      <c r="N426" s="354">
        <f t="shared" si="27"/>
        <v>0</v>
      </c>
    </row>
    <row r="427" spans="1:14" s="430" customFormat="1" ht="12.75" x14ac:dyDescent="0.2">
      <c r="A427" s="232"/>
      <c r="B427" s="108"/>
      <c r="C427" s="85" t="s">
        <v>133</v>
      </c>
      <c r="D427" s="124" t="s">
        <v>756</v>
      </c>
      <c r="E427" s="124"/>
      <c r="F427" s="124"/>
      <c r="G427" s="124"/>
      <c r="H427" s="124"/>
      <c r="I427" s="124"/>
      <c r="J427" s="354"/>
      <c r="K427" s="354">
        <f t="shared" si="28"/>
        <v>0</v>
      </c>
      <c r="L427" s="354">
        <f t="shared" si="27"/>
        <v>0</v>
      </c>
      <c r="M427" s="354">
        <f t="shared" si="27"/>
        <v>0</v>
      </c>
      <c r="N427" s="354">
        <f t="shared" si="27"/>
        <v>0</v>
      </c>
    </row>
    <row r="428" spans="1:14" s="430" customFormat="1" ht="12.75" x14ac:dyDescent="0.2">
      <c r="A428" s="232"/>
      <c r="B428" s="108"/>
      <c r="C428" s="85" t="s">
        <v>136</v>
      </c>
      <c r="D428" s="124" t="s">
        <v>756</v>
      </c>
      <c r="E428" s="124"/>
      <c r="F428" s="124"/>
      <c r="G428" s="124"/>
      <c r="H428" s="124"/>
      <c r="I428" s="124"/>
      <c r="J428" s="354"/>
      <c r="K428" s="354">
        <f t="shared" si="28"/>
        <v>0</v>
      </c>
      <c r="L428" s="354">
        <f t="shared" si="27"/>
        <v>0</v>
      </c>
      <c r="M428" s="354">
        <f t="shared" si="27"/>
        <v>0</v>
      </c>
      <c r="N428" s="354">
        <f t="shared" si="27"/>
        <v>0</v>
      </c>
    </row>
    <row r="429" spans="1:14" s="430" customFormat="1" ht="12.75" x14ac:dyDescent="0.2">
      <c r="A429" s="232"/>
      <c r="B429" s="108"/>
      <c r="C429" s="85" t="s">
        <v>134</v>
      </c>
      <c r="D429" s="124" t="s">
        <v>756</v>
      </c>
      <c r="E429" s="124"/>
      <c r="F429" s="124"/>
      <c r="G429" s="124"/>
      <c r="H429" s="124"/>
      <c r="I429" s="124"/>
      <c r="J429" s="354"/>
      <c r="K429" s="354">
        <f t="shared" si="28"/>
        <v>0</v>
      </c>
      <c r="L429" s="354">
        <f t="shared" si="27"/>
        <v>0</v>
      </c>
      <c r="M429" s="354">
        <f t="shared" si="27"/>
        <v>0</v>
      </c>
      <c r="N429" s="354">
        <f t="shared" si="27"/>
        <v>0</v>
      </c>
    </row>
    <row r="430" spans="1:14" s="430" customFormat="1" ht="12.75" x14ac:dyDescent="0.2">
      <c r="A430" s="232"/>
      <c r="B430" s="108"/>
      <c r="C430" s="85" t="s">
        <v>131</v>
      </c>
      <c r="D430" s="124" t="s">
        <v>756</v>
      </c>
      <c r="E430" s="124"/>
      <c r="F430" s="124"/>
      <c r="G430" s="124"/>
      <c r="H430" s="124"/>
      <c r="I430" s="124"/>
      <c r="J430" s="354"/>
      <c r="K430" s="354">
        <f t="shared" si="28"/>
        <v>0</v>
      </c>
      <c r="L430" s="354">
        <f t="shared" si="27"/>
        <v>0</v>
      </c>
      <c r="M430" s="354">
        <f t="shared" si="27"/>
        <v>0</v>
      </c>
      <c r="N430" s="354">
        <f t="shared" si="27"/>
        <v>0</v>
      </c>
    </row>
    <row r="431" spans="1:14" s="430" customFormat="1" ht="12.75" x14ac:dyDescent="0.2">
      <c r="A431" s="232"/>
      <c r="B431" s="108"/>
      <c r="C431" s="85" t="s">
        <v>137</v>
      </c>
      <c r="D431" s="124" t="s">
        <v>756</v>
      </c>
      <c r="E431" s="124"/>
      <c r="F431" s="124"/>
      <c r="G431" s="124"/>
      <c r="H431" s="124"/>
      <c r="I431" s="124"/>
      <c r="J431" s="354"/>
      <c r="K431" s="354">
        <f t="shared" si="28"/>
        <v>0</v>
      </c>
      <c r="L431" s="354">
        <f t="shared" si="27"/>
        <v>0</v>
      </c>
      <c r="M431" s="354">
        <f t="shared" si="27"/>
        <v>0</v>
      </c>
      <c r="N431" s="354">
        <f t="shared" si="27"/>
        <v>0</v>
      </c>
    </row>
    <row r="432" spans="1:14" s="430" customFormat="1" ht="12.75" x14ac:dyDescent="0.2">
      <c r="A432" s="232"/>
      <c r="B432" s="108"/>
      <c r="C432" s="85" t="s">
        <v>132</v>
      </c>
      <c r="D432" s="124" t="s">
        <v>756</v>
      </c>
      <c r="E432" s="124"/>
      <c r="F432" s="124"/>
      <c r="G432" s="124"/>
      <c r="H432" s="124"/>
      <c r="I432" s="124"/>
      <c r="J432" s="354"/>
      <c r="K432" s="354">
        <f t="shared" si="28"/>
        <v>0</v>
      </c>
      <c r="L432" s="354">
        <f t="shared" si="27"/>
        <v>0</v>
      </c>
      <c r="M432" s="354">
        <f t="shared" si="27"/>
        <v>0</v>
      </c>
      <c r="N432" s="354">
        <f t="shared" si="27"/>
        <v>0</v>
      </c>
    </row>
    <row r="433" spans="1:14" s="430" customFormat="1" ht="12.75" x14ac:dyDescent="0.2">
      <c r="A433" s="232"/>
      <c r="B433" s="108"/>
      <c r="C433" s="85" t="s">
        <v>160</v>
      </c>
      <c r="D433" s="124" t="s">
        <v>756</v>
      </c>
      <c r="E433" s="124"/>
      <c r="F433" s="124"/>
      <c r="G433" s="124"/>
      <c r="H433" s="124"/>
      <c r="I433" s="124"/>
      <c r="J433" s="354"/>
      <c r="K433" s="354">
        <f t="shared" si="28"/>
        <v>0</v>
      </c>
      <c r="L433" s="354">
        <f t="shared" si="27"/>
        <v>0</v>
      </c>
      <c r="M433" s="354">
        <f t="shared" si="27"/>
        <v>0</v>
      </c>
      <c r="N433" s="354">
        <f t="shared" si="27"/>
        <v>0</v>
      </c>
    </row>
    <row r="434" spans="1:14" s="430" customFormat="1" ht="12.75" x14ac:dyDescent="0.2">
      <c r="A434" s="232"/>
      <c r="B434" s="108"/>
      <c r="C434" s="85" t="s">
        <v>135</v>
      </c>
      <c r="D434" s="124" t="s">
        <v>756</v>
      </c>
      <c r="E434" s="124"/>
      <c r="F434" s="124"/>
      <c r="G434" s="124"/>
      <c r="H434" s="124"/>
      <c r="I434" s="124"/>
      <c r="J434" s="354"/>
      <c r="K434" s="354">
        <f t="shared" si="28"/>
        <v>0</v>
      </c>
      <c r="L434" s="354">
        <f t="shared" si="27"/>
        <v>0</v>
      </c>
      <c r="M434" s="354">
        <f t="shared" si="27"/>
        <v>0</v>
      </c>
      <c r="N434" s="354">
        <f t="shared" si="27"/>
        <v>0</v>
      </c>
    </row>
    <row r="435" spans="1:14" s="430" customFormat="1" ht="12.75" x14ac:dyDescent="0.2">
      <c r="A435" s="232"/>
      <c r="B435" s="108"/>
      <c r="C435" s="85" t="s">
        <v>114</v>
      </c>
      <c r="D435" s="124" t="s">
        <v>756</v>
      </c>
      <c r="E435" s="124"/>
      <c r="F435" s="124"/>
      <c r="G435" s="124"/>
      <c r="H435" s="124"/>
      <c r="I435" s="124"/>
      <c r="J435" s="354"/>
      <c r="K435" s="354">
        <f t="shared" si="28"/>
        <v>337500</v>
      </c>
      <c r="L435" s="354">
        <f t="shared" si="27"/>
        <v>164475</v>
      </c>
      <c r="M435" s="354">
        <f t="shared" si="27"/>
        <v>35550</v>
      </c>
      <c r="N435" s="354">
        <f t="shared" si="27"/>
        <v>67500</v>
      </c>
    </row>
    <row r="436" spans="1:14" s="430" customFormat="1" ht="12.75" x14ac:dyDescent="0.2">
      <c r="A436" s="232"/>
      <c r="B436" s="108"/>
      <c r="C436" s="85" t="s">
        <v>140</v>
      </c>
      <c r="D436" s="124" t="s">
        <v>756</v>
      </c>
      <c r="E436" s="124"/>
      <c r="F436" s="124"/>
      <c r="G436" s="124"/>
      <c r="H436" s="124"/>
      <c r="I436" s="124"/>
      <c r="J436" s="354"/>
      <c r="K436" s="354">
        <f t="shared" si="28"/>
        <v>0</v>
      </c>
      <c r="L436" s="354">
        <f t="shared" si="27"/>
        <v>0</v>
      </c>
      <c r="M436" s="354">
        <f t="shared" si="27"/>
        <v>0</v>
      </c>
      <c r="N436" s="354">
        <f t="shared" si="27"/>
        <v>0</v>
      </c>
    </row>
    <row r="437" spans="1:14" s="430" customFormat="1" ht="12.75" x14ac:dyDescent="0.2">
      <c r="A437" s="232"/>
      <c r="B437" s="108"/>
      <c r="C437" s="85" t="s">
        <v>166</v>
      </c>
      <c r="D437" s="124" t="s">
        <v>756</v>
      </c>
      <c r="E437" s="124"/>
      <c r="F437" s="124"/>
      <c r="G437" s="124"/>
      <c r="H437" s="124"/>
      <c r="I437" s="124"/>
      <c r="J437" s="354"/>
      <c r="K437" s="354">
        <f t="shared" si="28"/>
        <v>0</v>
      </c>
      <c r="L437" s="354">
        <f t="shared" si="27"/>
        <v>0</v>
      </c>
      <c r="M437" s="354">
        <f t="shared" si="27"/>
        <v>0</v>
      </c>
      <c r="N437" s="354">
        <f t="shared" si="27"/>
        <v>0</v>
      </c>
    </row>
    <row r="438" spans="1:14" s="430" customFormat="1" ht="12.75" x14ac:dyDescent="0.2">
      <c r="A438" s="232"/>
      <c r="B438" s="108"/>
      <c r="C438" s="85" t="s">
        <v>63</v>
      </c>
      <c r="D438" s="124" t="s">
        <v>756</v>
      </c>
      <c r="E438" s="124"/>
      <c r="F438" s="124"/>
      <c r="G438" s="124"/>
      <c r="H438" s="124"/>
      <c r="I438" s="124"/>
      <c r="J438" s="354"/>
      <c r="K438" s="354">
        <f t="shared" si="28"/>
        <v>0</v>
      </c>
      <c r="L438" s="354">
        <f t="shared" si="27"/>
        <v>0</v>
      </c>
      <c r="M438" s="354">
        <f t="shared" si="27"/>
        <v>0</v>
      </c>
      <c r="N438" s="354">
        <f t="shared" si="27"/>
        <v>0</v>
      </c>
    </row>
    <row r="439" spans="1:14" s="430" customFormat="1" ht="12.75" x14ac:dyDescent="0.2">
      <c r="A439" s="232"/>
      <c r="B439" s="108"/>
      <c r="C439" s="85" t="s">
        <v>64</v>
      </c>
      <c r="D439" s="124" t="s">
        <v>756</v>
      </c>
      <c r="E439" s="124"/>
      <c r="F439" s="124"/>
      <c r="G439" s="124"/>
      <c r="H439" s="124"/>
      <c r="I439" s="124"/>
      <c r="J439" s="354"/>
      <c r="K439" s="354">
        <f t="shared" si="28"/>
        <v>0</v>
      </c>
      <c r="L439" s="354">
        <f t="shared" si="27"/>
        <v>0</v>
      </c>
      <c r="M439" s="354">
        <f t="shared" si="27"/>
        <v>0</v>
      </c>
      <c r="N439" s="354">
        <f t="shared" si="27"/>
        <v>0</v>
      </c>
    </row>
    <row r="440" spans="1:14" s="430" customFormat="1" ht="12.75" x14ac:dyDescent="0.2">
      <c r="A440" s="232"/>
      <c r="B440" s="108"/>
      <c r="C440" s="85" t="s">
        <v>796</v>
      </c>
      <c r="D440" s="124" t="s">
        <v>756</v>
      </c>
      <c r="E440" s="124"/>
      <c r="F440" s="124"/>
      <c r="G440" s="124"/>
      <c r="H440" s="124"/>
      <c r="I440" s="124"/>
      <c r="J440" s="354"/>
      <c r="K440" s="354">
        <f t="shared" si="28"/>
        <v>0</v>
      </c>
      <c r="L440" s="354">
        <f t="shared" si="27"/>
        <v>0</v>
      </c>
      <c r="M440" s="354">
        <f t="shared" si="27"/>
        <v>0</v>
      </c>
      <c r="N440" s="354">
        <f t="shared" si="27"/>
        <v>0</v>
      </c>
    </row>
    <row r="441" spans="1:14" s="430" customFormat="1" ht="12.75" x14ac:dyDescent="0.2">
      <c r="A441" s="232"/>
      <c r="B441" s="108"/>
      <c r="C441" s="85" t="s">
        <v>145</v>
      </c>
      <c r="D441" s="124" t="s">
        <v>756</v>
      </c>
      <c r="E441" s="124"/>
      <c r="F441" s="124"/>
      <c r="G441" s="124"/>
      <c r="H441" s="124"/>
      <c r="I441" s="124"/>
      <c r="J441" s="354"/>
      <c r="K441" s="354">
        <f t="shared" si="28"/>
        <v>0</v>
      </c>
      <c r="L441" s="354">
        <f t="shared" si="28"/>
        <v>0</v>
      </c>
      <c r="M441" s="354">
        <f t="shared" si="28"/>
        <v>0</v>
      </c>
      <c r="N441" s="354">
        <f t="shared" si="28"/>
        <v>0</v>
      </c>
    </row>
    <row r="442" spans="1:14" s="430" customFormat="1" ht="12.75" x14ac:dyDescent="0.2">
      <c r="A442" s="232"/>
      <c r="B442" s="108"/>
      <c r="C442" s="85" t="s">
        <v>159</v>
      </c>
      <c r="D442" s="124" t="s">
        <v>756</v>
      </c>
      <c r="E442" s="124"/>
      <c r="F442" s="124"/>
      <c r="G442" s="124"/>
      <c r="H442" s="124"/>
      <c r="I442" s="124"/>
      <c r="J442" s="354"/>
      <c r="K442" s="354">
        <f t="shared" ref="K442:N461" si="29">SUMIFS(K$28:K$275,$C$28:$C$275,$C442,$D$28:$D$275,$D442)</f>
        <v>0</v>
      </c>
      <c r="L442" s="354">
        <f t="shared" si="29"/>
        <v>0</v>
      </c>
      <c r="M442" s="354">
        <f t="shared" si="29"/>
        <v>0</v>
      </c>
      <c r="N442" s="354">
        <f t="shared" si="29"/>
        <v>0</v>
      </c>
    </row>
    <row r="443" spans="1:14" s="430" customFormat="1" ht="12.75" x14ac:dyDescent="0.2">
      <c r="A443" s="232"/>
      <c r="B443" s="108"/>
      <c r="C443" s="85" t="s">
        <v>147</v>
      </c>
      <c r="D443" s="124" t="s">
        <v>756</v>
      </c>
      <c r="E443" s="124"/>
      <c r="F443" s="124"/>
      <c r="G443" s="124"/>
      <c r="H443" s="124"/>
      <c r="I443" s="124"/>
      <c r="J443" s="354"/>
      <c r="K443" s="354">
        <f t="shared" si="29"/>
        <v>0</v>
      </c>
      <c r="L443" s="354">
        <f t="shared" si="29"/>
        <v>0</v>
      </c>
      <c r="M443" s="354">
        <f t="shared" si="29"/>
        <v>0</v>
      </c>
      <c r="N443" s="354">
        <f t="shared" si="29"/>
        <v>0</v>
      </c>
    </row>
    <row r="444" spans="1:14" s="430" customFormat="1" ht="12.75" x14ac:dyDescent="0.2">
      <c r="A444" s="232"/>
      <c r="B444" s="108"/>
      <c r="C444" s="85" t="s">
        <v>150</v>
      </c>
      <c r="D444" s="124" t="s">
        <v>756</v>
      </c>
      <c r="E444" s="124"/>
      <c r="F444" s="124"/>
      <c r="G444" s="124"/>
      <c r="H444" s="124"/>
      <c r="I444" s="124"/>
      <c r="J444" s="354"/>
      <c r="K444" s="354">
        <f t="shared" si="29"/>
        <v>0</v>
      </c>
      <c r="L444" s="354">
        <f t="shared" si="29"/>
        <v>0</v>
      </c>
      <c r="M444" s="354">
        <f t="shared" si="29"/>
        <v>0</v>
      </c>
      <c r="N444" s="354">
        <f t="shared" si="29"/>
        <v>0</v>
      </c>
    </row>
    <row r="445" spans="1:14" s="430" customFormat="1" ht="12.75" x14ac:dyDescent="0.2">
      <c r="A445" s="232"/>
      <c r="B445" s="108"/>
      <c r="C445" s="85" t="s">
        <v>151</v>
      </c>
      <c r="D445" s="124" t="s">
        <v>756</v>
      </c>
      <c r="E445" s="124"/>
      <c r="F445" s="124"/>
      <c r="G445" s="124"/>
      <c r="H445" s="124"/>
      <c r="I445" s="124"/>
      <c r="J445" s="354"/>
      <c r="K445" s="354">
        <f t="shared" si="29"/>
        <v>0</v>
      </c>
      <c r="L445" s="354">
        <f t="shared" si="29"/>
        <v>0</v>
      </c>
      <c r="M445" s="354">
        <f t="shared" si="29"/>
        <v>0</v>
      </c>
      <c r="N445" s="354">
        <f t="shared" si="29"/>
        <v>0</v>
      </c>
    </row>
    <row r="446" spans="1:14" s="430" customFormat="1" ht="12.75" x14ac:dyDescent="0.2">
      <c r="A446" s="232"/>
      <c r="B446" s="108"/>
      <c r="C446" s="85" t="s">
        <v>154</v>
      </c>
      <c r="D446" s="124" t="s">
        <v>756</v>
      </c>
      <c r="E446" s="124"/>
      <c r="F446" s="124"/>
      <c r="G446" s="124"/>
      <c r="H446" s="124"/>
      <c r="I446" s="124"/>
      <c r="J446" s="354"/>
      <c r="K446" s="354">
        <f t="shared" si="29"/>
        <v>0</v>
      </c>
      <c r="L446" s="354">
        <f t="shared" si="29"/>
        <v>0</v>
      </c>
      <c r="M446" s="354">
        <f t="shared" si="29"/>
        <v>0</v>
      </c>
      <c r="N446" s="354">
        <f t="shared" si="29"/>
        <v>0</v>
      </c>
    </row>
    <row r="447" spans="1:14" s="430" customFormat="1" ht="12.75" x14ac:dyDescent="0.2">
      <c r="A447" s="232"/>
      <c r="B447" s="108"/>
      <c r="C447" s="85" t="s">
        <v>149</v>
      </c>
      <c r="D447" s="124" t="s">
        <v>756</v>
      </c>
      <c r="E447" s="124"/>
      <c r="F447" s="124"/>
      <c r="G447" s="124"/>
      <c r="H447" s="124"/>
      <c r="I447" s="124"/>
      <c r="J447" s="354"/>
      <c r="K447" s="354">
        <f t="shared" si="29"/>
        <v>0</v>
      </c>
      <c r="L447" s="354">
        <f t="shared" si="29"/>
        <v>0</v>
      </c>
      <c r="M447" s="354">
        <f t="shared" si="29"/>
        <v>0</v>
      </c>
      <c r="N447" s="354">
        <f t="shared" si="29"/>
        <v>0</v>
      </c>
    </row>
    <row r="448" spans="1:14" s="430" customFormat="1" ht="12.75" x14ac:dyDescent="0.2">
      <c r="A448" s="232"/>
      <c r="B448" s="108"/>
      <c r="C448" s="85" t="s">
        <v>152</v>
      </c>
      <c r="D448" s="124" t="s">
        <v>756</v>
      </c>
      <c r="E448" s="124"/>
      <c r="F448" s="124"/>
      <c r="G448" s="124"/>
      <c r="H448" s="124"/>
      <c r="I448" s="124"/>
      <c r="J448" s="354"/>
      <c r="K448" s="354">
        <f t="shared" si="29"/>
        <v>0</v>
      </c>
      <c r="L448" s="354">
        <f t="shared" si="29"/>
        <v>0</v>
      </c>
      <c r="M448" s="354">
        <f t="shared" si="29"/>
        <v>0</v>
      </c>
      <c r="N448" s="354">
        <f t="shared" si="29"/>
        <v>0</v>
      </c>
    </row>
    <row r="449" spans="1:14" s="430" customFormat="1" ht="12.75" x14ac:dyDescent="0.2">
      <c r="A449" s="232"/>
      <c r="B449" s="108"/>
      <c r="C449" s="85" t="s">
        <v>167</v>
      </c>
      <c r="D449" s="124" t="s">
        <v>756</v>
      </c>
      <c r="E449" s="124"/>
      <c r="F449" s="124"/>
      <c r="G449" s="124"/>
      <c r="H449" s="124"/>
      <c r="I449" s="124"/>
      <c r="J449" s="354"/>
      <c r="K449" s="354">
        <f t="shared" si="29"/>
        <v>0</v>
      </c>
      <c r="L449" s="354">
        <f t="shared" si="29"/>
        <v>0</v>
      </c>
      <c r="M449" s="354">
        <f t="shared" si="29"/>
        <v>0</v>
      </c>
      <c r="N449" s="354">
        <f t="shared" si="29"/>
        <v>0</v>
      </c>
    </row>
    <row r="450" spans="1:14" s="430" customFormat="1" ht="12.75" x14ac:dyDescent="0.2">
      <c r="A450" s="232"/>
      <c r="B450" s="108"/>
      <c r="C450" s="85" t="s">
        <v>130</v>
      </c>
      <c r="D450" s="124" t="s">
        <v>756</v>
      </c>
      <c r="E450" s="124"/>
      <c r="F450" s="124"/>
      <c r="G450" s="124"/>
      <c r="H450" s="124"/>
      <c r="I450" s="124"/>
      <c r="J450" s="354"/>
      <c r="K450" s="354">
        <f t="shared" si="29"/>
        <v>0</v>
      </c>
      <c r="L450" s="354">
        <f t="shared" si="29"/>
        <v>0</v>
      </c>
      <c r="M450" s="354">
        <f t="shared" si="29"/>
        <v>0</v>
      </c>
      <c r="N450" s="354">
        <f t="shared" si="29"/>
        <v>0</v>
      </c>
    </row>
    <row r="451" spans="1:14" s="430" customFormat="1" ht="12.75" x14ac:dyDescent="0.2">
      <c r="A451" s="232"/>
      <c r="B451" s="108"/>
      <c r="C451" s="85" t="s">
        <v>157</v>
      </c>
      <c r="D451" s="124" t="s">
        <v>756</v>
      </c>
      <c r="E451" s="124"/>
      <c r="F451" s="124"/>
      <c r="G451" s="124"/>
      <c r="H451" s="124"/>
      <c r="I451" s="124"/>
      <c r="J451" s="354"/>
      <c r="K451" s="354">
        <f t="shared" si="29"/>
        <v>0</v>
      </c>
      <c r="L451" s="354">
        <f t="shared" si="29"/>
        <v>0</v>
      </c>
      <c r="M451" s="354">
        <f t="shared" si="29"/>
        <v>0</v>
      </c>
      <c r="N451" s="354">
        <f t="shared" si="29"/>
        <v>0</v>
      </c>
    </row>
    <row r="452" spans="1:14" s="430" customFormat="1" ht="12.75" x14ac:dyDescent="0.2">
      <c r="A452" s="232"/>
      <c r="B452" s="108"/>
      <c r="C452" s="85" t="s">
        <v>158</v>
      </c>
      <c r="D452" s="124" t="s">
        <v>756</v>
      </c>
      <c r="E452" s="124"/>
      <c r="F452" s="124"/>
      <c r="G452" s="124"/>
      <c r="H452" s="124"/>
      <c r="I452" s="124"/>
      <c r="J452" s="354"/>
      <c r="K452" s="354">
        <f t="shared" si="29"/>
        <v>0</v>
      </c>
      <c r="L452" s="354">
        <f t="shared" si="29"/>
        <v>0</v>
      </c>
      <c r="M452" s="354">
        <f t="shared" si="29"/>
        <v>0</v>
      </c>
      <c r="N452" s="354">
        <f t="shared" si="29"/>
        <v>0</v>
      </c>
    </row>
    <row r="453" spans="1:14" s="430" customFormat="1" ht="12.75" x14ac:dyDescent="0.2">
      <c r="A453" s="232"/>
      <c r="B453" s="108"/>
      <c r="C453" s="85" t="s">
        <v>162</v>
      </c>
      <c r="D453" s="124" t="s">
        <v>756</v>
      </c>
      <c r="E453" s="124"/>
      <c r="F453" s="124"/>
      <c r="G453" s="124"/>
      <c r="H453" s="124"/>
      <c r="I453" s="124"/>
      <c r="J453" s="354"/>
      <c r="K453" s="354">
        <f t="shared" si="29"/>
        <v>0</v>
      </c>
      <c r="L453" s="354">
        <f t="shared" si="29"/>
        <v>0</v>
      </c>
      <c r="M453" s="354">
        <f t="shared" si="29"/>
        <v>0</v>
      </c>
      <c r="N453" s="354">
        <f t="shared" si="29"/>
        <v>0</v>
      </c>
    </row>
    <row r="454" spans="1:14" s="430" customFormat="1" ht="12.75" x14ac:dyDescent="0.2">
      <c r="A454" s="232"/>
      <c r="B454" s="108"/>
      <c r="C454" s="85" t="s">
        <v>124</v>
      </c>
      <c r="D454" s="124" t="s">
        <v>756</v>
      </c>
      <c r="E454" s="124"/>
      <c r="F454" s="124"/>
      <c r="G454" s="124"/>
      <c r="H454" s="124"/>
      <c r="I454" s="124"/>
      <c r="J454" s="354"/>
      <c r="K454" s="354">
        <f t="shared" si="29"/>
        <v>0</v>
      </c>
      <c r="L454" s="354">
        <f t="shared" si="29"/>
        <v>0</v>
      </c>
      <c r="M454" s="354">
        <f t="shared" si="29"/>
        <v>0</v>
      </c>
      <c r="N454" s="354">
        <f t="shared" si="29"/>
        <v>0</v>
      </c>
    </row>
    <row r="455" spans="1:14" s="430" customFormat="1" ht="12.75" x14ac:dyDescent="0.2">
      <c r="A455" s="232"/>
      <c r="B455" s="108"/>
      <c r="C455" s="85" t="s">
        <v>125</v>
      </c>
      <c r="D455" s="124" t="s">
        <v>756</v>
      </c>
      <c r="E455" s="124"/>
      <c r="F455" s="124"/>
      <c r="G455" s="124"/>
      <c r="H455" s="124"/>
      <c r="I455" s="124"/>
      <c r="J455" s="354"/>
      <c r="K455" s="354">
        <f t="shared" si="29"/>
        <v>0</v>
      </c>
      <c r="L455" s="354">
        <f t="shared" si="29"/>
        <v>0</v>
      </c>
      <c r="M455" s="354">
        <f t="shared" si="29"/>
        <v>0</v>
      </c>
      <c r="N455" s="354">
        <f t="shared" si="29"/>
        <v>0</v>
      </c>
    </row>
    <row r="456" spans="1:14" s="430" customFormat="1" ht="12.75" x14ac:dyDescent="0.2">
      <c r="A456" s="232"/>
      <c r="B456" s="108"/>
      <c r="C456" s="85" t="s">
        <v>156</v>
      </c>
      <c r="D456" s="124" t="s">
        <v>756</v>
      </c>
      <c r="E456" s="124"/>
      <c r="F456" s="124"/>
      <c r="G456" s="124"/>
      <c r="H456" s="124"/>
      <c r="I456" s="124"/>
      <c r="J456" s="354"/>
      <c r="K456" s="354">
        <f t="shared" si="29"/>
        <v>0</v>
      </c>
      <c r="L456" s="354">
        <f t="shared" si="29"/>
        <v>0</v>
      </c>
      <c r="M456" s="354">
        <f t="shared" si="29"/>
        <v>0</v>
      </c>
      <c r="N456" s="354">
        <f t="shared" si="29"/>
        <v>0</v>
      </c>
    </row>
    <row r="457" spans="1:14" s="430" customFormat="1" ht="12.75" x14ac:dyDescent="0.2">
      <c r="A457" s="232"/>
      <c r="B457" s="108"/>
      <c r="C457" s="85" t="s">
        <v>144</v>
      </c>
      <c r="D457" s="124" t="s">
        <v>756</v>
      </c>
      <c r="E457" s="124"/>
      <c r="F457" s="124"/>
      <c r="G457" s="124"/>
      <c r="H457" s="124"/>
      <c r="I457" s="124"/>
      <c r="J457" s="354"/>
      <c r="K457" s="354">
        <f t="shared" si="29"/>
        <v>0</v>
      </c>
      <c r="L457" s="354">
        <f t="shared" si="29"/>
        <v>0</v>
      </c>
      <c r="M457" s="354">
        <f t="shared" si="29"/>
        <v>0</v>
      </c>
      <c r="N457" s="354">
        <f t="shared" si="29"/>
        <v>0</v>
      </c>
    </row>
    <row r="458" spans="1:14" s="430" customFormat="1" ht="12.75" x14ac:dyDescent="0.2">
      <c r="A458" s="232"/>
      <c r="B458" s="108"/>
      <c r="C458" s="85" t="s">
        <v>155</v>
      </c>
      <c r="D458" s="124" t="s">
        <v>756</v>
      </c>
      <c r="E458" s="124"/>
      <c r="F458" s="124"/>
      <c r="G458" s="124"/>
      <c r="H458" s="124"/>
      <c r="I458" s="124"/>
      <c r="J458" s="354"/>
      <c r="K458" s="354">
        <f t="shared" si="29"/>
        <v>0</v>
      </c>
      <c r="L458" s="354">
        <f t="shared" si="29"/>
        <v>0</v>
      </c>
      <c r="M458" s="354">
        <f t="shared" si="29"/>
        <v>0</v>
      </c>
      <c r="N458" s="354">
        <f t="shared" si="29"/>
        <v>0</v>
      </c>
    </row>
    <row r="459" spans="1:14" s="430" customFormat="1" ht="12.75" x14ac:dyDescent="0.2">
      <c r="A459" s="232"/>
      <c r="B459" s="108"/>
      <c r="C459" s="85" t="s">
        <v>1477</v>
      </c>
      <c r="D459" s="124" t="s">
        <v>756</v>
      </c>
      <c r="E459" s="124"/>
      <c r="F459" s="124"/>
      <c r="G459" s="124"/>
      <c r="H459" s="124"/>
      <c r="I459" s="124"/>
      <c r="J459" s="354"/>
      <c r="K459" s="354">
        <f t="shared" si="29"/>
        <v>0</v>
      </c>
      <c r="L459" s="354">
        <f t="shared" si="29"/>
        <v>0</v>
      </c>
      <c r="M459" s="354">
        <f t="shared" si="29"/>
        <v>0</v>
      </c>
      <c r="N459" s="354">
        <f t="shared" si="29"/>
        <v>0</v>
      </c>
    </row>
    <row r="460" spans="1:14" s="430" customFormat="1" ht="12.75" x14ac:dyDescent="0.2">
      <c r="A460" s="232"/>
      <c r="B460" s="108"/>
      <c r="C460" s="85" t="s">
        <v>1478</v>
      </c>
      <c r="D460" s="124" t="s">
        <v>756</v>
      </c>
      <c r="E460" s="124"/>
      <c r="F460" s="124"/>
      <c r="G460" s="124"/>
      <c r="H460" s="124"/>
      <c r="I460" s="124"/>
      <c r="J460" s="354"/>
      <c r="K460" s="354">
        <f t="shared" si="29"/>
        <v>0</v>
      </c>
      <c r="L460" s="354">
        <f t="shared" si="29"/>
        <v>0</v>
      </c>
      <c r="M460" s="354">
        <f t="shared" si="29"/>
        <v>0</v>
      </c>
      <c r="N460" s="354">
        <f t="shared" si="29"/>
        <v>0</v>
      </c>
    </row>
    <row r="461" spans="1:14" s="430" customFormat="1" ht="12.75" x14ac:dyDescent="0.2">
      <c r="A461" s="232"/>
      <c r="B461" s="108"/>
      <c r="C461" s="85" t="s">
        <v>115</v>
      </c>
      <c r="D461" s="124" t="s">
        <v>756</v>
      </c>
      <c r="E461" s="124"/>
      <c r="F461" s="124"/>
      <c r="G461" s="124"/>
      <c r="H461" s="124"/>
      <c r="I461" s="124"/>
      <c r="J461" s="354"/>
      <c r="K461" s="354">
        <f t="shared" si="29"/>
        <v>0</v>
      </c>
      <c r="L461" s="354">
        <f t="shared" si="29"/>
        <v>0</v>
      </c>
      <c r="M461" s="354">
        <f t="shared" si="29"/>
        <v>0</v>
      </c>
      <c r="N461" s="354">
        <f t="shared" si="29"/>
        <v>0</v>
      </c>
    </row>
    <row r="462" spans="1:14" s="430" customFormat="1" ht="12.75" x14ac:dyDescent="0.2">
      <c r="A462" s="232"/>
      <c r="B462" s="108"/>
      <c r="C462" s="85" t="s">
        <v>65</v>
      </c>
      <c r="D462" s="124" t="s">
        <v>756</v>
      </c>
      <c r="E462" s="124"/>
      <c r="F462" s="124"/>
      <c r="G462" s="124"/>
      <c r="H462" s="124"/>
      <c r="I462" s="124"/>
      <c r="J462" s="354"/>
      <c r="K462" s="354">
        <f t="shared" ref="K462:N483" si="30">SUMIFS(K$28:K$275,$C$28:$C$275,$C462,$D$28:$D$275,$D462)</f>
        <v>0</v>
      </c>
      <c r="L462" s="354">
        <f t="shared" si="30"/>
        <v>0</v>
      </c>
      <c r="M462" s="354">
        <f t="shared" si="30"/>
        <v>0</v>
      </c>
      <c r="N462" s="354">
        <f t="shared" si="30"/>
        <v>0</v>
      </c>
    </row>
    <row r="463" spans="1:14" s="514" customFormat="1" ht="12.75" x14ac:dyDescent="0.2">
      <c r="A463" s="232"/>
      <c r="B463" s="108"/>
      <c r="C463" s="85" t="s">
        <v>1445</v>
      </c>
      <c r="D463" s="124" t="s">
        <v>756</v>
      </c>
      <c r="E463" s="124"/>
      <c r="F463" s="124"/>
      <c r="G463" s="124"/>
      <c r="H463" s="124"/>
      <c r="I463" s="124"/>
      <c r="J463" s="354"/>
      <c r="K463" s="354">
        <f t="shared" si="30"/>
        <v>0</v>
      </c>
      <c r="L463" s="354">
        <f t="shared" si="30"/>
        <v>0</v>
      </c>
      <c r="M463" s="354">
        <f t="shared" si="30"/>
        <v>0</v>
      </c>
      <c r="N463" s="354">
        <f t="shared" si="30"/>
        <v>0</v>
      </c>
    </row>
    <row r="464" spans="1:14" s="430" customFormat="1" ht="12.75" x14ac:dyDescent="0.2">
      <c r="A464" s="232"/>
      <c r="B464" s="108"/>
      <c r="C464" s="85" t="s">
        <v>116</v>
      </c>
      <c r="D464" s="124" t="s">
        <v>756</v>
      </c>
      <c r="E464" s="124"/>
      <c r="F464" s="124"/>
      <c r="G464" s="124"/>
      <c r="H464" s="124"/>
      <c r="I464" s="124"/>
      <c r="J464" s="354"/>
      <c r="K464" s="354">
        <f t="shared" si="30"/>
        <v>0</v>
      </c>
      <c r="L464" s="354">
        <f t="shared" si="30"/>
        <v>0</v>
      </c>
      <c r="M464" s="354">
        <f t="shared" si="30"/>
        <v>0</v>
      </c>
      <c r="N464" s="354">
        <f t="shared" si="30"/>
        <v>0</v>
      </c>
    </row>
    <row r="465" spans="1:14" s="430" customFormat="1" ht="12.75" x14ac:dyDescent="0.2">
      <c r="A465" s="232"/>
      <c r="B465" s="108"/>
      <c r="C465" s="85" t="s">
        <v>117</v>
      </c>
      <c r="D465" s="124" t="s">
        <v>756</v>
      </c>
      <c r="E465" s="124"/>
      <c r="F465" s="124"/>
      <c r="G465" s="124"/>
      <c r="H465" s="124"/>
      <c r="I465" s="124"/>
      <c r="J465" s="354"/>
      <c r="K465" s="354">
        <f t="shared" si="30"/>
        <v>0</v>
      </c>
      <c r="L465" s="354">
        <f t="shared" si="30"/>
        <v>0</v>
      </c>
      <c r="M465" s="354">
        <f t="shared" si="30"/>
        <v>0</v>
      </c>
      <c r="N465" s="354">
        <f t="shared" si="30"/>
        <v>0</v>
      </c>
    </row>
    <row r="466" spans="1:14" s="430" customFormat="1" ht="12.75" x14ac:dyDescent="0.2">
      <c r="A466" s="232"/>
      <c r="B466" s="108"/>
      <c r="C466" s="85" t="s">
        <v>120</v>
      </c>
      <c r="D466" s="124" t="s">
        <v>756</v>
      </c>
      <c r="E466" s="124"/>
      <c r="F466" s="124"/>
      <c r="G466" s="124"/>
      <c r="H466" s="124"/>
      <c r="I466" s="124"/>
      <c r="J466" s="354"/>
      <c r="K466" s="354">
        <f t="shared" si="30"/>
        <v>0</v>
      </c>
      <c r="L466" s="354">
        <f t="shared" si="30"/>
        <v>0</v>
      </c>
      <c r="M466" s="354">
        <f t="shared" si="30"/>
        <v>0</v>
      </c>
      <c r="N466" s="354">
        <f t="shared" si="30"/>
        <v>0</v>
      </c>
    </row>
    <row r="467" spans="1:14" s="430" customFormat="1" ht="12.75" x14ac:dyDescent="0.2">
      <c r="A467" s="232"/>
      <c r="B467" s="108"/>
      <c r="C467" s="85" t="s">
        <v>148</v>
      </c>
      <c r="D467" s="124" t="s">
        <v>756</v>
      </c>
      <c r="E467" s="124"/>
      <c r="F467" s="124"/>
      <c r="G467" s="124"/>
      <c r="H467" s="124"/>
      <c r="I467" s="124"/>
      <c r="J467" s="354"/>
      <c r="K467" s="354">
        <f t="shared" si="30"/>
        <v>0</v>
      </c>
      <c r="L467" s="354">
        <f t="shared" si="30"/>
        <v>0</v>
      </c>
      <c r="M467" s="354">
        <f t="shared" si="30"/>
        <v>0</v>
      </c>
      <c r="N467" s="354">
        <f t="shared" si="30"/>
        <v>0</v>
      </c>
    </row>
    <row r="468" spans="1:14" s="430" customFormat="1" ht="12.75" x14ac:dyDescent="0.2">
      <c r="A468" s="232"/>
      <c r="B468" s="108"/>
      <c r="C468" s="85" t="s">
        <v>121</v>
      </c>
      <c r="D468" s="124" t="s">
        <v>756</v>
      </c>
      <c r="E468" s="124"/>
      <c r="F468" s="124"/>
      <c r="G468" s="124"/>
      <c r="H468" s="124"/>
      <c r="I468" s="124"/>
      <c r="J468" s="354"/>
      <c r="K468" s="354">
        <f t="shared" si="30"/>
        <v>0</v>
      </c>
      <c r="L468" s="354">
        <f t="shared" si="30"/>
        <v>0</v>
      </c>
      <c r="M468" s="354">
        <f t="shared" si="30"/>
        <v>0</v>
      </c>
      <c r="N468" s="354">
        <f t="shared" si="30"/>
        <v>0</v>
      </c>
    </row>
    <row r="469" spans="1:14" s="430" customFormat="1" ht="12.75" x14ac:dyDescent="0.2">
      <c r="A469" s="232"/>
      <c r="B469" s="108"/>
      <c r="C469" s="85" t="s">
        <v>122</v>
      </c>
      <c r="D469" s="124" t="s">
        <v>756</v>
      </c>
      <c r="E469" s="124"/>
      <c r="F469" s="124"/>
      <c r="G469" s="124"/>
      <c r="H469" s="124"/>
      <c r="I469" s="124"/>
      <c r="J469" s="354"/>
      <c r="K469" s="354">
        <f t="shared" si="30"/>
        <v>0</v>
      </c>
      <c r="L469" s="354">
        <f t="shared" si="30"/>
        <v>0</v>
      </c>
      <c r="M469" s="354">
        <f t="shared" si="30"/>
        <v>0</v>
      </c>
      <c r="N469" s="354">
        <f t="shared" si="30"/>
        <v>0</v>
      </c>
    </row>
    <row r="470" spans="1:14" s="514" customFormat="1" ht="12.75" x14ac:dyDescent="0.2">
      <c r="A470" s="232"/>
      <c r="B470" s="108"/>
      <c r="C470" s="108" t="s">
        <v>1459</v>
      </c>
      <c r="D470" s="124" t="s">
        <v>756</v>
      </c>
      <c r="E470" s="124"/>
      <c r="F470" s="124"/>
      <c r="G470" s="124"/>
      <c r="H470" s="124"/>
      <c r="I470" s="124"/>
      <c r="J470" s="354"/>
      <c r="K470" s="354">
        <f t="shared" si="30"/>
        <v>0</v>
      </c>
      <c r="L470" s="354">
        <f t="shared" si="30"/>
        <v>0</v>
      </c>
      <c r="M470" s="354">
        <f t="shared" si="30"/>
        <v>0</v>
      </c>
      <c r="N470" s="354">
        <f t="shared" si="30"/>
        <v>0</v>
      </c>
    </row>
    <row r="471" spans="1:14" s="430" customFormat="1" ht="12.75" x14ac:dyDescent="0.2">
      <c r="A471" s="232"/>
      <c r="B471" s="108"/>
      <c r="C471" s="85" t="s">
        <v>163</v>
      </c>
      <c r="D471" s="124" t="s">
        <v>756</v>
      </c>
      <c r="E471" s="124"/>
      <c r="F471" s="124"/>
      <c r="G471" s="124"/>
      <c r="H471" s="124"/>
      <c r="I471" s="124"/>
      <c r="J471" s="354"/>
      <c r="K471" s="354">
        <f t="shared" si="30"/>
        <v>0</v>
      </c>
      <c r="L471" s="354">
        <f t="shared" si="30"/>
        <v>0</v>
      </c>
      <c r="M471" s="354">
        <f t="shared" si="30"/>
        <v>0</v>
      </c>
      <c r="N471" s="354">
        <f t="shared" si="30"/>
        <v>0</v>
      </c>
    </row>
    <row r="472" spans="1:14" s="430" customFormat="1" ht="12.75" x14ac:dyDescent="0.2">
      <c r="A472" s="232"/>
      <c r="B472" s="108"/>
      <c r="C472" s="85" t="s">
        <v>123</v>
      </c>
      <c r="D472" s="124" t="s">
        <v>756</v>
      </c>
      <c r="E472" s="124"/>
      <c r="F472" s="124"/>
      <c r="G472" s="124"/>
      <c r="H472" s="124"/>
      <c r="I472" s="124"/>
      <c r="J472" s="354"/>
      <c r="K472" s="354">
        <f t="shared" si="30"/>
        <v>0</v>
      </c>
      <c r="L472" s="354">
        <f t="shared" si="30"/>
        <v>0</v>
      </c>
      <c r="M472" s="354">
        <f t="shared" si="30"/>
        <v>0</v>
      </c>
      <c r="N472" s="354">
        <f t="shared" si="30"/>
        <v>0</v>
      </c>
    </row>
    <row r="473" spans="1:14" s="430" customFormat="1" ht="12.75" x14ac:dyDescent="0.2">
      <c r="A473" s="232"/>
      <c r="B473" s="108"/>
      <c r="C473" s="85" t="s">
        <v>153</v>
      </c>
      <c r="D473" s="124" t="s">
        <v>756</v>
      </c>
      <c r="E473" s="124"/>
      <c r="F473" s="124"/>
      <c r="G473" s="124"/>
      <c r="H473" s="124"/>
      <c r="I473" s="124"/>
      <c r="J473" s="354"/>
      <c r="K473" s="354">
        <f t="shared" si="30"/>
        <v>0</v>
      </c>
      <c r="L473" s="354">
        <f t="shared" si="30"/>
        <v>0</v>
      </c>
      <c r="M473" s="354">
        <f t="shared" si="30"/>
        <v>0</v>
      </c>
      <c r="N473" s="354">
        <f t="shared" si="30"/>
        <v>0</v>
      </c>
    </row>
    <row r="474" spans="1:14" s="430" customFormat="1" ht="12.75" x14ac:dyDescent="0.2">
      <c r="A474" s="232"/>
      <c r="B474" s="108"/>
      <c r="C474" s="85" t="s">
        <v>127</v>
      </c>
      <c r="D474" s="124" t="s">
        <v>756</v>
      </c>
      <c r="E474" s="124"/>
      <c r="F474" s="124"/>
      <c r="G474" s="124"/>
      <c r="H474" s="124"/>
      <c r="I474" s="124"/>
      <c r="J474" s="354"/>
      <c r="K474" s="354">
        <f t="shared" si="30"/>
        <v>0</v>
      </c>
      <c r="L474" s="354">
        <f t="shared" si="30"/>
        <v>0</v>
      </c>
      <c r="M474" s="354">
        <f t="shared" si="30"/>
        <v>0</v>
      </c>
      <c r="N474" s="354">
        <f t="shared" si="30"/>
        <v>0</v>
      </c>
    </row>
    <row r="475" spans="1:14" s="430" customFormat="1" ht="12.75" x14ac:dyDescent="0.2">
      <c r="A475" s="232"/>
      <c r="B475" s="108"/>
      <c r="C475" s="85" t="s">
        <v>141</v>
      </c>
      <c r="D475" s="124" t="s">
        <v>756</v>
      </c>
      <c r="E475" s="124"/>
      <c r="F475" s="124"/>
      <c r="G475" s="124"/>
      <c r="H475" s="124"/>
      <c r="I475" s="124"/>
      <c r="J475" s="354"/>
      <c r="K475" s="354">
        <f t="shared" si="30"/>
        <v>0</v>
      </c>
      <c r="L475" s="354">
        <f t="shared" si="30"/>
        <v>0</v>
      </c>
      <c r="M475" s="354">
        <f t="shared" si="30"/>
        <v>0</v>
      </c>
      <c r="N475" s="354">
        <f t="shared" si="30"/>
        <v>0</v>
      </c>
    </row>
    <row r="476" spans="1:14" s="430" customFormat="1" ht="12.75" x14ac:dyDescent="0.2">
      <c r="A476" s="232"/>
      <c r="B476" s="108"/>
      <c r="C476" s="85" t="s">
        <v>66</v>
      </c>
      <c r="D476" s="124" t="s">
        <v>756</v>
      </c>
      <c r="E476" s="124"/>
      <c r="F476" s="124"/>
      <c r="G476" s="124"/>
      <c r="H476" s="124"/>
      <c r="I476" s="124"/>
      <c r="J476" s="354"/>
      <c r="K476" s="354">
        <f t="shared" si="30"/>
        <v>0</v>
      </c>
      <c r="L476" s="354">
        <f t="shared" si="30"/>
        <v>0</v>
      </c>
      <c r="M476" s="354">
        <f t="shared" si="30"/>
        <v>0</v>
      </c>
      <c r="N476" s="354">
        <f t="shared" si="30"/>
        <v>0</v>
      </c>
    </row>
    <row r="477" spans="1:14" s="430" customFormat="1" ht="12.75" x14ac:dyDescent="0.2">
      <c r="A477" s="232"/>
      <c r="B477" s="108"/>
      <c r="C477" s="85" t="s">
        <v>128</v>
      </c>
      <c r="D477" s="124" t="s">
        <v>756</v>
      </c>
      <c r="E477" s="124"/>
      <c r="F477" s="124"/>
      <c r="G477" s="124"/>
      <c r="H477" s="124"/>
      <c r="I477" s="124"/>
      <c r="J477" s="354"/>
      <c r="K477" s="354">
        <f t="shared" si="30"/>
        <v>0</v>
      </c>
      <c r="L477" s="354">
        <f t="shared" si="30"/>
        <v>0</v>
      </c>
      <c r="M477" s="354">
        <f t="shared" si="30"/>
        <v>0</v>
      </c>
      <c r="N477" s="354">
        <f t="shared" si="30"/>
        <v>0</v>
      </c>
    </row>
    <row r="478" spans="1:14" s="430" customFormat="1" ht="12.75" x14ac:dyDescent="0.2">
      <c r="A478" s="232"/>
      <c r="B478" s="108"/>
      <c r="C478" s="85" t="s">
        <v>126</v>
      </c>
      <c r="D478" s="124" t="s">
        <v>756</v>
      </c>
      <c r="E478" s="124"/>
      <c r="F478" s="124"/>
      <c r="G478" s="124"/>
      <c r="H478" s="124"/>
      <c r="I478" s="124"/>
      <c r="J478" s="354"/>
      <c r="K478" s="354">
        <f t="shared" si="30"/>
        <v>0</v>
      </c>
      <c r="L478" s="354">
        <f t="shared" si="30"/>
        <v>0</v>
      </c>
      <c r="M478" s="354">
        <f t="shared" si="30"/>
        <v>0</v>
      </c>
      <c r="N478" s="354">
        <f t="shared" si="30"/>
        <v>0</v>
      </c>
    </row>
    <row r="479" spans="1:14" s="430" customFormat="1" ht="12.75" x14ac:dyDescent="0.2">
      <c r="A479" s="232"/>
      <c r="B479" s="108"/>
      <c r="C479" s="85" t="s">
        <v>129</v>
      </c>
      <c r="D479" s="124" t="s">
        <v>756</v>
      </c>
      <c r="E479" s="124"/>
      <c r="F479" s="124"/>
      <c r="G479" s="124"/>
      <c r="H479" s="124"/>
      <c r="I479" s="124"/>
      <c r="J479" s="354"/>
      <c r="K479" s="354">
        <f t="shared" si="30"/>
        <v>0</v>
      </c>
      <c r="L479" s="354">
        <f t="shared" si="30"/>
        <v>0</v>
      </c>
      <c r="M479" s="354">
        <f t="shared" si="30"/>
        <v>0</v>
      </c>
      <c r="N479" s="354">
        <f t="shared" si="30"/>
        <v>0</v>
      </c>
    </row>
    <row r="480" spans="1:14" s="430" customFormat="1" ht="12.75" x14ac:dyDescent="0.2">
      <c r="A480" s="232"/>
      <c r="B480" s="108"/>
      <c r="C480" s="85" t="s">
        <v>692</v>
      </c>
      <c r="D480" s="124" t="s">
        <v>756</v>
      </c>
      <c r="E480" s="124"/>
      <c r="F480" s="124"/>
      <c r="G480" s="124"/>
      <c r="H480" s="124"/>
      <c r="I480" s="124"/>
      <c r="J480" s="354"/>
      <c r="K480" s="354">
        <f t="shared" si="30"/>
        <v>465895</v>
      </c>
      <c r="L480" s="354">
        <f t="shared" si="30"/>
        <v>296695</v>
      </c>
      <c r="M480" s="354">
        <f t="shared" si="30"/>
        <v>146765</v>
      </c>
      <c r="N480" s="354">
        <f t="shared" si="30"/>
        <v>155000</v>
      </c>
    </row>
    <row r="481" spans="1:14" s="430" customFormat="1" ht="12.75" x14ac:dyDescent="0.2">
      <c r="A481" s="232"/>
      <c r="B481" s="108"/>
      <c r="C481" s="85" t="s">
        <v>472</v>
      </c>
      <c r="D481" s="124" t="s">
        <v>756</v>
      </c>
      <c r="E481" s="124"/>
      <c r="F481" s="124"/>
      <c r="G481" s="124"/>
      <c r="H481" s="124"/>
      <c r="I481" s="124"/>
      <c r="J481" s="354"/>
      <c r="K481" s="354">
        <f t="shared" si="30"/>
        <v>0</v>
      </c>
      <c r="L481" s="354">
        <f t="shared" si="30"/>
        <v>0</v>
      </c>
      <c r="M481" s="354">
        <f t="shared" si="30"/>
        <v>0</v>
      </c>
      <c r="N481" s="354">
        <f t="shared" si="30"/>
        <v>0</v>
      </c>
    </row>
    <row r="482" spans="1:14" s="430" customFormat="1" ht="12.75" x14ac:dyDescent="0.2">
      <c r="A482" s="232"/>
      <c r="B482" s="108"/>
      <c r="C482" s="85" t="s">
        <v>143</v>
      </c>
      <c r="D482" s="124" t="s">
        <v>756</v>
      </c>
      <c r="E482" s="124"/>
      <c r="F482" s="124"/>
      <c r="G482" s="124"/>
      <c r="H482" s="124"/>
      <c r="I482" s="124"/>
      <c r="J482" s="354"/>
      <c r="K482" s="354">
        <f t="shared" si="30"/>
        <v>0</v>
      </c>
      <c r="L482" s="354">
        <f t="shared" si="30"/>
        <v>0</v>
      </c>
      <c r="M482" s="354">
        <f t="shared" si="30"/>
        <v>0</v>
      </c>
      <c r="N482" s="354">
        <f t="shared" si="30"/>
        <v>0</v>
      </c>
    </row>
    <row r="483" spans="1:14" s="430" customFormat="1" ht="12.75" x14ac:dyDescent="0.2">
      <c r="A483" s="232"/>
      <c r="B483" s="108"/>
      <c r="C483" s="85" t="s">
        <v>146</v>
      </c>
      <c r="D483" s="124" t="s">
        <v>756</v>
      </c>
      <c r="E483" s="124"/>
      <c r="F483" s="124"/>
      <c r="G483" s="124"/>
      <c r="H483" s="124"/>
      <c r="I483" s="124"/>
      <c r="J483" s="354"/>
      <c r="K483" s="354">
        <f t="shared" si="30"/>
        <v>0</v>
      </c>
      <c r="L483" s="354">
        <f t="shared" si="30"/>
        <v>0</v>
      </c>
      <c r="M483" s="354">
        <f t="shared" si="30"/>
        <v>0</v>
      </c>
      <c r="N483" s="354">
        <f t="shared" si="30"/>
        <v>0</v>
      </c>
    </row>
    <row r="484" spans="1:14" s="430" customFormat="1" ht="12.75" x14ac:dyDescent="0.2">
      <c r="A484" s="232"/>
      <c r="B484" s="108"/>
      <c r="C484" s="85" t="s">
        <v>62</v>
      </c>
      <c r="D484" s="124" t="s">
        <v>469</v>
      </c>
      <c r="E484" s="124"/>
      <c r="F484" s="124"/>
      <c r="G484" s="124"/>
      <c r="H484" s="124"/>
      <c r="I484" s="124"/>
      <c r="J484" s="354"/>
      <c r="K484" s="354">
        <f t="shared" ref="K484:N504" si="31">SUMIFS(K$28:K$275,$C$28:$C$275,$C484,$D$28:$D$275,$D484)</f>
        <v>0</v>
      </c>
      <c r="L484" s="354">
        <f t="shared" si="31"/>
        <v>0</v>
      </c>
      <c r="M484" s="354">
        <f t="shared" si="31"/>
        <v>0</v>
      </c>
      <c r="N484" s="354">
        <f t="shared" si="31"/>
        <v>0</v>
      </c>
    </row>
    <row r="485" spans="1:14" s="430" customFormat="1" ht="12.75" x14ac:dyDescent="0.2">
      <c r="A485" s="232"/>
      <c r="B485" s="108"/>
      <c r="C485" s="85" t="s">
        <v>118</v>
      </c>
      <c r="D485" s="124" t="s">
        <v>469</v>
      </c>
      <c r="E485" s="124"/>
      <c r="F485" s="124"/>
      <c r="G485" s="124"/>
      <c r="H485" s="124"/>
      <c r="I485" s="124"/>
      <c r="J485" s="354"/>
      <c r="K485" s="354">
        <f t="shared" si="31"/>
        <v>0</v>
      </c>
      <c r="L485" s="354">
        <f t="shared" si="31"/>
        <v>0</v>
      </c>
      <c r="M485" s="354">
        <f t="shared" si="31"/>
        <v>0</v>
      </c>
      <c r="N485" s="354">
        <f t="shared" si="31"/>
        <v>0</v>
      </c>
    </row>
    <row r="486" spans="1:14" s="430" customFormat="1" ht="12.75" x14ac:dyDescent="0.2">
      <c r="A486" s="232"/>
      <c r="B486" s="108"/>
      <c r="C486" s="85" t="s">
        <v>119</v>
      </c>
      <c r="D486" s="124" t="s">
        <v>469</v>
      </c>
      <c r="E486" s="124"/>
      <c r="F486" s="124"/>
      <c r="G486" s="124"/>
      <c r="H486" s="124"/>
      <c r="I486" s="124"/>
      <c r="J486" s="354"/>
      <c r="K486" s="354">
        <f t="shared" si="31"/>
        <v>0</v>
      </c>
      <c r="L486" s="354">
        <f t="shared" si="31"/>
        <v>0</v>
      </c>
      <c r="M486" s="354">
        <f t="shared" si="31"/>
        <v>0</v>
      </c>
      <c r="N486" s="354">
        <f t="shared" si="31"/>
        <v>0</v>
      </c>
    </row>
    <row r="487" spans="1:14" s="430" customFormat="1" ht="12.75" x14ac:dyDescent="0.2">
      <c r="A487" s="232"/>
      <c r="B487" s="108"/>
      <c r="C487" s="85" t="s">
        <v>142</v>
      </c>
      <c r="D487" s="124" t="s">
        <v>469</v>
      </c>
      <c r="E487" s="124"/>
      <c r="F487" s="124"/>
      <c r="G487" s="124"/>
      <c r="H487" s="124"/>
      <c r="I487" s="124"/>
      <c r="J487" s="354"/>
      <c r="K487" s="354">
        <f t="shared" si="31"/>
        <v>0</v>
      </c>
      <c r="L487" s="354">
        <f t="shared" si="31"/>
        <v>0</v>
      </c>
      <c r="M487" s="354">
        <f t="shared" si="31"/>
        <v>0</v>
      </c>
      <c r="N487" s="354">
        <f t="shared" si="31"/>
        <v>0</v>
      </c>
    </row>
    <row r="488" spans="1:14" s="430" customFormat="1" ht="12.75" x14ac:dyDescent="0.2">
      <c r="A488" s="232"/>
      <c r="B488" s="108"/>
      <c r="C488" s="85" t="s">
        <v>161</v>
      </c>
      <c r="D488" s="124" t="s">
        <v>469</v>
      </c>
      <c r="E488" s="124"/>
      <c r="F488" s="124"/>
      <c r="G488" s="124"/>
      <c r="H488" s="124"/>
      <c r="I488" s="124"/>
      <c r="J488" s="354"/>
      <c r="K488" s="354">
        <f t="shared" si="31"/>
        <v>0</v>
      </c>
      <c r="L488" s="354">
        <f t="shared" si="31"/>
        <v>0</v>
      </c>
      <c r="M488" s="354">
        <f t="shared" si="31"/>
        <v>0</v>
      </c>
      <c r="N488" s="354">
        <f t="shared" si="31"/>
        <v>0</v>
      </c>
    </row>
    <row r="489" spans="1:14" s="430" customFormat="1" ht="12.75" x14ac:dyDescent="0.2">
      <c r="A489" s="232"/>
      <c r="B489" s="108"/>
      <c r="C489" s="85" t="s">
        <v>1136</v>
      </c>
      <c r="D489" s="124" t="s">
        <v>469</v>
      </c>
      <c r="E489" s="124"/>
      <c r="F489" s="124"/>
      <c r="G489" s="124"/>
      <c r="H489" s="124"/>
      <c r="I489" s="124"/>
      <c r="J489" s="354"/>
      <c r="K489" s="354">
        <f t="shared" si="31"/>
        <v>0</v>
      </c>
      <c r="L489" s="354">
        <f t="shared" si="31"/>
        <v>0</v>
      </c>
      <c r="M489" s="354">
        <f t="shared" si="31"/>
        <v>0</v>
      </c>
      <c r="N489" s="354">
        <f t="shared" si="31"/>
        <v>0</v>
      </c>
    </row>
    <row r="490" spans="1:14" s="514" customFormat="1" ht="12.75" x14ac:dyDescent="0.2">
      <c r="A490" s="232"/>
      <c r="B490" s="108"/>
      <c r="C490" s="85" t="s">
        <v>1475</v>
      </c>
      <c r="D490" s="124" t="s">
        <v>469</v>
      </c>
      <c r="E490" s="124"/>
      <c r="F490" s="124"/>
      <c r="G490" s="124"/>
      <c r="H490" s="124"/>
      <c r="I490" s="124"/>
      <c r="J490" s="354"/>
      <c r="K490" s="354">
        <f t="shared" si="31"/>
        <v>0</v>
      </c>
      <c r="L490" s="354">
        <f t="shared" si="31"/>
        <v>0</v>
      </c>
      <c r="M490" s="354">
        <f t="shared" si="31"/>
        <v>0</v>
      </c>
      <c r="N490" s="354">
        <f t="shared" si="31"/>
        <v>0</v>
      </c>
    </row>
    <row r="491" spans="1:14" s="430" customFormat="1" ht="12.75" x14ac:dyDescent="0.2">
      <c r="A491" s="232"/>
      <c r="B491" s="108"/>
      <c r="C491" s="85" t="s">
        <v>133</v>
      </c>
      <c r="D491" s="124" t="s">
        <v>469</v>
      </c>
      <c r="E491" s="124"/>
      <c r="F491" s="124"/>
      <c r="G491" s="124"/>
      <c r="H491" s="124"/>
      <c r="I491" s="124"/>
      <c r="J491" s="354"/>
      <c r="K491" s="354">
        <f t="shared" si="31"/>
        <v>0</v>
      </c>
      <c r="L491" s="354">
        <f t="shared" si="31"/>
        <v>0</v>
      </c>
      <c r="M491" s="354">
        <f t="shared" si="31"/>
        <v>0</v>
      </c>
      <c r="N491" s="354">
        <f t="shared" si="31"/>
        <v>0</v>
      </c>
    </row>
    <row r="492" spans="1:14" s="430" customFormat="1" ht="12.75" x14ac:dyDescent="0.2">
      <c r="A492" s="232"/>
      <c r="B492" s="108"/>
      <c r="C492" s="85" t="s">
        <v>136</v>
      </c>
      <c r="D492" s="124" t="s">
        <v>469</v>
      </c>
      <c r="E492" s="124"/>
      <c r="F492" s="124"/>
      <c r="G492" s="124"/>
      <c r="H492" s="124"/>
      <c r="I492" s="124"/>
      <c r="J492" s="354"/>
      <c r="K492" s="354">
        <f t="shared" si="31"/>
        <v>0</v>
      </c>
      <c r="L492" s="354">
        <f t="shared" si="31"/>
        <v>0</v>
      </c>
      <c r="M492" s="354">
        <f t="shared" si="31"/>
        <v>0</v>
      </c>
      <c r="N492" s="354">
        <f t="shared" si="31"/>
        <v>0</v>
      </c>
    </row>
    <row r="493" spans="1:14" s="430" customFormat="1" ht="12.75" x14ac:dyDescent="0.2">
      <c r="A493" s="232"/>
      <c r="B493" s="108"/>
      <c r="C493" s="85" t="s">
        <v>134</v>
      </c>
      <c r="D493" s="124" t="s">
        <v>469</v>
      </c>
      <c r="E493" s="124"/>
      <c r="F493" s="124"/>
      <c r="G493" s="124"/>
      <c r="H493" s="124"/>
      <c r="I493" s="124"/>
      <c r="J493" s="354"/>
      <c r="K493" s="354">
        <f t="shared" si="31"/>
        <v>0</v>
      </c>
      <c r="L493" s="354">
        <f t="shared" si="31"/>
        <v>0</v>
      </c>
      <c r="M493" s="354">
        <f t="shared" si="31"/>
        <v>0</v>
      </c>
      <c r="N493" s="354">
        <f t="shared" si="31"/>
        <v>0</v>
      </c>
    </row>
    <row r="494" spans="1:14" s="430" customFormat="1" ht="12.75" x14ac:dyDescent="0.2">
      <c r="A494" s="232"/>
      <c r="B494" s="108"/>
      <c r="C494" s="85" t="s">
        <v>131</v>
      </c>
      <c r="D494" s="124" t="s">
        <v>469</v>
      </c>
      <c r="E494" s="124"/>
      <c r="F494" s="124"/>
      <c r="G494" s="124"/>
      <c r="H494" s="124"/>
      <c r="I494" s="124"/>
      <c r="J494" s="354"/>
      <c r="K494" s="354">
        <f t="shared" si="31"/>
        <v>0</v>
      </c>
      <c r="L494" s="354">
        <f t="shared" si="31"/>
        <v>0</v>
      </c>
      <c r="M494" s="354">
        <f t="shared" si="31"/>
        <v>0</v>
      </c>
      <c r="N494" s="354">
        <f t="shared" si="31"/>
        <v>0</v>
      </c>
    </row>
    <row r="495" spans="1:14" s="430" customFormat="1" ht="12.75" x14ac:dyDescent="0.2">
      <c r="A495" s="232"/>
      <c r="B495" s="108"/>
      <c r="C495" s="85" t="s">
        <v>137</v>
      </c>
      <c r="D495" s="124" t="s">
        <v>469</v>
      </c>
      <c r="E495" s="124"/>
      <c r="F495" s="124"/>
      <c r="G495" s="124"/>
      <c r="H495" s="124"/>
      <c r="I495" s="124"/>
      <c r="J495" s="354"/>
      <c r="K495" s="354">
        <f t="shared" si="31"/>
        <v>0</v>
      </c>
      <c r="L495" s="354">
        <f t="shared" si="31"/>
        <v>0</v>
      </c>
      <c r="M495" s="354">
        <f t="shared" si="31"/>
        <v>0</v>
      </c>
      <c r="N495" s="354">
        <f t="shared" si="31"/>
        <v>0</v>
      </c>
    </row>
    <row r="496" spans="1:14" s="430" customFormat="1" ht="12.75" x14ac:dyDescent="0.2">
      <c r="A496" s="232"/>
      <c r="B496" s="108"/>
      <c r="C496" s="85" t="s">
        <v>132</v>
      </c>
      <c r="D496" s="124" t="s">
        <v>469</v>
      </c>
      <c r="E496" s="124"/>
      <c r="F496" s="124"/>
      <c r="G496" s="124"/>
      <c r="H496" s="124"/>
      <c r="I496" s="124"/>
      <c r="J496" s="354"/>
      <c r="K496" s="354">
        <f t="shared" si="31"/>
        <v>0</v>
      </c>
      <c r="L496" s="354">
        <f t="shared" si="31"/>
        <v>0</v>
      </c>
      <c r="M496" s="354">
        <f t="shared" si="31"/>
        <v>0</v>
      </c>
      <c r="N496" s="354">
        <f t="shared" si="31"/>
        <v>0</v>
      </c>
    </row>
    <row r="497" spans="1:14" s="430" customFormat="1" ht="12.75" x14ac:dyDescent="0.2">
      <c r="A497" s="232"/>
      <c r="B497" s="108"/>
      <c r="C497" s="85" t="s">
        <v>160</v>
      </c>
      <c r="D497" s="124" t="s">
        <v>469</v>
      </c>
      <c r="E497" s="124"/>
      <c r="F497" s="124"/>
      <c r="G497" s="124"/>
      <c r="H497" s="124"/>
      <c r="I497" s="124"/>
      <c r="J497" s="354"/>
      <c r="K497" s="354">
        <f t="shared" si="31"/>
        <v>0</v>
      </c>
      <c r="L497" s="354">
        <f t="shared" si="31"/>
        <v>0</v>
      </c>
      <c r="M497" s="354">
        <f t="shared" si="31"/>
        <v>0</v>
      </c>
      <c r="N497" s="354">
        <f t="shared" si="31"/>
        <v>0</v>
      </c>
    </row>
    <row r="498" spans="1:14" s="430" customFormat="1" ht="12.75" x14ac:dyDescent="0.2">
      <c r="A498" s="232"/>
      <c r="B498" s="108"/>
      <c r="C498" s="85" t="s">
        <v>135</v>
      </c>
      <c r="D498" s="124" t="s">
        <v>469</v>
      </c>
      <c r="E498" s="124"/>
      <c r="F498" s="124"/>
      <c r="G498" s="124"/>
      <c r="H498" s="124"/>
      <c r="I498" s="124"/>
      <c r="J498" s="354"/>
      <c r="K498" s="354">
        <f t="shared" si="31"/>
        <v>0</v>
      </c>
      <c r="L498" s="354">
        <f t="shared" si="31"/>
        <v>0</v>
      </c>
      <c r="M498" s="354">
        <f t="shared" si="31"/>
        <v>0</v>
      </c>
      <c r="N498" s="354">
        <f t="shared" si="31"/>
        <v>0</v>
      </c>
    </row>
    <row r="499" spans="1:14" s="430" customFormat="1" ht="12.75" x14ac:dyDescent="0.2">
      <c r="A499" s="232"/>
      <c r="B499" s="108"/>
      <c r="C499" s="85" t="s">
        <v>114</v>
      </c>
      <c r="D499" s="124" t="s">
        <v>469</v>
      </c>
      <c r="E499" s="124"/>
      <c r="F499" s="124"/>
      <c r="G499" s="124"/>
      <c r="H499" s="124"/>
      <c r="I499" s="124"/>
      <c r="J499" s="354"/>
      <c r="K499" s="354">
        <f t="shared" si="31"/>
        <v>0</v>
      </c>
      <c r="L499" s="354">
        <f t="shared" si="31"/>
        <v>0</v>
      </c>
      <c r="M499" s="354">
        <f t="shared" si="31"/>
        <v>0</v>
      </c>
      <c r="N499" s="354">
        <f t="shared" si="31"/>
        <v>0</v>
      </c>
    </row>
    <row r="500" spans="1:14" s="430" customFormat="1" ht="12.75" x14ac:dyDescent="0.2">
      <c r="A500" s="232"/>
      <c r="B500" s="108"/>
      <c r="C500" s="85" t="s">
        <v>140</v>
      </c>
      <c r="D500" s="124" t="s">
        <v>469</v>
      </c>
      <c r="E500" s="124"/>
      <c r="F500" s="124"/>
      <c r="G500" s="124"/>
      <c r="H500" s="124"/>
      <c r="I500" s="124"/>
      <c r="J500" s="354"/>
      <c r="K500" s="354">
        <f t="shared" si="31"/>
        <v>0</v>
      </c>
      <c r="L500" s="354">
        <f t="shared" si="31"/>
        <v>0</v>
      </c>
      <c r="M500" s="354">
        <f t="shared" si="31"/>
        <v>0</v>
      </c>
      <c r="N500" s="354">
        <f t="shared" si="31"/>
        <v>0</v>
      </c>
    </row>
    <row r="501" spans="1:14" s="430" customFormat="1" ht="12.75" x14ac:dyDescent="0.2">
      <c r="A501" s="232"/>
      <c r="B501" s="108"/>
      <c r="C501" s="85" t="s">
        <v>166</v>
      </c>
      <c r="D501" s="124" t="s">
        <v>469</v>
      </c>
      <c r="E501" s="124"/>
      <c r="F501" s="124"/>
      <c r="G501" s="124"/>
      <c r="H501" s="124"/>
      <c r="I501" s="124"/>
      <c r="J501" s="354"/>
      <c r="K501" s="354">
        <f t="shared" si="31"/>
        <v>0</v>
      </c>
      <c r="L501" s="354">
        <f t="shared" si="31"/>
        <v>0</v>
      </c>
      <c r="M501" s="354">
        <f t="shared" si="31"/>
        <v>0</v>
      </c>
      <c r="N501" s="354">
        <f t="shared" si="31"/>
        <v>0</v>
      </c>
    </row>
    <row r="502" spans="1:14" s="430" customFormat="1" ht="12.75" x14ac:dyDescent="0.2">
      <c r="A502" s="232"/>
      <c r="B502" s="108"/>
      <c r="C502" s="85" t="s">
        <v>63</v>
      </c>
      <c r="D502" s="124" t="s">
        <v>469</v>
      </c>
      <c r="E502" s="124"/>
      <c r="F502" s="124"/>
      <c r="G502" s="124"/>
      <c r="H502" s="124"/>
      <c r="I502" s="124"/>
      <c r="J502" s="354"/>
      <c r="K502" s="354">
        <f t="shared" si="31"/>
        <v>0</v>
      </c>
      <c r="L502" s="354">
        <f t="shared" si="31"/>
        <v>0</v>
      </c>
      <c r="M502" s="354">
        <f t="shared" si="31"/>
        <v>0</v>
      </c>
      <c r="N502" s="354">
        <f t="shared" si="31"/>
        <v>0</v>
      </c>
    </row>
    <row r="503" spans="1:14" s="430" customFormat="1" ht="12.75" x14ac:dyDescent="0.2">
      <c r="A503" s="232"/>
      <c r="B503" s="108"/>
      <c r="C503" s="85" t="s">
        <v>64</v>
      </c>
      <c r="D503" s="124" t="s">
        <v>469</v>
      </c>
      <c r="E503" s="124"/>
      <c r="F503" s="124"/>
      <c r="G503" s="124"/>
      <c r="H503" s="124"/>
      <c r="I503" s="124"/>
      <c r="J503" s="354"/>
      <c r="K503" s="354">
        <f t="shared" si="31"/>
        <v>0</v>
      </c>
      <c r="L503" s="354">
        <f t="shared" si="31"/>
        <v>0</v>
      </c>
      <c r="M503" s="354">
        <f t="shared" si="31"/>
        <v>0</v>
      </c>
      <c r="N503" s="354">
        <f t="shared" si="31"/>
        <v>0</v>
      </c>
    </row>
    <row r="504" spans="1:14" s="430" customFormat="1" ht="12.75" x14ac:dyDescent="0.2">
      <c r="A504" s="232"/>
      <c r="B504" s="108"/>
      <c r="C504" s="85" t="s">
        <v>796</v>
      </c>
      <c r="D504" s="124" t="s">
        <v>469</v>
      </c>
      <c r="E504" s="124"/>
      <c r="F504" s="124"/>
      <c r="G504" s="124"/>
      <c r="H504" s="124"/>
      <c r="I504" s="124"/>
      <c r="J504" s="354"/>
      <c r="K504" s="354">
        <f t="shared" si="31"/>
        <v>0</v>
      </c>
      <c r="L504" s="354">
        <f t="shared" si="31"/>
        <v>0</v>
      </c>
      <c r="M504" s="354">
        <f t="shared" si="31"/>
        <v>0</v>
      </c>
      <c r="N504" s="354">
        <f t="shared" si="31"/>
        <v>0</v>
      </c>
    </row>
    <row r="505" spans="1:14" s="430" customFormat="1" ht="12.75" x14ac:dyDescent="0.2">
      <c r="A505" s="232"/>
      <c r="B505" s="108"/>
      <c r="C505" s="85" t="s">
        <v>145</v>
      </c>
      <c r="D505" s="124" t="s">
        <v>469</v>
      </c>
      <c r="E505" s="124"/>
      <c r="F505" s="124"/>
      <c r="G505" s="124"/>
      <c r="H505" s="124"/>
      <c r="I505" s="124"/>
      <c r="J505" s="354"/>
      <c r="K505" s="354">
        <f t="shared" ref="K505:N524" si="32">SUMIFS(K$28:K$275,$C$28:$C$275,$C505,$D$28:$D$275,$D505)</f>
        <v>0</v>
      </c>
      <c r="L505" s="354">
        <f t="shared" si="32"/>
        <v>0</v>
      </c>
      <c r="M505" s="354">
        <f t="shared" si="32"/>
        <v>0</v>
      </c>
      <c r="N505" s="354">
        <f t="shared" si="32"/>
        <v>0</v>
      </c>
    </row>
    <row r="506" spans="1:14" s="430" customFormat="1" ht="12.75" x14ac:dyDescent="0.2">
      <c r="A506" s="232"/>
      <c r="B506" s="108"/>
      <c r="C506" s="85" t="s">
        <v>159</v>
      </c>
      <c r="D506" s="124" t="s">
        <v>469</v>
      </c>
      <c r="E506" s="124"/>
      <c r="F506" s="124"/>
      <c r="G506" s="124"/>
      <c r="H506" s="124"/>
      <c r="I506" s="124"/>
      <c r="J506" s="354"/>
      <c r="K506" s="354">
        <f t="shared" si="32"/>
        <v>0</v>
      </c>
      <c r="L506" s="354">
        <f t="shared" si="32"/>
        <v>0</v>
      </c>
      <c r="M506" s="354">
        <f t="shared" si="32"/>
        <v>0</v>
      </c>
      <c r="N506" s="354">
        <f t="shared" si="32"/>
        <v>0</v>
      </c>
    </row>
    <row r="507" spans="1:14" s="430" customFormat="1" ht="12.75" x14ac:dyDescent="0.2">
      <c r="A507" s="232"/>
      <c r="B507" s="108"/>
      <c r="C507" s="85" t="s">
        <v>147</v>
      </c>
      <c r="D507" s="124" t="s">
        <v>469</v>
      </c>
      <c r="E507" s="124"/>
      <c r="F507" s="124"/>
      <c r="G507" s="124"/>
      <c r="H507" s="124"/>
      <c r="I507" s="124"/>
      <c r="J507" s="354"/>
      <c r="K507" s="354">
        <f t="shared" si="32"/>
        <v>0</v>
      </c>
      <c r="L507" s="354">
        <f t="shared" si="32"/>
        <v>0</v>
      </c>
      <c r="M507" s="354">
        <f t="shared" si="32"/>
        <v>0</v>
      </c>
      <c r="N507" s="354">
        <f t="shared" si="32"/>
        <v>0</v>
      </c>
    </row>
    <row r="508" spans="1:14" s="430" customFormat="1" ht="12.75" x14ac:dyDescent="0.2">
      <c r="A508" s="232"/>
      <c r="B508" s="108"/>
      <c r="C508" s="85" t="s">
        <v>150</v>
      </c>
      <c r="D508" s="124" t="s">
        <v>469</v>
      </c>
      <c r="E508" s="124"/>
      <c r="F508" s="124"/>
      <c r="G508" s="124"/>
      <c r="H508" s="124"/>
      <c r="I508" s="124"/>
      <c r="J508" s="354"/>
      <c r="K508" s="354">
        <f t="shared" si="32"/>
        <v>0</v>
      </c>
      <c r="L508" s="354">
        <f t="shared" si="32"/>
        <v>0</v>
      </c>
      <c r="M508" s="354">
        <f t="shared" si="32"/>
        <v>0</v>
      </c>
      <c r="N508" s="354">
        <f t="shared" si="32"/>
        <v>0</v>
      </c>
    </row>
    <row r="509" spans="1:14" s="430" customFormat="1" ht="12.75" x14ac:dyDescent="0.2">
      <c r="A509" s="232"/>
      <c r="B509" s="108"/>
      <c r="C509" s="85" t="s">
        <v>151</v>
      </c>
      <c r="D509" s="124" t="s">
        <v>469</v>
      </c>
      <c r="E509" s="124"/>
      <c r="F509" s="124"/>
      <c r="G509" s="124"/>
      <c r="H509" s="124"/>
      <c r="I509" s="124"/>
      <c r="J509" s="354"/>
      <c r="K509" s="354">
        <f t="shared" si="32"/>
        <v>0</v>
      </c>
      <c r="L509" s="354">
        <f t="shared" si="32"/>
        <v>0</v>
      </c>
      <c r="M509" s="354">
        <f t="shared" si="32"/>
        <v>0</v>
      </c>
      <c r="N509" s="354">
        <f t="shared" si="32"/>
        <v>0</v>
      </c>
    </row>
    <row r="510" spans="1:14" s="430" customFormat="1" ht="12.75" x14ac:dyDescent="0.2">
      <c r="A510" s="232"/>
      <c r="B510" s="108"/>
      <c r="C510" s="85" t="s">
        <v>154</v>
      </c>
      <c r="D510" s="124" t="s">
        <v>469</v>
      </c>
      <c r="E510" s="124"/>
      <c r="F510" s="124"/>
      <c r="G510" s="124"/>
      <c r="H510" s="124"/>
      <c r="I510" s="124"/>
      <c r="J510" s="354"/>
      <c r="K510" s="354">
        <f t="shared" si="32"/>
        <v>0</v>
      </c>
      <c r="L510" s="354">
        <f t="shared" si="32"/>
        <v>0</v>
      </c>
      <c r="M510" s="354">
        <f t="shared" si="32"/>
        <v>0</v>
      </c>
      <c r="N510" s="354">
        <f t="shared" si="32"/>
        <v>0</v>
      </c>
    </row>
    <row r="511" spans="1:14" s="430" customFormat="1" ht="12.75" x14ac:dyDescent="0.2">
      <c r="A511" s="232"/>
      <c r="B511" s="108"/>
      <c r="C511" s="85" t="s">
        <v>149</v>
      </c>
      <c r="D511" s="124" t="s">
        <v>469</v>
      </c>
      <c r="E511" s="124"/>
      <c r="F511" s="124"/>
      <c r="G511" s="124"/>
      <c r="H511" s="124"/>
      <c r="I511" s="124"/>
      <c r="J511" s="354"/>
      <c r="K511" s="354">
        <f t="shared" si="32"/>
        <v>0</v>
      </c>
      <c r="L511" s="354">
        <f t="shared" si="32"/>
        <v>0</v>
      </c>
      <c r="M511" s="354">
        <f t="shared" si="32"/>
        <v>0</v>
      </c>
      <c r="N511" s="354">
        <f t="shared" si="32"/>
        <v>0</v>
      </c>
    </row>
    <row r="512" spans="1:14" s="430" customFormat="1" ht="12.75" x14ac:dyDescent="0.2">
      <c r="A512" s="232"/>
      <c r="B512" s="108"/>
      <c r="C512" s="85" t="s">
        <v>152</v>
      </c>
      <c r="D512" s="124" t="s">
        <v>469</v>
      </c>
      <c r="E512" s="124"/>
      <c r="F512" s="124"/>
      <c r="G512" s="124"/>
      <c r="H512" s="124"/>
      <c r="I512" s="124"/>
      <c r="J512" s="354"/>
      <c r="K512" s="354">
        <f t="shared" si="32"/>
        <v>0</v>
      </c>
      <c r="L512" s="354">
        <f t="shared" si="32"/>
        <v>0</v>
      </c>
      <c r="M512" s="354">
        <f t="shared" si="32"/>
        <v>0</v>
      </c>
      <c r="N512" s="354">
        <f t="shared" si="32"/>
        <v>0</v>
      </c>
    </row>
    <row r="513" spans="1:14" s="430" customFormat="1" ht="12.75" x14ac:dyDescent="0.2">
      <c r="A513" s="232"/>
      <c r="B513" s="108"/>
      <c r="C513" s="85" t="s">
        <v>167</v>
      </c>
      <c r="D513" s="124" t="s">
        <v>469</v>
      </c>
      <c r="E513" s="124"/>
      <c r="F513" s="124"/>
      <c r="G513" s="124"/>
      <c r="H513" s="124"/>
      <c r="I513" s="124"/>
      <c r="J513" s="354"/>
      <c r="K513" s="354">
        <f t="shared" si="32"/>
        <v>0</v>
      </c>
      <c r="L513" s="354">
        <f t="shared" si="32"/>
        <v>0</v>
      </c>
      <c r="M513" s="354">
        <f t="shared" si="32"/>
        <v>0</v>
      </c>
      <c r="N513" s="354">
        <f t="shared" si="32"/>
        <v>0</v>
      </c>
    </row>
    <row r="514" spans="1:14" s="430" customFormat="1" ht="12.75" x14ac:dyDescent="0.2">
      <c r="A514" s="232"/>
      <c r="B514" s="108"/>
      <c r="C514" s="85" t="s">
        <v>130</v>
      </c>
      <c r="D514" s="124" t="s">
        <v>469</v>
      </c>
      <c r="E514" s="124"/>
      <c r="F514" s="124"/>
      <c r="G514" s="124"/>
      <c r="H514" s="124"/>
      <c r="I514" s="124"/>
      <c r="J514" s="354"/>
      <c r="K514" s="354">
        <f t="shared" si="32"/>
        <v>0</v>
      </c>
      <c r="L514" s="354">
        <f t="shared" si="32"/>
        <v>0</v>
      </c>
      <c r="M514" s="354">
        <f t="shared" si="32"/>
        <v>0</v>
      </c>
      <c r="N514" s="354">
        <f t="shared" si="32"/>
        <v>0</v>
      </c>
    </row>
    <row r="515" spans="1:14" s="430" customFormat="1" ht="12.75" x14ac:dyDescent="0.2">
      <c r="A515" s="232"/>
      <c r="B515" s="108"/>
      <c r="C515" s="85" t="s">
        <v>157</v>
      </c>
      <c r="D515" s="124" t="s">
        <v>469</v>
      </c>
      <c r="E515" s="124"/>
      <c r="F515" s="124"/>
      <c r="G515" s="124"/>
      <c r="H515" s="124"/>
      <c r="I515" s="124"/>
      <c r="J515" s="354"/>
      <c r="K515" s="354">
        <f t="shared" si="32"/>
        <v>0</v>
      </c>
      <c r="L515" s="354">
        <f t="shared" si="32"/>
        <v>0</v>
      </c>
      <c r="M515" s="354">
        <f t="shared" si="32"/>
        <v>0</v>
      </c>
      <c r="N515" s="354">
        <f t="shared" si="32"/>
        <v>0</v>
      </c>
    </row>
    <row r="516" spans="1:14" s="430" customFormat="1" ht="12.75" x14ac:dyDescent="0.2">
      <c r="A516" s="232"/>
      <c r="B516" s="108"/>
      <c r="C516" s="85" t="s">
        <v>158</v>
      </c>
      <c r="D516" s="124" t="s">
        <v>469</v>
      </c>
      <c r="E516" s="124"/>
      <c r="F516" s="124"/>
      <c r="G516" s="124"/>
      <c r="H516" s="124"/>
      <c r="I516" s="124"/>
      <c r="J516" s="354"/>
      <c r="K516" s="354">
        <f t="shared" si="32"/>
        <v>0</v>
      </c>
      <c r="L516" s="354">
        <f t="shared" si="32"/>
        <v>0</v>
      </c>
      <c r="M516" s="354">
        <f t="shared" si="32"/>
        <v>0</v>
      </c>
      <c r="N516" s="354">
        <f t="shared" si="32"/>
        <v>0</v>
      </c>
    </row>
    <row r="517" spans="1:14" s="430" customFormat="1" ht="12.75" x14ac:dyDescent="0.2">
      <c r="A517" s="232"/>
      <c r="B517" s="108"/>
      <c r="C517" s="85" t="s">
        <v>162</v>
      </c>
      <c r="D517" s="124" t="s">
        <v>469</v>
      </c>
      <c r="E517" s="124"/>
      <c r="F517" s="124"/>
      <c r="G517" s="124"/>
      <c r="H517" s="124"/>
      <c r="I517" s="124"/>
      <c r="J517" s="354"/>
      <c r="K517" s="354">
        <f t="shared" si="32"/>
        <v>0</v>
      </c>
      <c r="L517" s="354">
        <f t="shared" si="32"/>
        <v>0</v>
      </c>
      <c r="M517" s="354">
        <f t="shared" si="32"/>
        <v>0</v>
      </c>
      <c r="N517" s="354">
        <f t="shared" si="32"/>
        <v>0</v>
      </c>
    </row>
    <row r="518" spans="1:14" s="430" customFormat="1" ht="12.75" x14ac:dyDescent="0.2">
      <c r="A518" s="232"/>
      <c r="B518" s="108"/>
      <c r="C518" s="85" t="s">
        <v>124</v>
      </c>
      <c r="D518" s="124" t="s">
        <v>469</v>
      </c>
      <c r="E518" s="124"/>
      <c r="F518" s="124"/>
      <c r="G518" s="124"/>
      <c r="H518" s="124"/>
      <c r="I518" s="124"/>
      <c r="J518" s="354"/>
      <c r="K518" s="354">
        <f t="shared" si="32"/>
        <v>0</v>
      </c>
      <c r="L518" s="354">
        <f t="shared" si="32"/>
        <v>0</v>
      </c>
      <c r="M518" s="354">
        <f t="shared" si="32"/>
        <v>0</v>
      </c>
      <c r="N518" s="354">
        <f t="shared" si="32"/>
        <v>0</v>
      </c>
    </row>
    <row r="519" spans="1:14" s="430" customFormat="1" ht="12.75" x14ac:dyDescent="0.2">
      <c r="A519" s="232"/>
      <c r="B519" s="108"/>
      <c r="C519" s="85" t="s">
        <v>125</v>
      </c>
      <c r="D519" s="124" t="s">
        <v>469</v>
      </c>
      <c r="E519" s="124"/>
      <c r="F519" s="124"/>
      <c r="G519" s="124"/>
      <c r="H519" s="124"/>
      <c r="I519" s="124"/>
      <c r="J519" s="354"/>
      <c r="K519" s="354">
        <f t="shared" si="32"/>
        <v>0</v>
      </c>
      <c r="L519" s="354">
        <f t="shared" si="32"/>
        <v>0</v>
      </c>
      <c r="M519" s="354">
        <f t="shared" si="32"/>
        <v>0</v>
      </c>
      <c r="N519" s="354">
        <f t="shared" si="32"/>
        <v>0</v>
      </c>
    </row>
    <row r="520" spans="1:14" s="430" customFormat="1" ht="12.75" x14ac:dyDescent="0.2">
      <c r="A520" s="232"/>
      <c r="B520" s="108"/>
      <c r="C520" s="85" t="s">
        <v>156</v>
      </c>
      <c r="D520" s="124" t="s">
        <v>469</v>
      </c>
      <c r="E520" s="124"/>
      <c r="F520" s="124"/>
      <c r="G520" s="124"/>
      <c r="H520" s="124"/>
      <c r="I520" s="124"/>
      <c r="J520" s="354"/>
      <c r="K520" s="354">
        <f t="shared" si="32"/>
        <v>0</v>
      </c>
      <c r="L520" s="354">
        <f t="shared" si="32"/>
        <v>0</v>
      </c>
      <c r="M520" s="354">
        <f t="shared" si="32"/>
        <v>0</v>
      </c>
      <c r="N520" s="354">
        <f t="shared" si="32"/>
        <v>0</v>
      </c>
    </row>
    <row r="521" spans="1:14" s="430" customFormat="1" ht="12.75" x14ac:dyDescent="0.2">
      <c r="A521" s="232"/>
      <c r="B521" s="108"/>
      <c r="C521" s="85" t="s">
        <v>144</v>
      </c>
      <c r="D521" s="124" t="s">
        <v>469</v>
      </c>
      <c r="E521" s="124"/>
      <c r="F521" s="124"/>
      <c r="G521" s="124"/>
      <c r="H521" s="124"/>
      <c r="I521" s="124"/>
      <c r="J521" s="354"/>
      <c r="K521" s="354">
        <f t="shared" si="32"/>
        <v>0</v>
      </c>
      <c r="L521" s="354">
        <f t="shared" si="32"/>
        <v>0</v>
      </c>
      <c r="M521" s="354">
        <f t="shared" si="32"/>
        <v>0</v>
      </c>
      <c r="N521" s="354">
        <f t="shared" si="32"/>
        <v>0</v>
      </c>
    </row>
    <row r="522" spans="1:14" s="430" customFormat="1" ht="12.75" x14ac:dyDescent="0.2">
      <c r="A522" s="232"/>
      <c r="B522" s="108"/>
      <c r="C522" s="85" t="s">
        <v>155</v>
      </c>
      <c r="D522" s="124" t="s">
        <v>469</v>
      </c>
      <c r="E522" s="124"/>
      <c r="F522" s="124"/>
      <c r="G522" s="124"/>
      <c r="H522" s="124"/>
      <c r="I522" s="124"/>
      <c r="J522" s="354"/>
      <c r="K522" s="354">
        <f t="shared" si="32"/>
        <v>0</v>
      </c>
      <c r="L522" s="354">
        <f t="shared" si="32"/>
        <v>0</v>
      </c>
      <c r="M522" s="354">
        <f t="shared" si="32"/>
        <v>0</v>
      </c>
      <c r="N522" s="354">
        <f t="shared" si="32"/>
        <v>0</v>
      </c>
    </row>
    <row r="523" spans="1:14" s="430" customFormat="1" ht="12.75" x14ac:dyDescent="0.2">
      <c r="A523" s="232"/>
      <c r="B523" s="108"/>
      <c r="C523" s="85" t="s">
        <v>1477</v>
      </c>
      <c r="D523" s="124" t="s">
        <v>469</v>
      </c>
      <c r="E523" s="124"/>
      <c r="F523" s="124"/>
      <c r="G523" s="124"/>
      <c r="H523" s="124"/>
      <c r="I523" s="124"/>
      <c r="J523" s="354"/>
      <c r="K523" s="354">
        <f t="shared" si="32"/>
        <v>0</v>
      </c>
      <c r="L523" s="354">
        <f t="shared" si="32"/>
        <v>0</v>
      </c>
      <c r="M523" s="354">
        <f t="shared" si="32"/>
        <v>0</v>
      </c>
      <c r="N523" s="354">
        <f t="shared" si="32"/>
        <v>0</v>
      </c>
    </row>
    <row r="524" spans="1:14" s="430" customFormat="1" ht="12.75" x14ac:dyDescent="0.2">
      <c r="A524" s="232"/>
      <c r="B524" s="108"/>
      <c r="C524" s="85" t="s">
        <v>1478</v>
      </c>
      <c r="D524" s="124" t="s">
        <v>469</v>
      </c>
      <c r="E524" s="124"/>
      <c r="F524" s="124"/>
      <c r="G524" s="124"/>
      <c r="H524" s="124"/>
      <c r="I524" s="124"/>
      <c r="J524" s="354"/>
      <c r="K524" s="354">
        <f t="shared" si="32"/>
        <v>0</v>
      </c>
      <c r="L524" s="354">
        <f t="shared" si="32"/>
        <v>0</v>
      </c>
      <c r="M524" s="354">
        <f t="shared" si="32"/>
        <v>0</v>
      </c>
      <c r="N524" s="354">
        <f t="shared" si="32"/>
        <v>0</v>
      </c>
    </row>
    <row r="525" spans="1:14" s="430" customFormat="1" ht="12.75" x14ac:dyDescent="0.2">
      <c r="A525" s="232"/>
      <c r="B525" s="108"/>
      <c r="C525" s="85" t="s">
        <v>115</v>
      </c>
      <c r="D525" s="124" t="s">
        <v>469</v>
      </c>
      <c r="E525" s="124"/>
      <c r="F525" s="124"/>
      <c r="G525" s="124"/>
      <c r="H525" s="124"/>
      <c r="I525" s="124"/>
      <c r="J525" s="354"/>
      <c r="K525" s="354">
        <f t="shared" ref="K525:N547" si="33">SUMIFS(K$28:K$275,$C$28:$C$275,$C525,$D$28:$D$275,$D525)</f>
        <v>0</v>
      </c>
      <c r="L525" s="354">
        <f t="shared" si="33"/>
        <v>0</v>
      </c>
      <c r="M525" s="354">
        <f t="shared" si="33"/>
        <v>0</v>
      </c>
      <c r="N525" s="354">
        <f t="shared" si="33"/>
        <v>0</v>
      </c>
    </row>
    <row r="526" spans="1:14" s="430" customFormat="1" ht="12.75" x14ac:dyDescent="0.2">
      <c r="A526" s="232"/>
      <c r="B526" s="108"/>
      <c r="C526" s="85" t="s">
        <v>65</v>
      </c>
      <c r="D526" s="124" t="s">
        <v>469</v>
      </c>
      <c r="E526" s="124"/>
      <c r="F526" s="124"/>
      <c r="G526" s="124"/>
      <c r="H526" s="124"/>
      <c r="I526" s="124"/>
      <c r="J526" s="354"/>
      <c r="K526" s="354">
        <f t="shared" si="33"/>
        <v>0</v>
      </c>
      <c r="L526" s="354">
        <f t="shared" si="33"/>
        <v>0</v>
      </c>
      <c r="M526" s="354">
        <f t="shared" si="33"/>
        <v>0</v>
      </c>
      <c r="N526" s="354">
        <f t="shared" si="33"/>
        <v>0</v>
      </c>
    </row>
    <row r="527" spans="1:14" s="514" customFormat="1" ht="12.75" x14ac:dyDescent="0.2">
      <c r="A527" s="232"/>
      <c r="B527" s="108"/>
      <c r="C527" s="85" t="s">
        <v>1445</v>
      </c>
      <c r="D527" s="124" t="s">
        <v>469</v>
      </c>
      <c r="E527" s="124"/>
      <c r="F527" s="124"/>
      <c r="G527" s="124"/>
      <c r="H527" s="124"/>
      <c r="I527" s="124"/>
      <c r="J527" s="354"/>
      <c r="K527" s="354">
        <f t="shared" si="33"/>
        <v>0</v>
      </c>
      <c r="L527" s="354">
        <f t="shared" si="33"/>
        <v>0</v>
      </c>
      <c r="M527" s="354">
        <f t="shared" si="33"/>
        <v>0</v>
      </c>
      <c r="N527" s="354">
        <f t="shared" si="33"/>
        <v>0</v>
      </c>
    </row>
    <row r="528" spans="1:14" s="430" customFormat="1" ht="12.75" x14ac:dyDescent="0.2">
      <c r="A528" s="232"/>
      <c r="B528" s="108"/>
      <c r="C528" s="85" t="s">
        <v>116</v>
      </c>
      <c r="D528" s="124" t="s">
        <v>469</v>
      </c>
      <c r="E528" s="124"/>
      <c r="F528" s="124"/>
      <c r="G528" s="124"/>
      <c r="H528" s="124"/>
      <c r="I528" s="124"/>
      <c r="J528" s="354"/>
      <c r="K528" s="354">
        <f t="shared" si="33"/>
        <v>0</v>
      </c>
      <c r="L528" s="354">
        <f t="shared" si="33"/>
        <v>0</v>
      </c>
      <c r="M528" s="354">
        <f t="shared" si="33"/>
        <v>0</v>
      </c>
      <c r="N528" s="354">
        <f t="shared" si="33"/>
        <v>0</v>
      </c>
    </row>
    <row r="529" spans="1:14" s="430" customFormat="1" ht="12.75" x14ac:dyDescent="0.2">
      <c r="A529" s="232"/>
      <c r="B529" s="108"/>
      <c r="C529" s="85" t="s">
        <v>117</v>
      </c>
      <c r="D529" s="124" t="s">
        <v>469</v>
      </c>
      <c r="E529" s="124"/>
      <c r="F529" s="124"/>
      <c r="G529" s="124"/>
      <c r="H529" s="124"/>
      <c r="I529" s="124"/>
      <c r="J529" s="354"/>
      <c r="K529" s="354">
        <f t="shared" si="33"/>
        <v>0</v>
      </c>
      <c r="L529" s="354">
        <f t="shared" si="33"/>
        <v>0</v>
      </c>
      <c r="M529" s="354">
        <f t="shared" si="33"/>
        <v>0</v>
      </c>
      <c r="N529" s="354">
        <f t="shared" si="33"/>
        <v>0</v>
      </c>
    </row>
    <row r="530" spans="1:14" s="430" customFormat="1" ht="12.75" x14ac:dyDescent="0.2">
      <c r="A530" s="232"/>
      <c r="B530" s="108"/>
      <c r="C530" s="85" t="s">
        <v>120</v>
      </c>
      <c r="D530" s="124" t="s">
        <v>469</v>
      </c>
      <c r="E530" s="124"/>
      <c r="F530" s="124"/>
      <c r="G530" s="124"/>
      <c r="H530" s="124"/>
      <c r="I530" s="124"/>
      <c r="J530" s="354"/>
      <c r="K530" s="354">
        <f t="shared" si="33"/>
        <v>0</v>
      </c>
      <c r="L530" s="354">
        <f t="shared" si="33"/>
        <v>0</v>
      </c>
      <c r="M530" s="354">
        <f t="shared" si="33"/>
        <v>0</v>
      </c>
      <c r="N530" s="354">
        <f t="shared" si="33"/>
        <v>0</v>
      </c>
    </row>
    <row r="531" spans="1:14" s="430" customFormat="1" ht="12.75" x14ac:dyDescent="0.2">
      <c r="A531" s="232"/>
      <c r="B531" s="108"/>
      <c r="C531" s="85" t="s">
        <v>148</v>
      </c>
      <c r="D531" s="124" t="s">
        <v>469</v>
      </c>
      <c r="E531" s="124"/>
      <c r="F531" s="124"/>
      <c r="G531" s="124"/>
      <c r="H531" s="124"/>
      <c r="I531" s="124"/>
      <c r="J531" s="354"/>
      <c r="K531" s="354">
        <f t="shared" si="33"/>
        <v>0</v>
      </c>
      <c r="L531" s="354">
        <f t="shared" si="33"/>
        <v>0</v>
      </c>
      <c r="M531" s="354">
        <f t="shared" si="33"/>
        <v>0</v>
      </c>
      <c r="N531" s="354">
        <f t="shared" si="33"/>
        <v>0</v>
      </c>
    </row>
    <row r="532" spans="1:14" s="430" customFormat="1" ht="12.75" x14ac:dyDescent="0.2">
      <c r="A532" s="232"/>
      <c r="B532" s="108"/>
      <c r="C532" s="85" t="s">
        <v>121</v>
      </c>
      <c r="D532" s="124" t="s">
        <v>469</v>
      </c>
      <c r="E532" s="124"/>
      <c r="F532" s="124"/>
      <c r="G532" s="124"/>
      <c r="H532" s="124"/>
      <c r="I532" s="124"/>
      <c r="J532" s="354"/>
      <c r="K532" s="354">
        <f t="shared" si="33"/>
        <v>0</v>
      </c>
      <c r="L532" s="354">
        <f t="shared" si="33"/>
        <v>0</v>
      </c>
      <c r="M532" s="354">
        <f t="shared" si="33"/>
        <v>0</v>
      </c>
      <c r="N532" s="354">
        <f t="shared" si="33"/>
        <v>0</v>
      </c>
    </row>
    <row r="533" spans="1:14" s="430" customFormat="1" ht="12.75" x14ac:dyDescent="0.2">
      <c r="A533" s="232"/>
      <c r="B533" s="108"/>
      <c r="C533" s="85" t="s">
        <v>122</v>
      </c>
      <c r="D533" s="124" t="s">
        <v>469</v>
      </c>
      <c r="E533" s="124"/>
      <c r="F533" s="124"/>
      <c r="G533" s="124"/>
      <c r="H533" s="124"/>
      <c r="I533" s="124"/>
      <c r="J533" s="354"/>
      <c r="K533" s="354">
        <f t="shared" si="33"/>
        <v>0</v>
      </c>
      <c r="L533" s="354">
        <f t="shared" si="33"/>
        <v>0</v>
      </c>
      <c r="M533" s="354">
        <f t="shared" si="33"/>
        <v>0</v>
      </c>
      <c r="N533" s="354">
        <f t="shared" si="33"/>
        <v>0</v>
      </c>
    </row>
    <row r="534" spans="1:14" s="514" customFormat="1" ht="12.75" x14ac:dyDescent="0.2">
      <c r="A534" s="232"/>
      <c r="B534" s="108"/>
      <c r="C534" s="85" t="s">
        <v>1459</v>
      </c>
      <c r="D534" s="124" t="s">
        <v>469</v>
      </c>
      <c r="E534" s="124"/>
      <c r="F534" s="124"/>
      <c r="G534" s="124"/>
      <c r="H534" s="124"/>
      <c r="I534" s="124"/>
      <c r="J534" s="354"/>
      <c r="K534" s="354">
        <f t="shared" si="33"/>
        <v>0</v>
      </c>
      <c r="L534" s="354">
        <f t="shared" si="33"/>
        <v>0</v>
      </c>
      <c r="M534" s="354">
        <f t="shared" si="33"/>
        <v>0</v>
      </c>
      <c r="N534" s="354">
        <f t="shared" si="33"/>
        <v>0</v>
      </c>
    </row>
    <row r="535" spans="1:14" s="430" customFormat="1" ht="12.75" x14ac:dyDescent="0.2">
      <c r="A535" s="232"/>
      <c r="B535" s="108"/>
      <c r="C535" s="85" t="s">
        <v>163</v>
      </c>
      <c r="D535" s="124" t="s">
        <v>469</v>
      </c>
      <c r="E535" s="124"/>
      <c r="F535" s="124"/>
      <c r="G535" s="124"/>
      <c r="H535" s="124"/>
      <c r="I535" s="124"/>
      <c r="J535" s="354"/>
      <c r="K535" s="354">
        <f t="shared" si="33"/>
        <v>0</v>
      </c>
      <c r="L535" s="354">
        <f t="shared" si="33"/>
        <v>0</v>
      </c>
      <c r="M535" s="354">
        <f t="shared" si="33"/>
        <v>0</v>
      </c>
      <c r="N535" s="354">
        <f t="shared" si="33"/>
        <v>0</v>
      </c>
    </row>
    <row r="536" spans="1:14" s="430" customFormat="1" ht="12.75" x14ac:dyDescent="0.2">
      <c r="A536" s="232"/>
      <c r="B536" s="108"/>
      <c r="C536" s="85" t="s">
        <v>123</v>
      </c>
      <c r="D536" s="124" t="s">
        <v>469</v>
      </c>
      <c r="E536" s="124"/>
      <c r="F536" s="124"/>
      <c r="G536" s="124"/>
      <c r="H536" s="124"/>
      <c r="I536" s="124"/>
      <c r="J536" s="354"/>
      <c r="K536" s="354">
        <f t="shared" si="33"/>
        <v>0</v>
      </c>
      <c r="L536" s="354">
        <f t="shared" si="33"/>
        <v>0</v>
      </c>
      <c r="M536" s="354">
        <f t="shared" si="33"/>
        <v>0</v>
      </c>
      <c r="N536" s="354">
        <f t="shared" si="33"/>
        <v>0</v>
      </c>
    </row>
    <row r="537" spans="1:14" s="430" customFormat="1" ht="12.75" x14ac:dyDescent="0.2">
      <c r="A537" s="232"/>
      <c r="B537" s="108"/>
      <c r="C537" s="85" t="s">
        <v>153</v>
      </c>
      <c r="D537" s="124" t="s">
        <v>469</v>
      </c>
      <c r="E537" s="124"/>
      <c r="F537" s="124"/>
      <c r="G537" s="124"/>
      <c r="H537" s="124"/>
      <c r="I537" s="124"/>
      <c r="J537" s="354"/>
      <c r="K537" s="354">
        <f t="shared" si="33"/>
        <v>0</v>
      </c>
      <c r="L537" s="354">
        <f t="shared" si="33"/>
        <v>0</v>
      </c>
      <c r="M537" s="354">
        <f t="shared" si="33"/>
        <v>0</v>
      </c>
      <c r="N537" s="354">
        <f t="shared" si="33"/>
        <v>0</v>
      </c>
    </row>
    <row r="538" spans="1:14" s="430" customFormat="1" ht="12.75" x14ac:dyDescent="0.2">
      <c r="A538" s="232"/>
      <c r="B538" s="108"/>
      <c r="C538" s="85" t="s">
        <v>127</v>
      </c>
      <c r="D538" s="124" t="s">
        <v>469</v>
      </c>
      <c r="E538" s="124"/>
      <c r="F538" s="124"/>
      <c r="G538" s="124"/>
      <c r="H538" s="124"/>
      <c r="I538" s="124"/>
      <c r="J538" s="354"/>
      <c r="K538" s="354">
        <f t="shared" si="33"/>
        <v>0</v>
      </c>
      <c r="L538" s="354">
        <f t="shared" si="33"/>
        <v>0</v>
      </c>
      <c r="M538" s="354">
        <f t="shared" si="33"/>
        <v>0</v>
      </c>
      <c r="N538" s="354">
        <f t="shared" si="33"/>
        <v>0</v>
      </c>
    </row>
    <row r="539" spans="1:14" s="430" customFormat="1" ht="12.75" x14ac:dyDescent="0.2">
      <c r="A539" s="232"/>
      <c r="B539" s="108"/>
      <c r="C539" s="85" t="s">
        <v>141</v>
      </c>
      <c r="D539" s="124" t="s">
        <v>469</v>
      </c>
      <c r="E539" s="124"/>
      <c r="F539" s="124"/>
      <c r="G539" s="124"/>
      <c r="H539" s="124"/>
      <c r="I539" s="124"/>
      <c r="J539" s="354"/>
      <c r="K539" s="354">
        <f t="shared" si="33"/>
        <v>0</v>
      </c>
      <c r="L539" s="354">
        <f t="shared" si="33"/>
        <v>0</v>
      </c>
      <c r="M539" s="354">
        <f t="shared" si="33"/>
        <v>0</v>
      </c>
      <c r="N539" s="354">
        <f t="shared" si="33"/>
        <v>0</v>
      </c>
    </row>
    <row r="540" spans="1:14" s="430" customFormat="1" ht="12.75" x14ac:dyDescent="0.2">
      <c r="A540" s="232"/>
      <c r="B540" s="108"/>
      <c r="C540" s="85" t="s">
        <v>66</v>
      </c>
      <c r="D540" s="124" t="s">
        <v>469</v>
      </c>
      <c r="E540" s="124"/>
      <c r="F540" s="124"/>
      <c r="G540" s="124"/>
      <c r="H540" s="124"/>
      <c r="I540" s="124"/>
      <c r="J540" s="354"/>
      <c r="K540" s="354">
        <f t="shared" si="33"/>
        <v>0</v>
      </c>
      <c r="L540" s="354">
        <f t="shared" si="33"/>
        <v>0</v>
      </c>
      <c r="M540" s="354">
        <f t="shared" si="33"/>
        <v>0</v>
      </c>
      <c r="N540" s="354">
        <f t="shared" si="33"/>
        <v>0</v>
      </c>
    </row>
    <row r="541" spans="1:14" s="430" customFormat="1" ht="12.75" x14ac:dyDescent="0.2">
      <c r="A541" s="232"/>
      <c r="B541" s="108"/>
      <c r="C541" s="85" t="s">
        <v>128</v>
      </c>
      <c r="D541" s="124" t="s">
        <v>469</v>
      </c>
      <c r="E541" s="124"/>
      <c r="F541" s="124"/>
      <c r="G541" s="124"/>
      <c r="H541" s="124"/>
      <c r="I541" s="124"/>
      <c r="J541" s="354"/>
      <c r="K541" s="354">
        <f t="shared" si="33"/>
        <v>0</v>
      </c>
      <c r="L541" s="354">
        <f t="shared" si="33"/>
        <v>0</v>
      </c>
      <c r="M541" s="354">
        <f t="shared" si="33"/>
        <v>0</v>
      </c>
      <c r="N541" s="354">
        <f t="shared" si="33"/>
        <v>0</v>
      </c>
    </row>
    <row r="542" spans="1:14" s="430" customFormat="1" ht="12.75" x14ac:dyDescent="0.2">
      <c r="A542" s="232"/>
      <c r="B542" s="108"/>
      <c r="C542" s="85" t="s">
        <v>126</v>
      </c>
      <c r="D542" s="124" t="s">
        <v>469</v>
      </c>
      <c r="E542" s="124"/>
      <c r="F542" s="124"/>
      <c r="G542" s="124"/>
      <c r="H542" s="124"/>
      <c r="I542" s="124"/>
      <c r="J542" s="354"/>
      <c r="K542" s="354">
        <f t="shared" si="33"/>
        <v>0</v>
      </c>
      <c r="L542" s="354">
        <f t="shared" si="33"/>
        <v>0</v>
      </c>
      <c r="M542" s="354">
        <f t="shared" si="33"/>
        <v>0</v>
      </c>
      <c r="N542" s="354">
        <f t="shared" si="33"/>
        <v>0</v>
      </c>
    </row>
    <row r="543" spans="1:14" s="430" customFormat="1" ht="12.75" x14ac:dyDescent="0.2">
      <c r="A543" s="232"/>
      <c r="B543" s="108"/>
      <c r="C543" s="85" t="s">
        <v>129</v>
      </c>
      <c r="D543" s="124" t="s">
        <v>469</v>
      </c>
      <c r="E543" s="124"/>
      <c r="F543" s="124"/>
      <c r="G543" s="124"/>
      <c r="H543" s="124"/>
      <c r="I543" s="124"/>
      <c r="J543" s="354"/>
      <c r="K543" s="354">
        <f t="shared" si="33"/>
        <v>0</v>
      </c>
      <c r="L543" s="354">
        <f t="shared" si="33"/>
        <v>0</v>
      </c>
      <c r="M543" s="354">
        <f t="shared" si="33"/>
        <v>0</v>
      </c>
      <c r="N543" s="354">
        <f t="shared" si="33"/>
        <v>0</v>
      </c>
    </row>
    <row r="544" spans="1:14" s="430" customFormat="1" ht="12.75" x14ac:dyDescent="0.2">
      <c r="A544" s="232"/>
      <c r="B544" s="108"/>
      <c r="C544" s="85" t="s">
        <v>692</v>
      </c>
      <c r="D544" s="124" t="s">
        <v>469</v>
      </c>
      <c r="E544" s="124"/>
      <c r="F544" s="124"/>
      <c r="G544" s="124"/>
      <c r="H544" s="124"/>
      <c r="I544" s="124"/>
      <c r="J544" s="354"/>
      <c r="K544" s="354">
        <f t="shared" si="33"/>
        <v>700000</v>
      </c>
      <c r="L544" s="354">
        <f t="shared" si="33"/>
        <v>130741.25</v>
      </c>
      <c r="M544" s="354">
        <f t="shared" si="33"/>
        <v>60000</v>
      </c>
      <c r="N544" s="354">
        <f t="shared" si="33"/>
        <v>100000</v>
      </c>
    </row>
    <row r="545" spans="1:14" s="430" customFormat="1" ht="12.75" x14ac:dyDescent="0.2">
      <c r="A545" s="232"/>
      <c r="B545" s="108"/>
      <c r="C545" s="85" t="s">
        <v>472</v>
      </c>
      <c r="D545" s="124" t="s">
        <v>469</v>
      </c>
      <c r="E545" s="124"/>
      <c r="F545" s="124"/>
      <c r="G545" s="124"/>
      <c r="H545" s="124"/>
      <c r="I545" s="124"/>
      <c r="J545" s="354"/>
      <c r="K545" s="354">
        <f t="shared" si="33"/>
        <v>0</v>
      </c>
      <c r="L545" s="354">
        <f t="shared" si="33"/>
        <v>0</v>
      </c>
      <c r="M545" s="354">
        <f t="shared" si="33"/>
        <v>0</v>
      </c>
      <c r="N545" s="354">
        <f t="shared" si="33"/>
        <v>0</v>
      </c>
    </row>
    <row r="546" spans="1:14" s="430" customFormat="1" ht="12.75" x14ac:dyDescent="0.2">
      <c r="A546" s="232"/>
      <c r="B546" s="108"/>
      <c r="C546" s="85" t="s">
        <v>143</v>
      </c>
      <c r="D546" s="124" t="s">
        <v>469</v>
      </c>
      <c r="E546" s="124"/>
      <c r="F546" s="124"/>
      <c r="G546" s="124"/>
      <c r="H546" s="124"/>
      <c r="I546" s="124"/>
      <c r="J546" s="354"/>
      <c r="K546" s="354">
        <f t="shared" si="33"/>
        <v>0</v>
      </c>
      <c r="L546" s="354">
        <f t="shared" si="33"/>
        <v>0</v>
      </c>
      <c r="M546" s="354">
        <f t="shared" si="33"/>
        <v>0</v>
      </c>
      <c r="N546" s="354">
        <f t="shared" si="33"/>
        <v>0</v>
      </c>
    </row>
    <row r="547" spans="1:14" s="430" customFormat="1" ht="12.75" x14ac:dyDescent="0.2">
      <c r="A547" s="232"/>
      <c r="B547" s="108"/>
      <c r="C547" s="85" t="s">
        <v>146</v>
      </c>
      <c r="D547" s="124" t="s">
        <v>469</v>
      </c>
      <c r="E547" s="124"/>
      <c r="F547" s="124"/>
      <c r="G547" s="124"/>
      <c r="H547" s="124"/>
      <c r="I547" s="124"/>
      <c r="J547" s="354"/>
      <c r="K547" s="354">
        <f t="shared" si="33"/>
        <v>0</v>
      </c>
      <c r="L547" s="354">
        <f t="shared" si="33"/>
        <v>0</v>
      </c>
      <c r="M547" s="354">
        <f t="shared" si="33"/>
        <v>0</v>
      </c>
      <c r="N547" s="354">
        <f t="shared" si="33"/>
        <v>0</v>
      </c>
    </row>
    <row r="548" spans="1:14" s="430" customFormat="1" ht="12.75" x14ac:dyDescent="0.2">
      <c r="A548" s="232"/>
      <c r="B548" s="108"/>
      <c r="C548" s="85" t="s">
        <v>62</v>
      </c>
      <c r="D548" s="124" t="s">
        <v>755</v>
      </c>
      <c r="E548" s="124"/>
      <c r="F548" s="124"/>
      <c r="G548" s="124"/>
      <c r="H548" s="124"/>
      <c r="I548" s="124"/>
      <c r="J548" s="354"/>
      <c r="K548" s="354">
        <f>SUMIF($C$28:$C$275,$C548,K$28:K$275)-K420-K484</f>
        <v>74700</v>
      </c>
      <c r="L548" s="354">
        <f t="shared" ref="L548:N548" si="34">SUMIF($C$28:$C$275,$C548,L$28:L$275)-L420-L484</f>
        <v>61918</v>
      </c>
      <c r="M548" s="354">
        <f t="shared" si="34"/>
        <v>103381</v>
      </c>
      <c r="N548" s="354">
        <f t="shared" si="34"/>
        <v>77400</v>
      </c>
    </row>
    <row r="549" spans="1:14" s="430" customFormat="1" ht="12.75" x14ac:dyDescent="0.2">
      <c r="A549" s="232"/>
      <c r="B549" s="108"/>
      <c r="C549" s="85" t="s">
        <v>118</v>
      </c>
      <c r="D549" s="124" t="s">
        <v>755</v>
      </c>
      <c r="E549" s="124"/>
      <c r="F549" s="124"/>
      <c r="G549" s="124"/>
      <c r="H549" s="124"/>
      <c r="I549" s="124"/>
      <c r="J549" s="354"/>
      <c r="K549" s="354">
        <f t="shared" ref="K549:N549" si="35">SUMIF($C$28:$C$275,$C549,K$28:K$275)-K421-K485</f>
        <v>0</v>
      </c>
      <c r="L549" s="354">
        <f t="shared" si="35"/>
        <v>0</v>
      </c>
      <c r="M549" s="354">
        <f t="shared" si="35"/>
        <v>0</v>
      </c>
      <c r="N549" s="354">
        <f t="shared" si="35"/>
        <v>0</v>
      </c>
    </row>
    <row r="550" spans="1:14" s="430" customFormat="1" ht="12.75" x14ac:dyDescent="0.2">
      <c r="A550" s="232"/>
      <c r="B550" s="108"/>
      <c r="C550" s="85" t="s">
        <v>119</v>
      </c>
      <c r="D550" s="124" t="s">
        <v>755</v>
      </c>
      <c r="E550" s="124"/>
      <c r="F550" s="124"/>
      <c r="G550" s="124"/>
      <c r="H550" s="124"/>
      <c r="I550" s="124"/>
      <c r="J550" s="354"/>
      <c r="K550" s="354">
        <f t="shared" ref="K550:N550" si="36">SUMIF($C$28:$C$275,$C550,K$28:K$275)-K422-K486</f>
        <v>0</v>
      </c>
      <c r="L550" s="354">
        <f t="shared" si="36"/>
        <v>0</v>
      </c>
      <c r="M550" s="354">
        <f t="shared" si="36"/>
        <v>0</v>
      </c>
      <c r="N550" s="354">
        <f t="shared" si="36"/>
        <v>0</v>
      </c>
    </row>
    <row r="551" spans="1:14" s="430" customFormat="1" ht="12.75" x14ac:dyDescent="0.2">
      <c r="A551" s="232"/>
      <c r="B551" s="108"/>
      <c r="C551" s="85" t="s">
        <v>142</v>
      </c>
      <c r="D551" s="124" t="s">
        <v>755</v>
      </c>
      <c r="E551" s="124"/>
      <c r="F551" s="124"/>
      <c r="G551" s="124"/>
      <c r="H551" s="124"/>
      <c r="I551" s="124"/>
      <c r="J551" s="354"/>
      <c r="K551" s="354">
        <f t="shared" ref="K551:N551" si="37">SUMIF($C$28:$C$275,$C551,K$28:K$275)-K423-K487</f>
        <v>0</v>
      </c>
      <c r="L551" s="354">
        <f t="shared" si="37"/>
        <v>0</v>
      </c>
      <c r="M551" s="354">
        <f t="shared" si="37"/>
        <v>0</v>
      </c>
      <c r="N551" s="354">
        <f t="shared" si="37"/>
        <v>0</v>
      </c>
    </row>
    <row r="552" spans="1:14" s="430" customFormat="1" ht="12.75" x14ac:dyDescent="0.2">
      <c r="A552" s="232"/>
      <c r="B552" s="108"/>
      <c r="C552" s="85" t="s">
        <v>161</v>
      </c>
      <c r="D552" s="124" t="s">
        <v>755</v>
      </c>
      <c r="E552" s="124"/>
      <c r="F552" s="124"/>
      <c r="G552" s="124"/>
      <c r="H552" s="124"/>
      <c r="I552" s="124"/>
      <c r="J552" s="354"/>
      <c r="K552" s="354">
        <f t="shared" ref="K552:N552" si="38">SUMIF($C$28:$C$275,$C552,K$28:K$275)-K424-K488</f>
        <v>0</v>
      </c>
      <c r="L552" s="354">
        <f t="shared" si="38"/>
        <v>110</v>
      </c>
      <c r="M552" s="354">
        <f t="shared" si="38"/>
        <v>0</v>
      </c>
      <c r="N552" s="354">
        <f t="shared" si="38"/>
        <v>200</v>
      </c>
    </row>
    <row r="553" spans="1:14" s="430" customFormat="1" ht="12.75" x14ac:dyDescent="0.2">
      <c r="A553" s="232"/>
      <c r="B553" s="108"/>
      <c r="C553" s="85" t="s">
        <v>1136</v>
      </c>
      <c r="D553" s="124" t="s">
        <v>755</v>
      </c>
      <c r="E553" s="124"/>
      <c r="F553" s="124"/>
      <c r="G553" s="124"/>
      <c r="H553" s="124"/>
      <c r="I553" s="124"/>
      <c r="J553" s="354"/>
      <c r="K553" s="354">
        <f t="shared" ref="K553:N554" si="39">SUMIF($C$28:$C$275,$C553,K$28:K$275)-K425-K489</f>
        <v>0</v>
      </c>
      <c r="L553" s="354">
        <f t="shared" si="39"/>
        <v>508</v>
      </c>
      <c r="M553" s="354">
        <f t="shared" si="39"/>
        <v>0</v>
      </c>
      <c r="N553" s="354">
        <f t="shared" si="39"/>
        <v>700</v>
      </c>
    </row>
    <row r="554" spans="1:14" s="514" customFormat="1" ht="12.75" x14ac:dyDescent="0.2">
      <c r="A554" s="232"/>
      <c r="B554" s="108"/>
      <c r="C554" s="85" t="s">
        <v>1475</v>
      </c>
      <c r="D554" s="124" t="s">
        <v>755</v>
      </c>
      <c r="E554" s="124"/>
      <c r="F554" s="124"/>
      <c r="G554" s="124"/>
      <c r="H554" s="124"/>
      <c r="I554" s="124"/>
      <c r="J554" s="354"/>
      <c r="K554" s="354">
        <f t="shared" si="39"/>
        <v>0</v>
      </c>
      <c r="L554" s="354">
        <f t="shared" si="39"/>
        <v>0</v>
      </c>
      <c r="M554" s="354">
        <f t="shared" si="39"/>
        <v>0</v>
      </c>
      <c r="N554" s="354">
        <f t="shared" si="39"/>
        <v>0</v>
      </c>
    </row>
    <row r="555" spans="1:14" s="430" customFormat="1" ht="12.75" x14ac:dyDescent="0.2">
      <c r="A555" s="232"/>
      <c r="B555" s="108"/>
      <c r="C555" s="85" t="s">
        <v>133</v>
      </c>
      <c r="D555" s="124" t="s">
        <v>755</v>
      </c>
      <c r="E555" s="124"/>
      <c r="F555" s="124"/>
      <c r="G555" s="124"/>
      <c r="H555" s="124"/>
      <c r="I555" s="124"/>
      <c r="J555" s="354"/>
      <c r="K555" s="354">
        <f t="shared" ref="K555:N555" si="40">SUMIF($C$28:$C$275,$C555,K$28:K$275)-K427-K491</f>
        <v>0</v>
      </c>
      <c r="L555" s="354">
        <f t="shared" si="40"/>
        <v>0</v>
      </c>
      <c r="M555" s="354">
        <f t="shared" si="40"/>
        <v>0</v>
      </c>
      <c r="N555" s="354">
        <f t="shared" si="40"/>
        <v>0</v>
      </c>
    </row>
    <row r="556" spans="1:14" s="430" customFormat="1" ht="12.75" x14ac:dyDescent="0.2">
      <c r="A556" s="232"/>
      <c r="B556" s="108"/>
      <c r="C556" s="85" t="s">
        <v>136</v>
      </c>
      <c r="D556" s="124" t="s">
        <v>755</v>
      </c>
      <c r="E556" s="124"/>
      <c r="F556" s="124"/>
      <c r="G556" s="124"/>
      <c r="H556" s="124"/>
      <c r="I556" s="124"/>
      <c r="J556" s="354"/>
      <c r="K556" s="354">
        <f t="shared" ref="K556:N556" si="41">SUMIF($C$28:$C$275,$C556,K$28:K$275)-K428-K492</f>
        <v>0</v>
      </c>
      <c r="L556" s="354">
        <f t="shared" si="41"/>
        <v>0</v>
      </c>
      <c r="M556" s="354">
        <f t="shared" si="41"/>
        <v>0</v>
      </c>
      <c r="N556" s="354">
        <f t="shared" si="41"/>
        <v>0</v>
      </c>
    </row>
    <row r="557" spans="1:14" s="430" customFormat="1" ht="12.75" x14ac:dyDescent="0.2">
      <c r="A557" s="232"/>
      <c r="B557" s="108"/>
      <c r="C557" s="85" t="s">
        <v>134</v>
      </c>
      <c r="D557" s="124" t="s">
        <v>755</v>
      </c>
      <c r="E557" s="124"/>
      <c r="F557" s="124"/>
      <c r="G557" s="124"/>
      <c r="H557" s="124"/>
      <c r="I557" s="124"/>
      <c r="J557" s="354"/>
      <c r="K557" s="354">
        <f t="shared" ref="K557:N557" si="42">SUMIF($C$28:$C$275,$C557,K$28:K$275)-K429-K493</f>
        <v>0</v>
      </c>
      <c r="L557" s="354">
        <f t="shared" si="42"/>
        <v>0</v>
      </c>
      <c r="M557" s="354">
        <f t="shared" si="42"/>
        <v>0</v>
      </c>
      <c r="N557" s="354">
        <f t="shared" si="42"/>
        <v>0</v>
      </c>
    </row>
    <row r="558" spans="1:14" s="430" customFormat="1" ht="12.75" x14ac:dyDescent="0.2">
      <c r="A558" s="232"/>
      <c r="B558" s="108"/>
      <c r="C558" s="85" t="s">
        <v>131</v>
      </c>
      <c r="D558" s="124" t="s">
        <v>755</v>
      </c>
      <c r="E558" s="124"/>
      <c r="F558" s="124"/>
      <c r="G558" s="124"/>
      <c r="H558" s="124"/>
      <c r="I558" s="124"/>
      <c r="J558" s="354"/>
      <c r="K558" s="354">
        <f t="shared" ref="K558:N558" si="43">SUMIF($C$28:$C$275,$C558,K$28:K$275)-K430-K494</f>
        <v>0</v>
      </c>
      <c r="L558" s="354">
        <f t="shared" si="43"/>
        <v>0</v>
      </c>
      <c r="M558" s="354">
        <f t="shared" si="43"/>
        <v>0</v>
      </c>
      <c r="N558" s="354">
        <f t="shared" si="43"/>
        <v>0</v>
      </c>
    </row>
    <row r="559" spans="1:14" s="430" customFormat="1" ht="12.75" x14ac:dyDescent="0.2">
      <c r="A559" s="232"/>
      <c r="B559" s="108"/>
      <c r="C559" s="85" t="s">
        <v>137</v>
      </c>
      <c r="D559" s="124" t="s">
        <v>755</v>
      </c>
      <c r="E559" s="124"/>
      <c r="F559" s="124"/>
      <c r="G559" s="124"/>
      <c r="H559" s="124"/>
      <c r="I559" s="124"/>
      <c r="J559" s="354"/>
      <c r="K559" s="354">
        <f t="shared" ref="K559:N559" si="44">SUMIF($C$28:$C$275,$C559,K$28:K$275)-K431-K495</f>
        <v>0</v>
      </c>
      <c r="L559" s="354">
        <f t="shared" si="44"/>
        <v>0</v>
      </c>
      <c r="M559" s="354">
        <f t="shared" si="44"/>
        <v>0</v>
      </c>
      <c r="N559" s="354">
        <f t="shared" si="44"/>
        <v>0</v>
      </c>
    </row>
    <row r="560" spans="1:14" s="430" customFormat="1" ht="12.75" x14ac:dyDescent="0.2">
      <c r="A560" s="232"/>
      <c r="B560" s="108"/>
      <c r="C560" s="85" t="s">
        <v>132</v>
      </c>
      <c r="D560" s="124" t="s">
        <v>755</v>
      </c>
      <c r="E560" s="124"/>
      <c r="F560" s="124"/>
      <c r="G560" s="124"/>
      <c r="H560" s="124"/>
      <c r="I560" s="124"/>
      <c r="J560" s="354"/>
      <c r="K560" s="354">
        <f t="shared" ref="K560:N560" si="45">SUMIF($C$28:$C$275,$C560,K$28:K$275)-K432-K496</f>
        <v>0</v>
      </c>
      <c r="L560" s="354">
        <f t="shared" si="45"/>
        <v>0</v>
      </c>
      <c r="M560" s="354">
        <f t="shared" si="45"/>
        <v>0</v>
      </c>
      <c r="N560" s="354">
        <f t="shared" si="45"/>
        <v>0</v>
      </c>
    </row>
    <row r="561" spans="1:14" s="430" customFormat="1" ht="12.75" x14ac:dyDescent="0.2">
      <c r="A561" s="232"/>
      <c r="B561" s="108"/>
      <c r="C561" s="85" t="s">
        <v>160</v>
      </c>
      <c r="D561" s="124" t="s">
        <v>755</v>
      </c>
      <c r="E561" s="124"/>
      <c r="F561" s="124"/>
      <c r="G561" s="124"/>
      <c r="H561" s="124"/>
      <c r="I561" s="124"/>
      <c r="J561" s="354"/>
      <c r="K561" s="354">
        <f t="shared" ref="K561:N561" si="46">SUMIF($C$28:$C$275,$C561,K$28:K$275)-K433-K497</f>
        <v>0</v>
      </c>
      <c r="L561" s="354">
        <f t="shared" si="46"/>
        <v>0</v>
      </c>
      <c r="M561" s="354">
        <f t="shared" si="46"/>
        <v>0</v>
      </c>
      <c r="N561" s="354">
        <f t="shared" si="46"/>
        <v>0</v>
      </c>
    </row>
    <row r="562" spans="1:14" s="430" customFormat="1" ht="12.75" x14ac:dyDescent="0.2">
      <c r="A562" s="232"/>
      <c r="B562" s="108"/>
      <c r="C562" s="85" t="s">
        <v>135</v>
      </c>
      <c r="D562" s="124" t="s">
        <v>755</v>
      </c>
      <c r="E562" s="124"/>
      <c r="F562" s="124"/>
      <c r="G562" s="124"/>
      <c r="H562" s="124"/>
      <c r="I562" s="124"/>
      <c r="J562" s="354"/>
      <c r="K562" s="354">
        <f t="shared" ref="K562:N562" si="47">SUMIF($C$28:$C$275,$C562,K$28:K$275)-K434-K498</f>
        <v>0</v>
      </c>
      <c r="L562" s="354">
        <f t="shared" si="47"/>
        <v>0</v>
      </c>
      <c r="M562" s="354">
        <f t="shared" si="47"/>
        <v>0</v>
      </c>
      <c r="N562" s="354">
        <f t="shared" si="47"/>
        <v>0</v>
      </c>
    </row>
    <row r="563" spans="1:14" s="430" customFormat="1" ht="12.75" x14ac:dyDescent="0.2">
      <c r="A563" s="232"/>
      <c r="B563" s="108"/>
      <c r="C563" s="85" t="s">
        <v>114</v>
      </c>
      <c r="D563" s="124" t="s">
        <v>755</v>
      </c>
      <c r="E563" s="124"/>
      <c r="F563" s="124"/>
      <c r="G563" s="124"/>
      <c r="H563" s="124"/>
      <c r="I563" s="124"/>
      <c r="J563" s="354"/>
      <c r="K563" s="354">
        <f t="shared" ref="K563:N563" si="48">SUMIF($C$28:$C$275,$C563,K$28:K$275)-K435-K499</f>
        <v>0</v>
      </c>
      <c r="L563" s="354">
        <f t="shared" si="48"/>
        <v>3074</v>
      </c>
      <c r="M563" s="354">
        <f t="shared" si="48"/>
        <v>0</v>
      </c>
      <c r="N563" s="354">
        <f t="shared" si="48"/>
        <v>3500</v>
      </c>
    </row>
    <row r="564" spans="1:14" s="430" customFormat="1" ht="12.75" x14ac:dyDescent="0.2">
      <c r="A564" s="232"/>
      <c r="B564" s="108"/>
      <c r="C564" s="85" t="s">
        <v>140</v>
      </c>
      <c r="D564" s="124" t="s">
        <v>755</v>
      </c>
      <c r="E564" s="124"/>
      <c r="F564" s="124"/>
      <c r="G564" s="124"/>
      <c r="H564" s="124"/>
      <c r="I564" s="124"/>
      <c r="J564" s="354"/>
      <c r="K564" s="354">
        <f t="shared" ref="K564:N564" si="49">SUMIF($C$28:$C$275,$C564,K$28:K$275)-K436-K500</f>
        <v>0</v>
      </c>
      <c r="L564" s="354">
        <f t="shared" si="49"/>
        <v>0</v>
      </c>
      <c r="M564" s="354">
        <f t="shared" si="49"/>
        <v>0</v>
      </c>
      <c r="N564" s="354">
        <f t="shared" si="49"/>
        <v>0</v>
      </c>
    </row>
    <row r="565" spans="1:14" s="430" customFormat="1" ht="12.75" x14ac:dyDescent="0.2">
      <c r="A565" s="232"/>
      <c r="B565" s="108"/>
      <c r="C565" s="85" t="s">
        <v>166</v>
      </c>
      <c r="D565" s="124" t="s">
        <v>755</v>
      </c>
      <c r="E565" s="124"/>
      <c r="F565" s="124"/>
      <c r="G565" s="124"/>
      <c r="H565" s="124"/>
      <c r="I565" s="124"/>
      <c r="J565" s="354"/>
      <c r="K565" s="354">
        <f t="shared" ref="K565:N565" si="50">SUMIF($C$28:$C$275,$C565,K$28:K$275)-K437-K501</f>
        <v>0</v>
      </c>
      <c r="L565" s="354">
        <f t="shared" si="50"/>
        <v>0</v>
      </c>
      <c r="M565" s="354">
        <f t="shared" si="50"/>
        <v>0</v>
      </c>
      <c r="N565" s="354">
        <f t="shared" si="50"/>
        <v>0</v>
      </c>
    </row>
    <row r="566" spans="1:14" s="430" customFormat="1" ht="12.75" x14ac:dyDescent="0.2">
      <c r="A566" s="232"/>
      <c r="B566" s="108"/>
      <c r="C566" s="85" t="s">
        <v>63</v>
      </c>
      <c r="D566" s="124" t="s">
        <v>755</v>
      </c>
      <c r="E566" s="124"/>
      <c r="F566" s="124"/>
      <c r="G566" s="124"/>
      <c r="H566" s="124"/>
      <c r="I566" s="124"/>
      <c r="J566" s="354"/>
      <c r="K566" s="354">
        <f t="shared" ref="K566:N566" si="51">SUMIF($C$28:$C$275,$C566,K$28:K$275)-K438-K502</f>
        <v>0</v>
      </c>
      <c r="L566" s="354">
        <f t="shared" si="51"/>
        <v>0</v>
      </c>
      <c r="M566" s="354">
        <f t="shared" si="51"/>
        <v>0</v>
      </c>
      <c r="N566" s="354">
        <f t="shared" si="51"/>
        <v>0</v>
      </c>
    </row>
    <row r="567" spans="1:14" s="430" customFormat="1" ht="12.75" x14ac:dyDescent="0.2">
      <c r="A567" s="232"/>
      <c r="B567" s="108"/>
      <c r="C567" s="85" t="s">
        <v>64</v>
      </c>
      <c r="D567" s="124" t="s">
        <v>755</v>
      </c>
      <c r="E567" s="124"/>
      <c r="F567" s="124"/>
      <c r="G567" s="124"/>
      <c r="H567" s="124"/>
      <c r="I567" s="124"/>
      <c r="J567" s="354"/>
      <c r="K567" s="354">
        <f t="shared" ref="K567:N567" si="52">SUMIF($C$28:$C$275,$C567,K$28:K$275)-K439-K503</f>
        <v>0</v>
      </c>
      <c r="L567" s="354">
        <f t="shared" si="52"/>
        <v>0</v>
      </c>
      <c r="M567" s="354">
        <f t="shared" si="52"/>
        <v>0</v>
      </c>
      <c r="N567" s="354">
        <f t="shared" si="52"/>
        <v>0</v>
      </c>
    </row>
    <row r="568" spans="1:14" s="430" customFormat="1" ht="12.75" x14ac:dyDescent="0.2">
      <c r="A568" s="232"/>
      <c r="B568" s="108"/>
      <c r="C568" s="85" t="s">
        <v>796</v>
      </c>
      <c r="D568" s="124" t="s">
        <v>755</v>
      </c>
      <c r="E568" s="124"/>
      <c r="F568" s="124"/>
      <c r="G568" s="124"/>
      <c r="H568" s="124"/>
      <c r="I568" s="124"/>
      <c r="J568" s="354"/>
      <c r="K568" s="354">
        <f t="shared" ref="K568:N568" si="53">SUMIF($C$28:$C$275,$C568,K$28:K$275)-K440-K504</f>
        <v>0</v>
      </c>
      <c r="L568" s="354">
        <f t="shared" si="53"/>
        <v>0</v>
      </c>
      <c r="M568" s="354">
        <f t="shared" si="53"/>
        <v>0</v>
      </c>
      <c r="N568" s="354">
        <f t="shared" si="53"/>
        <v>0</v>
      </c>
    </row>
    <row r="569" spans="1:14" s="430" customFormat="1" ht="12.75" x14ac:dyDescent="0.2">
      <c r="A569" s="232"/>
      <c r="B569" s="108"/>
      <c r="C569" s="85" t="s">
        <v>145</v>
      </c>
      <c r="D569" s="124" t="s">
        <v>755</v>
      </c>
      <c r="E569" s="124"/>
      <c r="F569" s="124"/>
      <c r="G569" s="124"/>
      <c r="H569" s="124"/>
      <c r="I569" s="124"/>
      <c r="J569" s="354"/>
      <c r="K569" s="354">
        <f t="shared" ref="K569:N569" si="54">SUMIF($C$28:$C$275,$C569,K$28:K$275)-K441-K505</f>
        <v>0</v>
      </c>
      <c r="L569" s="354">
        <f t="shared" si="54"/>
        <v>0</v>
      </c>
      <c r="M569" s="354">
        <f t="shared" si="54"/>
        <v>0</v>
      </c>
      <c r="N569" s="354">
        <f t="shared" si="54"/>
        <v>0</v>
      </c>
    </row>
    <row r="570" spans="1:14" s="430" customFormat="1" ht="12.75" x14ac:dyDescent="0.2">
      <c r="A570" s="232"/>
      <c r="B570" s="108"/>
      <c r="C570" s="85" t="s">
        <v>159</v>
      </c>
      <c r="D570" s="124" t="s">
        <v>755</v>
      </c>
      <c r="E570" s="124"/>
      <c r="F570" s="124"/>
      <c r="G570" s="124"/>
      <c r="H570" s="124"/>
      <c r="I570" s="124"/>
      <c r="J570" s="354"/>
      <c r="K570" s="354">
        <f t="shared" ref="K570:N570" si="55">SUMIF($C$28:$C$275,$C570,K$28:K$275)-K442-K506</f>
        <v>750000</v>
      </c>
      <c r="L570" s="354">
        <f t="shared" si="55"/>
        <v>7706</v>
      </c>
      <c r="M570" s="354">
        <f t="shared" si="55"/>
        <v>14000</v>
      </c>
      <c r="N570" s="354">
        <f t="shared" si="55"/>
        <v>18300</v>
      </c>
    </row>
    <row r="571" spans="1:14" s="430" customFormat="1" ht="12.75" x14ac:dyDescent="0.2">
      <c r="A571" s="232"/>
      <c r="B571" s="108"/>
      <c r="C571" s="85" t="s">
        <v>147</v>
      </c>
      <c r="D571" s="124" t="s">
        <v>755</v>
      </c>
      <c r="E571" s="124"/>
      <c r="F571" s="124"/>
      <c r="G571" s="124"/>
      <c r="H571" s="124"/>
      <c r="I571" s="124"/>
      <c r="J571" s="354"/>
      <c r="K571" s="354">
        <f t="shared" ref="K571:N571" si="56">SUMIF($C$28:$C$275,$C571,K$28:K$275)-K443-K507</f>
        <v>0</v>
      </c>
      <c r="L571" s="354">
        <f t="shared" si="56"/>
        <v>0</v>
      </c>
      <c r="M571" s="354">
        <f t="shared" si="56"/>
        <v>0</v>
      </c>
      <c r="N571" s="354">
        <f t="shared" si="56"/>
        <v>0</v>
      </c>
    </row>
    <row r="572" spans="1:14" s="430" customFormat="1" ht="12.75" x14ac:dyDescent="0.2">
      <c r="A572" s="232"/>
      <c r="B572" s="108"/>
      <c r="C572" s="85" t="s">
        <v>150</v>
      </c>
      <c r="D572" s="124" t="s">
        <v>755</v>
      </c>
      <c r="E572" s="124"/>
      <c r="F572" s="124"/>
      <c r="G572" s="124"/>
      <c r="H572" s="124"/>
      <c r="I572" s="124"/>
      <c r="J572" s="354"/>
      <c r="K572" s="354">
        <f t="shared" ref="K572:N572" si="57">SUMIF($C$28:$C$275,$C572,K$28:K$275)-K444-K508</f>
        <v>0</v>
      </c>
      <c r="L572" s="354">
        <f t="shared" si="57"/>
        <v>0</v>
      </c>
      <c r="M572" s="354">
        <f t="shared" si="57"/>
        <v>0</v>
      </c>
      <c r="N572" s="354">
        <f t="shared" si="57"/>
        <v>0</v>
      </c>
    </row>
    <row r="573" spans="1:14" s="430" customFormat="1" ht="12.75" x14ac:dyDescent="0.2">
      <c r="A573" s="232"/>
      <c r="B573" s="108"/>
      <c r="C573" s="85" t="s">
        <v>151</v>
      </c>
      <c r="D573" s="124" t="s">
        <v>755</v>
      </c>
      <c r="E573" s="124"/>
      <c r="F573" s="124"/>
      <c r="G573" s="124"/>
      <c r="H573" s="124"/>
      <c r="I573" s="124"/>
      <c r="J573" s="354"/>
      <c r="K573" s="354">
        <f t="shared" ref="K573:N573" si="58">SUMIF($C$28:$C$275,$C573,K$28:K$275)-K445-K509</f>
        <v>0</v>
      </c>
      <c r="L573" s="354">
        <f t="shared" si="58"/>
        <v>0</v>
      </c>
      <c r="M573" s="354">
        <f t="shared" si="58"/>
        <v>0</v>
      </c>
      <c r="N573" s="354">
        <f t="shared" si="58"/>
        <v>0</v>
      </c>
    </row>
    <row r="574" spans="1:14" s="430" customFormat="1" ht="12.75" x14ac:dyDescent="0.2">
      <c r="A574" s="232"/>
      <c r="B574" s="108"/>
      <c r="C574" s="85" t="s">
        <v>154</v>
      </c>
      <c r="D574" s="124" t="s">
        <v>755</v>
      </c>
      <c r="E574" s="124"/>
      <c r="F574" s="124"/>
      <c r="G574" s="124"/>
      <c r="H574" s="124"/>
      <c r="I574" s="124"/>
      <c r="J574" s="354"/>
      <c r="K574" s="354">
        <f t="shared" ref="K574:N574" si="59">SUMIF($C$28:$C$275,$C574,K$28:K$275)-K446-K510</f>
        <v>0</v>
      </c>
      <c r="L574" s="354">
        <f t="shared" si="59"/>
        <v>0</v>
      </c>
      <c r="M574" s="354">
        <f t="shared" si="59"/>
        <v>0</v>
      </c>
      <c r="N574" s="354">
        <f t="shared" si="59"/>
        <v>0</v>
      </c>
    </row>
    <row r="575" spans="1:14" s="430" customFormat="1" ht="12.75" x14ac:dyDescent="0.2">
      <c r="A575" s="232"/>
      <c r="B575" s="108"/>
      <c r="C575" s="85" t="s">
        <v>149</v>
      </c>
      <c r="D575" s="124" t="s">
        <v>755</v>
      </c>
      <c r="E575" s="124"/>
      <c r="F575" s="124"/>
      <c r="G575" s="124"/>
      <c r="H575" s="124"/>
      <c r="I575" s="124"/>
      <c r="J575" s="354"/>
      <c r="K575" s="354">
        <f t="shared" ref="K575:N575" si="60">SUMIF($C$28:$C$275,$C575,K$28:K$275)-K447-K511</f>
        <v>0</v>
      </c>
      <c r="L575" s="354">
        <f t="shared" si="60"/>
        <v>0</v>
      </c>
      <c r="M575" s="354">
        <f t="shared" si="60"/>
        <v>0</v>
      </c>
      <c r="N575" s="354">
        <f t="shared" si="60"/>
        <v>0</v>
      </c>
    </row>
    <row r="576" spans="1:14" s="430" customFormat="1" ht="12.75" x14ac:dyDescent="0.2">
      <c r="A576" s="232"/>
      <c r="B576" s="108"/>
      <c r="C576" s="85" t="s">
        <v>152</v>
      </c>
      <c r="D576" s="124" t="s">
        <v>755</v>
      </c>
      <c r="E576" s="124"/>
      <c r="F576" s="124"/>
      <c r="G576" s="124"/>
      <c r="H576" s="124"/>
      <c r="I576" s="124"/>
      <c r="J576" s="354"/>
      <c r="K576" s="354">
        <f t="shared" ref="K576:N576" si="61">SUMIF($C$28:$C$275,$C576,K$28:K$275)-K448-K512</f>
        <v>0</v>
      </c>
      <c r="L576" s="354">
        <f t="shared" si="61"/>
        <v>0</v>
      </c>
      <c r="M576" s="354">
        <f t="shared" si="61"/>
        <v>0</v>
      </c>
      <c r="N576" s="354">
        <f t="shared" si="61"/>
        <v>0</v>
      </c>
    </row>
    <row r="577" spans="1:14" s="430" customFormat="1" ht="12.75" x14ac:dyDescent="0.2">
      <c r="A577" s="232"/>
      <c r="B577" s="108"/>
      <c r="C577" s="85" t="s">
        <v>167</v>
      </c>
      <c r="D577" s="124" t="s">
        <v>755</v>
      </c>
      <c r="E577" s="124"/>
      <c r="F577" s="124"/>
      <c r="G577" s="124"/>
      <c r="H577" s="124"/>
      <c r="I577" s="124"/>
      <c r="J577" s="354"/>
      <c r="K577" s="354">
        <f t="shared" ref="K577:N577" si="62">SUMIF($C$28:$C$275,$C577,K$28:K$275)-K449-K513</f>
        <v>0</v>
      </c>
      <c r="L577" s="354">
        <f t="shared" si="62"/>
        <v>0</v>
      </c>
      <c r="M577" s="354">
        <f t="shared" si="62"/>
        <v>0</v>
      </c>
      <c r="N577" s="354">
        <f t="shared" si="62"/>
        <v>0</v>
      </c>
    </row>
    <row r="578" spans="1:14" s="430" customFormat="1" ht="12.75" x14ac:dyDescent="0.2">
      <c r="A578" s="232"/>
      <c r="B578" s="108"/>
      <c r="C578" s="85" t="s">
        <v>130</v>
      </c>
      <c r="D578" s="124" t="s">
        <v>755</v>
      </c>
      <c r="E578" s="124"/>
      <c r="F578" s="124"/>
      <c r="G578" s="124"/>
      <c r="H578" s="124"/>
      <c r="I578" s="124"/>
      <c r="J578" s="354"/>
      <c r="K578" s="354">
        <f t="shared" ref="K578:N578" si="63">SUMIF($C$28:$C$275,$C578,K$28:K$275)-K450-K514</f>
        <v>0</v>
      </c>
      <c r="L578" s="354">
        <f t="shared" si="63"/>
        <v>0</v>
      </c>
      <c r="M578" s="354">
        <f t="shared" si="63"/>
        <v>0</v>
      </c>
      <c r="N578" s="354">
        <f t="shared" si="63"/>
        <v>0</v>
      </c>
    </row>
    <row r="579" spans="1:14" s="430" customFormat="1" ht="12.75" x14ac:dyDescent="0.2">
      <c r="A579" s="232"/>
      <c r="B579" s="108"/>
      <c r="C579" s="85" t="s">
        <v>157</v>
      </c>
      <c r="D579" s="124" t="s">
        <v>755</v>
      </c>
      <c r="E579" s="124"/>
      <c r="F579" s="124"/>
      <c r="G579" s="124"/>
      <c r="H579" s="124"/>
      <c r="I579" s="124"/>
      <c r="J579" s="354"/>
      <c r="K579" s="354">
        <f t="shared" ref="K579:N579" si="64">SUMIF($C$28:$C$275,$C579,K$28:K$275)-K451-K515</f>
        <v>0</v>
      </c>
      <c r="L579" s="354">
        <f t="shared" si="64"/>
        <v>0</v>
      </c>
      <c r="M579" s="354">
        <f t="shared" si="64"/>
        <v>0</v>
      </c>
      <c r="N579" s="354">
        <f t="shared" si="64"/>
        <v>0</v>
      </c>
    </row>
    <row r="580" spans="1:14" s="430" customFormat="1" ht="12.75" x14ac:dyDescent="0.2">
      <c r="A580" s="232"/>
      <c r="B580" s="108"/>
      <c r="C580" s="85" t="s">
        <v>158</v>
      </c>
      <c r="D580" s="124" t="s">
        <v>755</v>
      </c>
      <c r="E580" s="124"/>
      <c r="F580" s="124"/>
      <c r="G580" s="124"/>
      <c r="H580" s="124"/>
      <c r="I580" s="124"/>
      <c r="J580" s="354"/>
      <c r="K580" s="354">
        <f t="shared" ref="K580:N580" si="65">SUMIF($C$28:$C$275,$C580,K$28:K$275)-K452-K516</f>
        <v>0</v>
      </c>
      <c r="L580" s="354">
        <f t="shared" si="65"/>
        <v>0</v>
      </c>
      <c r="M580" s="354">
        <f t="shared" si="65"/>
        <v>0</v>
      </c>
      <c r="N580" s="354">
        <f t="shared" si="65"/>
        <v>0</v>
      </c>
    </row>
    <row r="581" spans="1:14" s="430" customFormat="1" ht="12.75" x14ac:dyDescent="0.2">
      <c r="A581" s="232"/>
      <c r="B581" s="108"/>
      <c r="C581" s="85" t="s">
        <v>162</v>
      </c>
      <c r="D581" s="124" t="s">
        <v>755</v>
      </c>
      <c r="E581" s="124"/>
      <c r="F581" s="124"/>
      <c r="G581" s="124"/>
      <c r="H581" s="124"/>
      <c r="I581" s="124"/>
      <c r="J581" s="354"/>
      <c r="K581" s="354">
        <f t="shared" ref="K581:N581" si="66">SUMIF($C$28:$C$275,$C581,K$28:K$275)-K453-K517</f>
        <v>750000</v>
      </c>
      <c r="L581" s="354">
        <f t="shared" si="66"/>
        <v>0</v>
      </c>
      <c r="M581" s="354">
        <f t="shared" si="66"/>
        <v>0</v>
      </c>
      <c r="N581" s="354">
        <f t="shared" si="66"/>
        <v>8000</v>
      </c>
    </row>
    <row r="582" spans="1:14" s="430" customFormat="1" ht="12.75" x14ac:dyDescent="0.2">
      <c r="A582" s="232"/>
      <c r="B582" s="108"/>
      <c r="C582" s="85" t="s">
        <v>124</v>
      </c>
      <c r="D582" s="124" t="s">
        <v>755</v>
      </c>
      <c r="E582" s="124"/>
      <c r="F582" s="124"/>
      <c r="G582" s="124"/>
      <c r="H582" s="124"/>
      <c r="I582" s="124"/>
      <c r="J582" s="354"/>
      <c r="K582" s="354">
        <f t="shared" ref="K582:N582" si="67">SUMIF($C$28:$C$275,$C582,K$28:K$275)-K454-K518</f>
        <v>750000</v>
      </c>
      <c r="L582" s="354">
        <f t="shared" si="67"/>
        <v>15872</v>
      </c>
      <c r="M582" s="354">
        <f t="shared" si="67"/>
        <v>36000</v>
      </c>
      <c r="N582" s="354">
        <f t="shared" si="67"/>
        <v>118750</v>
      </c>
    </row>
    <row r="583" spans="1:14" s="430" customFormat="1" ht="12.75" x14ac:dyDescent="0.2">
      <c r="A583" s="232"/>
      <c r="B583" s="108"/>
      <c r="C583" s="85" t="s">
        <v>125</v>
      </c>
      <c r="D583" s="124" t="s">
        <v>755</v>
      </c>
      <c r="E583" s="124"/>
      <c r="F583" s="124"/>
      <c r="G583" s="124"/>
      <c r="H583" s="124"/>
      <c r="I583" s="124"/>
      <c r="J583" s="354"/>
      <c r="K583" s="354">
        <f t="shared" ref="K583:N583" si="68">SUMIF($C$28:$C$275,$C583,K$28:K$275)-K455-K519</f>
        <v>0</v>
      </c>
      <c r="L583" s="354">
        <f t="shared" si="68"/>
        <v>38000</v>
      </c>
      <c r="M583" s="354">
        <f t="shared" si="68"/>
        <v>52000</v>
      </c>
      <c r="N583" s="354">
        <f t="shared" si="68"/>
        <v>144000</v>
      </c>
    </row>
    <row r="584" spans="1:14" s="430" customFormat="1" ht="12.75" x14ac:dyDescent="0.2">
      <c r="A584" s="232"/>
      <c r="B584" s="108"/>
      <c r="C584" s="85" t="s">
        <v>156</v>
      </c>
      <c r="D584" s="124" t="s">
        <v>755</v>
      </c>
      <c r="E584" s="124"/>
      <c r="F584" s="124"/>
      <c r="G584" s="124"/>
      <c r="H584" s="124"/>
      <c r="I584" s="124"/>
      <c r="J584" s="354"/>
      <c r="K584" s="354">
        <f t="shared" ref="K584:N584" si="69">SUMIF($C$28:$C$275,$C584,K$28:K$275)-K456-K520</f>
        <v>0</v>
      </c>
      <c r="L584" s="354">
        <f t="shared" si="69"/>
        <v>0</v>
      </c>
      <c r="M584" s="354">
        <f t="shared" si="69"/>
        <v>0</v>
      </c>
      <c r="N584" s="354">
        <f t="shared" si="69"/>
        <v>0</v>
      </c>
    </row>
    <row r="585" spans="1:14" s="430" customFormat="1" ht="12.75" x14ac:dyDescent="0.2">
      <c r="A585" s="232"/>
      <c r="B585" s="108"/>
      <c r="C585" s="85" t="s">
        <v>144</v>
      </c>
      <c r="D585" s="124" t="s">
        <v>755</v>
      </c>
      <c r="E585" s="124"/>
      <c r="F585" s="124"/>
      <c r="G585" s="124"/>
      <c r="H585" s="124"/>
      <c r="I585" s="124"/>
      <c r="J585" s="354"/>
      <c r="K585" s="354">
        <f t="shared" ref="K585:N585" si="70">SUMIF($C$28:$C$275,$C585,K$28:K$275)-K457-K521</f>
        <v>0</v>
      </c>
      <c r="L585" s="354">
        <f t="shared" si="70"/>
        <v>0</v>
      </c>
      <c r="M585" s="354">
        <f t="shared" si="70"/>
        <v>0</v>
      </c>
      <c r="N585" s="354">
        <f t="shared" si="70"/>
        <v>0</v>
      </c>
    </row>
    <row r="586" spans="1:14" s="430" customFormat="1" ht="12.75" x14ac:dyDescent="0.2">
      <c r="A586" s="232"/>
      <c r="B586" s="108"/>
      <c r="C586" s="85" t="s">
        <v>155</v>
      </c>
      <c r="D586" s="124" t="s">
        <v>755</v>
      </c>
      <c r="E586" s="124"/>
      <c r="F586" s="124"/>
      <c r="G586" s="124"/>
      <c r="H586" s="124"/>
      <c r="I586" s="124"/>
      <c r="J586" s="354"/>
      <c r="K586" s="354">
        <f t="shared" ref="K586:N586" si="71">SUMIF($C$28:$C$275,$C586,K$28:K$275)-K458-K522</f>
        <v>0</v>
      </c>
      <c r="L586" s="354">
        <f t="shared" si="71"/>
        <v>0</v>
      </c>
      <c r="M586" s="354">
        <f t="shared" si="71"/>
        <v>0</v>
      </c>
      <c r="N586" s="354">
        <f t="shared" si="71"/>
        <v>0</v>
      </c>
    </row>
    <row r="587" spans="1:14" s="430" customFormat="1" ht="12.75" x14ac:dyDescent="0.2">
      <c r="A587" s="232"/>
      <c r="B587" s="108"/>
      <c r="C587" s="85" t="s">
        <v>1477</v>
      </c>
      <c r="D587" s="124" t="s">
        <v>755</v>
      </c>
      <c r="E587" s="124"/>
      <c r="F587" s="124"/>
      <c r="G587" s="124"/>
      <c r="H587" s="124"/>
      <c r="I587" s="124"/>
      <c r="J587" s="354"/>
      <c r="K587" s="354">
        <f t="shared" ref="K587:N587" si="72">SUMIF($C$28:$C$275,$C587,K$28:K$275)-K459-K523</f>
        <v>0</v>
      </c>
      <c r="L587" s="354">
        <f t="shared" si="72"/>
        <v>0</v>
      </c>
      <c r="M587" s="354">
        <f t="shared" si="72"/>
        <v>0</v>
      </c>
      <c r="N587" s="354">
        <f t="shared" si="72"/>
        <v>0</v>
      </c>
    </row>
    <row r="588" spans="1:14" s="430" customFormat="1" ht="12.75" x14ac:dyDescent="0.2">
      <c r="A588" s="232"/>
      <c r="B588" s="108"/>
      <c r="C588" s="85" t="s">
        <v>1478</v>
      </c>
      <c r="D588" s="124" t="s">
        <v>755</v>
      </c>
      <c r="E588" s="124"/>
      <c r="F588" s="124"/>
      <c r="G588" s="124"/>
      <c r="H588" s="124"/>
      <c r="I588" s="124"/>
      <c r="J588" s="354"/>
      <c r="K588" s="354">
        <f t="shared" ref="K588:N588" si="73">SUMIF($C$28:$C$275,$C588,K$28:K$275)-K460-K524</f>
        <v>0</v>
      </c>
      <c r="L588" s="354">
        <f t="shared" si="73"/>
        <v>55</v>
      </c>
      <c r="M588" s="354">
        <f t="shared" si="73"/>
        <v>0</v>
      </c>
      <c r="N588" s="354">
        <f t="shared" si="73"/>
        <v>100</v>
      </c>
    </row>
    <row r="589" spans="1:14" s="430" customFormat="1" ht="12.75" x14ac:dyDescent="0.2">
      <c r="A589" s="232"/>
      <c r="B589" s="108"/>
      <c r="C589" s="85" t="s">
        <v>115</v>
      </c>
      <c r="D589" s="124" t="s">
        <v>755</v>
      </c>
      <c r="E589" s="124"/>
      <c r="F589" s="124"/>
      <c r="G589" s="124"/>
      <c r="H589" s="124"/>
      <c r="I589" s="124"/>
      <c r="J589" s="354"/>
      <c r="K589" s="354">
        <f t="shared" ref="K589:N589" si="74">SUMIF($C$28:$C$275,$C589,K$28:K$275)-K461-K525</f>
        <v>0</v>
      </c>
      <c r="L589" s="354">
        <f t="shared" si="74"/>
        <v>0</v>
      </c>
      <c r="M589" s="354">
        <f t="shared" si="74"/>
        <v>0</v>
      </c>
      <c r="N589" s="354">
        <f t="shared" si="74"/>
        <v>0</v>
      </c>
    </row>
    <row r="590" spans="1:14" s="430" customFormat="1" ht="12.75" x14ac:dyDescent="0.2">
      <c r="A590" s="232"/>
      <c r="B590" s="108"/>
      <c r="C590" s="85" t="s">
        <v>65</v>
      </c>
      <c r="D590" s="124" t="s">
        <v>755</v>
      </c>
      <c r="E590" s="124"/>
      <c r="F590" s="124"/>
      <c r="G590" s="124"/>
      <c r="H590" s="124"/>
      <c r="I590" s="124"/>
      <c r="J590" s="354"/>
      <c r="K590" s="354">
        <f t="shared" ref="K590:N591" si="75">SUMIF($C$28:$C$275,$C590,K$28:K$275)-K462-K526</f>
        <v>0</v>
      </c>
      <c r="L590" s="354">
        <f t="shared" si="75"/>
        <v>0</v>
      </c>
      <c r="M590" s="354">
        <f t="shared" si="75"/>
        <v>0</v>
      </c>
      <c r="N590" s="354">
        <f t="shared" si="75"/>
        <v>0</v>
      </c>
    </row>
    <row r="591" spans="1:14" s="514" customFormat="1" ht="12.75" x14ac:dyDescent="0.2">
      <c r="A591" s="232"/>
      <c r="B591" s="108"/>
      <c r="C591" s="85" t="s">
        <v>1445</v>
      </c>
      <c r="D591" s="124" t="s">
        <v>755</v>
      </c>
      <c r="E591" s="124"/>
      <c r="F591" s="124"/>
      <c r="G591" s="124"/>
      <c r="H591" s="124"/>
      <c r="I591" s="124"/>
      <c r="J591" s="354"/>
      <c r="K591" s="354">
        <f t="shared" si="75"/>
        <v>0</v>
      </c>
      <c r="L591" s="354">
        <f t="shared" si="75"/>
        <v>0</v>
      </c>
      <c r="M591" s="354">
        <f t="shared" si="75"/>
        <v>0</v>
      </c>
      <c r="N591" s="354">
        <f t="shared" si="75"/>
        <v>0</v>
      </c>
    </row>
    <row r="592" spans="1:14" s="430" customFormat="1" ht="12.75" x14ac:dyDescent="0.2">
      <c r="A592" s="232"/>
      <c r="B592" s="108"/>
      <c r="C592" s="85" t="s">
        <v>116</v>
      </c>
      <c r="D592" s="124" t="s">
        <v>755</v>
      </c>
      <c r="E592" s="124"/>
      <c r="F592" s="124"/>
      <c r="G592" s="124"/>
      <c r="H592" s="124"/>
      <c r="I592" s="124"/>
      <c r="J592" s="354"/>
      <c r="K592" s="354">
        <f t="shared" ref="K592:N592" si="76">SUMIF($C$28:$C$275,$C592,K$28:K$275)-K464-K528</f>
        <v>311200</v>
      </c>
      <c r="L592" s="354">
        <f t="shared" si="76"/>
        <v>279585</v>
      </c>
      <c r="M592" s="354">
        <f t="shared" si="76"/>
        <v>64000</v>
      </c>
      <c r="N592" s="354">
        <f t="shared" si="76"/>
        <v>58400</v>
      </c>
    </row>
    <row r="593" spans="1:14" s="430" customFormat="1" ht="12.75" x14ac:dyDescent="0.2">
      <c r="A593" s="232"/>
      <c r="B593" s="108"/>
      <c r="C593" s="85" t="s">
        <v>117</v>
      </c>
      <c r="D593" s="124" t="s">
        <v>755</v>
      </c>
      <c r="E593" s="124"/>
      <c r="F593" s="124"/>
      <c r="G593" s="124"/>
      <c r="H593" s="124"/>
      <c r="I593" s="124"/>
      <c r="J593" s="354"/>
      <c r="K593" s="354">
        <f t="shared" ref="K593:N593" si="77">SUMIF($C$28:$C$275,$C593,K$28:K$275)-K465-K529</f>
        <v>0</v>
      </c>
      <c r="L593" s="354">
        <f t="shared" si="77"/>
        <v>579701.38</v>
      </c>
      <c r="M593" s="354">
        <f t="shared" si="77"/>
        <v>274939.18</v>
      </c>
      <c r="N593" s="354">
        <f t="shared" si="77"/>
        <v>342001.02</v>
      </c>
    </row>
    <row r="594" spans="1:14" s="430" customFormat="1" ht="12.75" x14ac:dyDescent="0.2">
      <c r="A594" s="232"/>
      <c r="B594" s="108"/>
      <c r="C594" s="85" t="s">
        <v>120</v>
      </c>
      <c r="D594" s="124" t="s">
        <v>755</v>
      </c>
      <c r="E594" s="124"/>
      <c r="F594" s="124"/>
      <c r="G594" s="124"/>
      <c r="H594" s="124"/>
      <c r="I594" s="124"/>
      <c r="J594" s="354"/>
      <c r="K594" s="354">
        <f t="shared" ref="K594:N594" si="78">SUMIF($C$28:$C$275,$C594,K$28:K$275)-K466-K530</f>
        <v>0</v>
      </c>
      <c r="L594" s="354">
        <f t="shared" si="78"/>
        <v>0</v>
      </c>
      <c r="M594" s="354">
        <f t="shared" si="78"/>
        <v>0</v>
      </c>
      <c r="N594" s="354">
        <f t="shared" si="78"/>
        <v>0</v>
      </c>
    </row>
    <row r="595" spans="1:14" s="430" customFormat="1" ht="12.75" x14ac:dyDescent="0.2">
      <c r="A595" s="232"/>
      <c r="B595" s="108"/>
      <c r="C595" s="85" t="s">
        <v>148</v>
      </c>
      <c r="D595" s="124" t="s">
        <v>755</v>
      </c>
      <c r="E595" s="124"/>
      <c r="F595" s="124"/>
      <c r="G595" s="124"/>
      <c r="H595" s="124"/>
      <c r="I595" s="124"/>
      <c r="J595" s="354"/>
      <c r="K595" s="354">
        <f t="shared" ref="K595:N595" si="79">SUMIF($C$28:$C$275,$C595,K$28:K$275)-K467-K531</f>
        <v>0</v>
      </c>
      <c r="L595" s="354">
        <f t="shared" si="79"/>
        <v>0</v>
      </c>
      <c r="M595" s="354">
        <f t="shared" si="79"/>
        <v>0</v>
      </c>
      <c r="N595" s="354">
        <f t="shared" si="79"/>
        <v>0</v>
      </c>
    </row>
    <row r="596" spans="1:14" s="430" customFormat="1" ht="12.75" x14ac:dyDescent="0.2">
      <c r="A596" s="232"/>
      <c r="B596" s="108"/>
      <c r="C596" s="85" t="s">
        <v>121</v>
      </c>
      <c r="D596" s="124" t="s">
        <v>755</v>
      </c>
      <c r="E596" s="124"/>
      <c r="F596" s="124"/>
      <c r="G596" s="124"/>
      <c r="H596" s="124"/>
      <c r="I596" s="124"/>
      <c r="J596" s="354"/>
      <c r="K596" s="354">
        <f t="shared" ref="K596:N596" si="80">SUMIF($C$28:$C$275,$C596,K$28:K$275)-K468-K532</f>
        <v>30000</v>
      </c>
      <c r="L596" s="354">
        <f t="shared" si="80"/>
        <v>59043.96</v>
      </c>
      <c r="M596" s="354">
        <f t="shared" si="80"/>
        <v>12530</v>
      </c>
      <c r="N596" s="354">
        <f t="shared" si="80"/>
        <v>30000</v>
      </c>
    </row>
    <row r="597" spans="1:14" s="430" customFormat="1" ht="12.75" x14ac:dyDescent="0.2">
      <c r="A597" s="232"/>
      <c r="B597" s="108"/>
      <c r="C597" s="85" t="s">
        <v>122</v>
      </c>
      <c r="D597" s="124" t="s">
        <v>755</v>
      </c>
      <c r="E597" s="124"/>
      <c r="F597" s="124"/>
      <c r="G597" s="124"/>
      <c r="H597" s="124"/>
      <c r="I597" s="124"/>
      <c r="J597" s="354"/>
      <c r="K597" s="354">
        <f t="shared" ref="K597:N598" si="81">SUMIF($C$28:$C$275,$C597,K$28:K$275)-K469-K533</f>
        <v>0</v>
      </c>
      <c r="L597" s="354">
        <f t="shared" si="81"/>
        <v>0</v>
      </c>
      <c r="M597" s="354">
        <f t="shared" si="81"/>
        <v>0</v>
      </c>
      <c r="N597" s="354">
        <f t="shared" si="81"/>
        <v>0</v>
      </c>
    </row>
    <row r="598" spans="1:14" s="514" customFormat="1" ht="12.75" x14ac:dyDescent="0.2">
      <c r="A598" s="232"/>
      <c r="B598" s="108"/>
      <c r="C598" s="85" t="s">
        <v>1459</v>
      </c>
      <c r="D598" s="124" t="s">
        <v>755</v>
      </c>
      <c r="E598" s="124"/>
      <c r="F598" s="124"/>
      <c r="G598" s="124"/>
      <c r="H598" s="124"/>
      <c r="I598" s="124"/>
      <c r="J598" s="354"/>
      <c r="K598" s="354">
        <f t="shared" si="81"/>
        <v>0</v>
      </c>
      <c r="L598" s="354">
        <f t="shared" si="81"/>
        <v>0</v>
      </c>
      <c r="M598" s="354">
        <f t="shared" si="81"/>
        <v>0</v>
      </c>
      <c r="N598" s="354">
        <f t="shared" si="81"/>
        <v>0</v>
      </c>
    </row>
    <row r="599" spans="1:14" s="430" customFormat="1" ht="12.75" x14ac:dyDescent="0.2">
      <c r="A599" s="232"/>
      <c r="B599" s="108"/>
      <c r="C599" s="85" t="s">
        <v>163</v>
      </c>
      <c r="D599" s="124" t="s">
        <v>755</v>
      </c>
      <c r="E599" s="124"/>
      <c r="F599" s="124"/>
      <c r="G599" s="124"/>
      <c r="H599" s="124"/>
      <c r="I599" s="124"/>
      <c r="J599" s="354"/>
      <c r="K599" s="354">
        <f t="shared" ref="K599:N599" si="82">SUMIF($C$28:$C$275,$C599,K$28:K$275)-K471-K535</f>
        <v>0</v>
      </c>
      <c r="L599" s="354">
        <f t="shared" si="82"/>
        <v>0</v>
      </c>
      <c r="M599" s="354">
        <f t="shared" si="82"/>
        <v>0</v>
      </c>
      <c r="N599" s="354">
        <f t="shared" si="82"/>
        <v>0</v>
      </c>
    </row>
    <row r="600" spans="1:14" s="430" customFormat="1" ht="12.75" x14ac:dyDescent="0.2">
      <c r="A600" s="232"/>
      <c r="B600" s="108"/>
      <c r="C600" s="85" t="s">
        <v>123</v>
      </c>
      <c r="D600" s="124" t="s">
        <v>755</v>
      </c>
      <c r="E600" s="124"/>
      <c r="F600" s="124"/>
      <c r="G600" s="124"/>
      <c r="H600" s="124"/>
      <c r="I600" s="124"/>
      <c r="J600" s="354"/>
      <c r="K600" s="354">
        <f t="shared" ref="K600:N600" si="83">SUMIF($C$28:$C$275,$C600,K$28:K$275)-K472-K536</f>
        <v>0</v>
      </c>
      <c r="L600" s="354">
        <f t="shared" si="83"/>
        <v>0</v>
      </c>
      <c r="M600" s="354">
        <f t="shared" si="83"/>
        <v>0</v>
      </c>
      <c r="N600" s="354">
        <f t="shared" si="83"/>
        <v>0</v>
      </c>
    </row>
    <row r="601" spans="1:14" s="430" customFormat="1" ht="12.75" x14ac:dyDescent="0.2">
      <c r="A601" s="232"/>
      <c r="B601" s="108"/>
      <c r="C601" s="85" t="s">
        <v>153</v>
      </c>
      <c r="D601" s="124" t="s">
        <v>755</v>
      </c>
      <c r="E601" s="124"/>
      <c r="F601" s="124"/>
      <c r="G601" s="124"/>
      <c r="H601" s="124"/>
      <c r="I601" s="124"/>
      <c r="J601" s="354"/>
      <c r="K601" s="354">
        <f t="shared" ref="K601:N601" si="84">SUMIF($C$28:$C$275,$C601,K$28:K$275)-K473-K537</f>
        <v>0</v>
      </c>
      <c r="L601" s="354">
        <f t="shared" si="84"/>
        <v>0</v>
      </c>
      <c r="M601" s="354">
        <f t="shared" si="84"/>
        <v>0</v>
      </c>
      <c r="N601" s="354">
        <f t="shared" si="84"/>
        <v>0</v>
      </c>
    </row>
    <row r="602" spans="1:14" s="430" customFormat="1" ht="12.75" x14ac:dyDescent="0.2">
      <c r="A602" s="232"/>
      <c r="B602" s="108"/>
      <c r="C602" s="85" t="s">
        <v>127</v>
      </c>
      <c r="D602" s="124" t="s">
        <v>755</v>
      </c>
      <c r="E602" s="124"/>
      <c r="F602" s="124"/>
      <c r="G602" s="124"/>
      <c r="H602" s="124"/>
      <c r="I602" s="124"/>
      <c r="J602" s="354"/>
      <c r="K602" s="354">
        <f t="shared" ref="K602:N602" si="85">SUMIF($C$28:$C$275,$C602,K$28:K$275)-K474-K538</f>
        <v>0</v>
      </c>
      <c r="L602" s="354">
        <f t="shared" si="85"/>
        <v>0</v>
      </c>
      <c r="M602" s="354">
        <f t="shared" si="85"/>
        <v>7500</v>
      </c>
      <c r="N602" s="354">
        <f t="shared" si="85"/>
        <v>8500</v>
      </c>
    </row>
    <row r="603" spans="1:14" s="430" customFormat="1" ht="12.75" x14ac:dyDescent="0.2">
      <c r="A603" s="232"/>
      <c r="B603" s="108"/>
      <c r="C603" s="85" t="s">
        <v>141</v>
      </c>
      <c r="D603" s="124" t="s">
        <v>755</v>
      </c>
      <c r="E603" s="124"/>
      <c r="F603" s="124"/>
      <c r="G603" s="124"/>
      <c r="H603" s="124"/>
      <c r="I603" s="124"/>
      <c r="J603" s="354"/>
      <c r="K603" s="354">
        <f t="shared" ref="K603:N603" si="86">SUMIF($C$28:$C$275,$C603,K$28:K$275)-K475-K539</f>
        <v>0</v>
      </c>
      <c r="L603" s="354">
        <f t="shared" si="86"/>
        <v>0</v>
      </c>
      <c r="M603" s="354">
        <f t="shared" si="86"/>
        <v>0</v>
      </c>
      <c r="N603" s="354">
        <f t="shared" si="86"/>
        <v>0</v>
      </c>
    </row>
    <row r="604" spans="1:14" s="430" customFormat="1" ht="12.75" x14ac:dyDescent="0.2">
      <c r="A604" s="232"/>
      <c r="B604" s="108"/>
      <c r="C604" s="85" t="s">
        <v>66</v>
      </c>
      <c r="D604" s="124" t="s">
        <v>755</v>
      </c>
      <c r="E604" s="124"/>
      <c r="F604" s="124"/>
      <c r="G604" s="124"/>
      <c r="H604" s="124"/>
      <c r="I604" s="124"/>
      <c r="J604" s="354"/>
      <c r="K604" s="354">
        <f t="shared" ref="K604:N604" si="87">SUMIF($C$28:$C$275,$C604,K$28:K$275)-K476-K540</f>
        <v>0</v>
      </c>
      <c r="L604" s="354">
        <f t="shared" si="87"/>
        <v>0</v>
      </c>
      <c r="M604" s="354">
        <f t="shared" si="87"/>
        <v>0</v>
      </c>
      <c r="N604" s="354">
        <f t="shared" si="87"/>
        <v>0</v>
      </c>
    </row>
    <row r="605" spans="1:14" s="430" customFormat="1" ht="12.75" x14ac:dyDescent="0.2">
      <c r="A605" s="232"/>
      <c r="B605" s="108"/>
      <c r="C605" s="85" t="s">
        <v>128</v>
      </c>
      <c r="D605" s="124" t="s">
        <v>755</v>
      </c>
      <c r="E605" s="124"/>
      <c r="F605" s="124"/>
      <c r="G605" s="124"/>
      <c r="H605" s="124"/>
      <c r="I605" s="124"/>
      <c r="J605" s="354"/>
      <c r="K605" s="354">
        <f t="shared" ref="K605:N605" si="88">SUMIF($C$28:$C$275,$C605,K$28:K$275)-K477-K541</f>
        <v>479475.5</v>
      </c>
      <c r="L605" s="354">
        <f t="shared" si="88"/>
        <v>112607.79</v>
      </c>
      <c r="M605" s="354">
        <f t="shared" si="88"/>
        <v>25700</v>
      </c>
      <c r="N605" s="354">
        <f t="shared" si="88"/>
        <v>48500</v>
      </c>
    </row>
    <row r="606" spans="1:14" s="430" customFormat="1" ht="12.75" x14ac:dyDescent="0.2">
      <c r="A606" s="232"/>
      <c r="B606" s="108"/>
      <c r="C606" s="85" t="s">
        <v>126</v>
      </c>
      <c r="D606" s="124" t="s">
        <v>755</v>
      </c>
      <c r="E606" s="124"/>
      <c r="F606" s="124"/>
      <c r="G606" s="124"/>
      <c r="H606" s="124"/>
      <c r="I606" s="124"/>
      <c r="J606" s="354"/>
      <c r="K606" s="354">
        <f t="shared" ref="K606:N606" si="89">SUMIF($C$28:$C$275,$C606,K$28:K$275)-K478-K542</f>
        <v>0</v>
      </c>
      <c r="L606" s="354">
        <f t="shared" si="89"/>
        <v>0</v>
      </c>
      <c r="M606" s="354">
        <f t="shared" si="89"/>
        <v>0</v>
      </c>
      <c r="N606" s="354">
        <f t="shared" si="89"/>
        <v>0</v>
      </c>
    </row>
    <row r="607" spans="1:14" s="430" customFormat="1" ht="12.75" x14ac:dyDescent="0.2">
      <c r="A607" s="232"/>
      <c r="B607" s="108"/>
      <c r="C607" s="85" t="s">
        <v>129</v>
      </c>
      <c r="D607" s="124" t="s">
        <v>755</v>
      </c>
      <c r="E607" s="124"/>
      <c r="F607" s="124"/>
      <c r="G607" s="124"/>
      <c r="H607" s="124"/>
      <c r="I607" s="124"/>
      <c r="J607" s="354"/>
      <c r="K607" s="354">
        <f t="shared" ref="K607:N607" si="90">SUMIF($C$28:$C$275,$C607,K$28:K$275)-K479-K543</f>
        <v>286088</v>
      </c>
      <c r="L607" s="354">
        <f t="shared" si="90"/>
        <v>42651.63</v>
      </c>
      <c r="M607" s="354">
        <f t="shared" si="90"/>
        <v>45530</v>
      </c>
      <c r="N607" s="354">
        <f t="shared" si="90"/>
        <v>45650</v>
      </c>
    </row>
    <row r="608" spans="1:14" s="430" customFormat="1" ht="12.75" x14ac:dyDescent="0.2">
      <c r="A608" s="232"/>
      <c r="B608" s="108"/>
      <c r="C608" s="85" t="s">
        <v>692</v>
      </c>
      <c r="D608" s="124" t="s">
        <v>755</v>
      </c>
      <c r="E608" s="124"/>
      <c r="F608" s="124"/>
      <c r="G608" s="124"/>
      <c r="H608" s="124"/>
      <c r="I608" s="124"/>
      <c r="J608" s="354"/>
      <c r="K608" s="354">
        <f t="shared" ref="K608:N608" si="91">SUMIF($C$28:$C$275,$C608,K$28:K$275)-K480-K544</f>
        <v>4380654.6500000004</v>
      </c>
      <c r="L608" s="354">
        <f t="shared" si="91"/>
        <v>2028048.5699999998</v>
      </c>
      <c r="M608" s="354">
        <f t="shared" si="91"/>
        <v>400837.75</v>
      </c>
      <c r="N608" s="354">
        <f t="shared" si="91"/>
        <v>429958</v>
      </c>
    </row>
    <row r="609" spans="1:14" s="430" customFormat="1" ht="12.75" x14ac:dyDescent="0.2">
      <c r="A609" s="232"/>
      <c r="B609" s="108"/>
      <c r="C609" s="85" t="s">
        <v>472</v>
      </c>
      <c r="D609" s="124" t="s">
        <v>755</v>
      </c>
      <c r="E609" s="124"/>
      <c r="F609" s="124"/>
      <c r="G609" s="124"/>
      <c r="H609" s="124"/>
      <c r="I609" s="124"/>
      <c r="J609" s="354"/>
      <c r="K609" s="354">
        <f t="shared" ref="K609:N609" si="92">SUMIF($C$28:$C$275,$C609,K$28:K$275)-K481-K545</f>
        <v>243588</v>
      </c>
      <c r="L609" s="354">
        <f t="shared" si="92"/>
        <v>56915.63</v>
      </c>
      <c r="M609" s="354">
        <f t="shared" si="92"/>
        <v>20000</v>
      </c>
      <c r="N609" s="354">
        <f t="shared" si="92"/>
        <v>22000</v>
      </c>
    </row>
    <row r="610" spans="1:14" s="430" customFormat="1" ht="12.75" x14ac:dyDescent="0.2">
      <c r="A610" s="232"/>
      <c r="B610" s="108"/>
      <c r="C610" s="85" t="s">
        <v>143</v>
      </c>
      <c r="D610" s="124" t="s">
        <v>755</v>
      </c>
      <c r="E610" s="124"/>
      <c r="F610" s="124"/>
      <c r="G610" s="124"/>
      <c r="H610" s="124"/>
      <c r="I610" s="124"/>
      <c r="J610" s="354"/>
      <c r="K610" s="354">
        <f t="shared" ref="K610:N610" si="93">SUMIF($C$28:$C$275,$C610,K$28:K$275)-K482-K546</f>
        <v>433122.04</v>
      </c>
      <c r="L610" s="354">
        <f t="shared" si="93"/>
        <v>363255.28</v>
      </c>
      <c r="M610" s="354">
        <f t="shared" si="93"/>
        <v>95000</v>
      </c>
      <c r="N610" s="354">
        <f t="shared" si="93"/>
        <v>69500</v>
      </c>
    </row>
    <row r="611" spans="1:14" s="430" customFormat="1" ht="12.75" x14ac:dyDescent="0.2">
      <c r="A611" s="232"/>
      <c r="B611" s="108"/>
      <c r="C611" s="85" t="s">
        <v>146</v>
      </c>
      <c r="D611" s="124" t="s">
        <v>755</v>
      </c>
      <c r="E611" s="124"/>
      <c r="F611" s="124"/>
      <c r="G611" s="124"/>
      <c r="H611" s="124"/>
      <c r="I611" s="124"/>
      <c r="J611" s="354"/>
      <c r="K611" s="354">
        <f t="shared" ref="K611:N611" si="94">SUMIF($C$28:$C$275,$C611,K$28:K$275)-K483-K547</f>
        <v>0</v>
      </c>
      <c r="L611" s="354">
        <f t="shared" si="94"/>
        <v>0</v>
      </c>
      <c r="M611" s="354">
        <f t="shared" si="94"/>
        <v>0</v>
      </c>
      <c r="N611" s="354">
        <f t="shared" si="94"/>
        <v>0</v>
      </c>
    </row>
    <row r="612" spans="1:14" s="430" customFormat="1" ht="13.5" thickBot="1" x14ac:dyDescent="0.25">
      <c r="A612" s="325"/>
      <c r="B612" s="225"/>
      <c r="C612" s="443"/>
      <c r="D612" s="227"/>
      <c r="E612" s="227"/>
      <c r="F612" s="227"/>
      <c r="G612" s="227"/>
      <c r="H612" s="227"/>
      <c r="I612" s="227"/>
      <c r="J612" s="327"/>
      <c r="K612" s="327"/>
      <c r="L612" s="327"/>
      <c r="M612" s="327"/>
      <c r="N612" s="327"/>
    </row>
    <row r="613" spans="1:14" s="430" customFormat="1" ht="13.5" thickBot="1" x14ac:dyDescent="0.25">
      <c r="A613" s="448"/>
      <c r="B613" s="449"/>
      <c r="C613" s="449"/>
      <c r="D613" s="450"/>
      <c r="E613" s="450"/>
      <c r="F613" s="450"/>
      <c r="G613" s="450"/>
      <c r="H613" s="450"/>
      <c r="I613" s="450"/>
      <c r="J613" s="451"/>
      <c r="K613" s="451">
        <f>K276-SUM(K420:K611)</f>
        <v>0</v>
      </c>
      <c r="L613" s="451">
        <f t="shared" ref="L613:N613" si="95">L276-SUM(L420:L611)</f>
        <v>0</v>
      </c>
      <c r="M613" s="451">
        <f t="shared" si="95"/>
        <v>0</v>
      </c>
      <c r="N613" s="451">
        <f t="shared" si="95"/>
        <v>0</v>
      </c>
    </row>
  </sheetData>
  <autoFilter ref="A27:N384"/>
  <sortState ref="A28:N97">
    <sortCondition ref="B28:B97"/>
    <sortCondition ref="C28:C97"/>
  </sortState>
  <dataValidations count="10">
    <dataValidation type="list" allowBlank="1" showInputMessage="1" showErrorMessage="1" errorTitle="Error" error="You must select a contract type from the list." promptTitle="Contract Type" prompt="Select the type of contract from the list." sqref="D28:D275">
      <formula1>Contract</formula1>
    </dataValidation>
    <dataValidation type="list" allowBlank="1" showInputMessage="1" showErrorMessage="1" errorTitle="Error" error="You must choose a funding source from the list." promptTitle="Funding Source" prompt="Choose the appropriate funding source." sqref="C28:C126">
      <formula1>Funding</formula1>
    </dataValidation>
    <dataValidation type="list" allowBlank="1" showInputMessage="1" showErrorMessage="1" errorTitle="Error" error="You must choose Yes or No." promptTitle="Existing Contract" prompt="Yes or No" sqref="I276">
      <formula1>Existing</formula1>
    </dataValidation>
    <dataValidation allowBlank="1" showInputMessage="1" showErrorMessage="1" promptTitle="Contract Start Date" prompt="Enter the Contract Start Date." sqref="G276 I28:I275"/>
    <dataValidation allowBlank="1" showInputMessage="1" showErrorMessage="1" promptTitle="Contract End Date" prompt="Enter the Contract End Date" sqref="H276 J28:J275"/>
    <dataValidation allowBlank="1" showInputMessage="1" showErrorMessage="1" promptTitle="Contractor/Provider" prompt="Enter the old contractor's name if applicable." sqref="G28:G275"/>
    <dataValidation allowBlank="1" showInputMessage="1" showErrorMessage="1" promptTitle="Description/Purpose" prompt="Enter a short description and purpose for the service." sqref="E28:E275"/>
    <dataValidation allowBlank="1" showInputMessage="1" showErrorMessage="1" promptTitle="Old Contractor" prompt="Enter the old contractor's name if applicable." sqref="D276"/>
    <dataValidation type="list" errorStyle="warning" allowBlank="1" showInputMessage="1" showErrorMessage="1" errorTitle="Warning" error="Choose the appropriate option." promptTitle="Existing/State Contract" prompt="Select the most appropriate answer. If there is an existing LHC contract, enter the contract number (see Sharepoint)." sqref="F28:F275">
      <formula1>ContractStatus</formula1>
    </dataValidation>
    <dataValidation type="list" allowBlank="1" showInputMessage="1" showErrorMessage="1" errorTitle="Error" error="You must choose a budget unit from the list." promptTitle="Budget Unit" prompt="Choose the appropriate budget unit. Env Review has been combined with Compliance and Facilities/Fleet has been combined with Operations Admin." sqref="B28:B275">
      <formula1>Budgets</formula1>
    </dataValidation>
  </dataValidations>
  <pageMargins left="0.25" right="0.25" top="1" bottom="0.5" header="0.5" footer="0.5"/>
  <pageSetup scale="55"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48"/>
  <sheetViews>
    <sheetView zoomScale="75" zoomScaleNormal="75" workbookViewId="0">
      <pane xSplit="3" ySplit="27" topLeftCell="F90" activePane="bottomRight" state="frozen"/>
      <selection activeCell="F24" sqref="F24"/>
      <selection pane="topRight" activeCell="F24" sqref="F24"/>
      <selection pane="bottomLeft" activeCell="F24" sqref="F24"/>
      <selection pane="bottomRight" activeCell="J96" sqref="J96"/>
    </sheetView>
  </sheetViews>
  <sheetFormatPr defaultRowHeight="15" x14ac:dyDescent="0.25"/>
  <cols>
    <col min="1" max="1" width="9.7109375" style="4" customWidth="1"/>
    <col min="2" max="2" width="17.140625" style="3" customWidth="1"/>
    <col min="3" max="3" width="29.42578125" style="3" customWidth="1"/>
    <col min="4" max="4" width="46.5703125" style="4" customWidth="1"/>
    <col min="5" max="5" width="21.28515625" style="4" customWidth="1"/>
    <col min="6" max="6" width="35.5703125" style="4" customWidth="1"/>
    <col min="7" max="7" width="33.28515625" style="4" customWidth="1"/>
    <col min="8" max="8" width="11.28515625" style="4" customWidth="1"/>
    <col min="9" max="9" width="11.85546875" style="4" customWidth="1"/>
    <col min="10" max="10" width="27" style="4" customWidth="1"/>
    <col min="11" max="11" width="15.28515625" style="4" customWidth="1"/>
    <col min="12" max="12" width="13" style="4" customWidth="1"/>
    <col min="13" max="13" width="13.28515625" style="4" customWidth="1"/>
    <col min="14" max="14" width="14.85546875" style="4" customWidth="1"/>
    <col min="15" max="20" width="9.140625" style="4" customWidth="1"/>
    <col min="21" max="16384" width="9.140625" style="4"/>
  </cols>
  <sheetData>
    <row r="1" spans="1:14" ht="18.75" x14ac:dyDescent="0.3">
      <c r="B1" s="27" t="s">
        <v>736</v>
      </c>
      <c r="D1" s="3"/>
      <c r="E1" s="3"/>
      <c r="F1" s="3"/>
      <c r="G1" s="3"/>
      <c r="H1" s="3"/>
      <c r="I1" s="3"/>
      <c r="J1" s="3"/>
      <c r="K1" s="3"/>
      <c r="L1" s="3"/>
      <c r="M1" s="3"/>
      <c r="N1" s="3"/>
    </row>
    <row r="2" spans="1:14" ht="19.5" thickBot="1" x14ac:dyDescent="0.35">
      <c r="B2" s="27"/>
      <c r="D2" s="3"/>
      <c r="E2" s="3"/>
      <c r="F2" s="3"/>
      <c r="G2" s="3"/>
      <c r="H2" s="3"/>
      <c r="I2" s="3"/>
      <c r="J2" s="3"/>
      <c r="K2" s="3"/>
      <c r="L2" s="3"/>
      <c r="M2" s="3"/>
      <c r="N2" s="3"/>
    </row>
    <row r="3" spans="1:14" customFormat="1" ht="18.75" x14ac:dyDescent="0.3">
      <c r="A3" s="4"/>
      <c r="B3" s="96" t="s">
        <v>515</v>
      </c>
      <c r="C3" s="87"/>
      <c r="D3" s="88"/>
      <c r="E3" s="454">
        <f>E4+E11+E14+E15+E16+E19+E22+E23+E24+E25</f>
        <v>1254026.21</v>
      </c>
      <c r="F3" s="633" t="s">
        <v>1409</v>
      </c>
      <c r="G3" s="634"/>
      <c r="H3" s="634"/>
      <c r="I3" s="634"/>
      <c r="J3" s="454">
        <f>SUM(J5:J23)</f>
        <v>1254026.21</v>
      </c>
      <c r="K3" s="403">
        <f>E3-N281</f>
        <v>0</v>
      </c>
    </row>
    <row r="4" spans="1:14" customFormat="1" ht="15" customHeight="1" x14ac:dyDescent="0.25">
      <c r="A4" s="4"/>
      <c r="B4" s="648" t="s">
        <v>511</v>
      </c>
      <c r="C4" s="649"/>
      <c r="D4" s="641"/>
      <c r="E4" s="455">
        <f>SUM(E5:E10)</f>
        <v>952378.21000000008</v>
      </c>
      <c r="F4" s="635"/>
      <c r="G4" s="29"/>
      <c r="H4" s="29"/>
      <c r="I4" s="29"/>
      <c r="J4" s="637"/>
    </row>
    <row r="5" spans="1:14" customFormat="1" ht="15" customHeight="1" x14ac:dyDescent="0.25">
      <c r="A5" s="4"/>
      <c r="B5" s="648"/>
      <c r="C5" s="649" t="s">
        <v>513</v>
      </c>
      <c r="D5" s="641"/>
      <c r="E5" s="91">
        <f>N282</f>
        <v>74376.639999999999</v>
      </c>
      <c r="F5" s="647" t="s">
        <v>713</v>
      </c>
      <c r="G5" s="29"/>
      <c r="H5" s="29"/>
      <c r="I5" s="29"/>
      <c r="J5" s="91">
        <f>SUM(N300:N317)</f>
        <v>56711.64</v>
      </c>
    </row>
    <row r="6" spans="1:14" customFormat="1" ht="15" customHeight="1" x14ac:dyDescent="0.25">
      <c r="A6" s="4"/>
      <c r="B6" s="648"/>
      <c r="C6" s="649" t="s">
        <v>32</v>
      </c>
      <c r="D6" s="641"/>
      <c r="E6" s="91">
        <f>N284</f>
        <v>1275</v>
      </c>
      <c r="F6" s="647" t="s">
        <v>497</v>
      </c>
      <c r="G6" s="29"/>
      <c r="H6" s="29"/>
      <c r="I6" s="29"/>
      <c r="J6" s="91">
        <f>SUM(N318:N335)</f>
        <v>64600</v>
      </c>
    </row>
    <row r="7" spans="1:14" customFormat="1" ht="15" customHeight="1" x14ac:dyDescent="0.25">
      <c r="A7" s="4"/>
      <c r="B7" s="648"/>
      <c r="C7" s="649" t="s">
        <v>536</v>
      </c>
      <c r="D7" s="641"/>
      <c r="E7" s="91">
        <f>N290</f>
        <v>1000</v>
      </c>
      <c r="F7" s="647" t="s">
        <v>492</v>
      </c>
      <c r="G7" s="29"/>
      <c r="H7" s="29"/>
      <c r="I7" s="29"/>
      <c r="J7" s="91">
        <f>SUM(N336:N353)</f>
        <v>17400</v>
      </c>
    </row>
    <row r="8" spans="1:14" customFormat="1" ht="15" customHeight="1" x14ac:dyDescent="0.25">
      <c r="A8" s="4"/>
      <c r="B8" s="648"/>
      <c r="C8" s="649" t="s">
        <v>36</v>
      </c>
      <c r="D8" s="641"/>
      <c r="E8" s="91">
        <f>N291</f>
        <v>765961.57000000007</v>
      </c>
      <c r="F8" s="647" t="s">
        <v>498</v>
      </c>
      <c r="G8" s="29"/>
      <c r="H8" s="29"/>
      <c r="I8" s="29"/>
      <c r="J8" s="91">
        <f>SUM(N354:N371)</f>
        <v>6000</v>
      </c>
    </row>
    <row r="9" spans="1:14" customFormat="1" ht="15" customHeight="1" x14ac:dyDescent="0.25">
      <c r="A9" s="4"/>
      <c r="B9" s="648"/>
      <c r="C9" s="649" t="s">
        <v>683</v>
      </c>
      <c r="D9" s="641"/>
      <c r="E9" s="91">
        <f>N295</f>
        <v>109765</v>
      </c>
      <c r="F9" s="647" t="s">
        <v>758</v>
      </c>
      <c r="G9" s="29"/>
      <c r="H9" s="29"/>
      <c r="I9" s="29"/>
      <c r="J9" s="91">
        <f>SUM(N372:N389)</f>
        <v>14500</v>
      </c>
    </row>
    <row r="10" spans="1:14" customFormat="1" ht="15" customHeight="1" x14ac:dyDescent="0.25">
      <c r="A10" s="4"/>
      <c r="B10" s="648"/>
      <c r="C10" s="649" t="s">
        <v>35</v>
      </c>
      <c r="D10" s="641"/>
      <c r="E10" s="91">
        <f>N297</f>
        <v>0</v>
      </c>
      <c r="F10" s="647" t="s">
        <v>3</v>
      </c>
      <c r="G10" s="29"/>
      <c r="H10" s="29"/>
      <c r="I10" s="29"/>
      <c r="J10" s="91">
        <f>SUM(N390:N407)</f>
        <v>60455</v>
      </c>
    </row>
    <row r="11" spans="1:14" customFormat="1" ht="15" customHeight="1" x14ac:dyDescent="0.25">
      <c r="A11" s="4"/>
      <c r="B11" s="648" t="s">
        <v>514</v>
      </c>
      <c r="C11" s="649"/>
      <c r="D11" s="641"/>
      <c r="E11" s="455">
        <f>SUM(E12:E13)</f>
        <v>13012</v>
      </c>
      <c r="F11" s="647" t="s">
        <v>574</v>
      </c>
      <c r="G11" s="29"/>
      <c r="H11" s="29"/>
      <c r="I11" s="29"/>
      <c r="J11" s="91">
        <f>SUM(N408:N425)</f>
        <v>0</v>
      </c>
    </row>
    <row r="12" spans="1:14" customFormat="1" ht="15" customHeight="1" x14ac:dyDescent="0.25">
      <c r="A12" s="4"/>
      <c r="B12" s="648"/>
      <c r="C12" s="649" t="s">
        <v>682</v>
      </c>
      <c r="D12" s="641"/>
      <c r="E12" s="91">
        <f>N285</f>
        <v>9112</v>
      </c>
      <c r="F12" s="647" t="s">
        <v>499</v>
      </c>
      <c r="G12" s="29"/>
      <c r="H12" s="29"/>
      <c r="I12" s="29"/>
      <c r="J12" s="91">
        <f>SUM(N426:N443)</f>
        <v>95771</v>
      </c>
    </row>
    <row r="13" spans="1:14" customFormat="1" ht="15" customHeight="1" x14ac:dyDescent="0.25">
      <c r="A13" s="4"/>
      <c r="B13" s="648"/>
      <c r="C13" s="649" t="s">
        <v>41</v>
      </c>
      <c r="D13" s="641"/>
      <c r="E13" s="91">
        <f>N286</f>
        <v>3900</v>
      </c>
      <c r="F13" s="647" t="s">
        <v>573</v>
      </c>
      <c r="G13" s="29"/>
      <c r="H13" s="29"/>
      <c r="I13" s="29"/>
      <c r="J13" s="91">
        <f>SUM(N444:N461)</f>
        <v>21200</v>
      </c>
    </row>
    <row r="14" spans="1:14" customFormat="1" ht="15" customHeight="1" x14ac:dyDescent="0.25">
      <c r="A14" s="4"/>
      <c r="B14" s="648" t="s">
        <v>775</v>
      </c>
      <c r="C14" s="649"/>
      <c r="D14" s="641"/>
      <c r="E14" s="455">
        <f>N287</f>
        <v>17896</v>
      </c>
      <c r="F14" s="647" t="s">
        <v>494</v>
      </c>
      <c r="G14" s="29"/>
      <c r="H14" s="29"/>
      <c r="I14" s="29"/>
      <c r="J14" s="91">
        <f>SUM(N462:N479)</f>
        <v>300</v>
      </c>
    </row>
    <row r="15" spans="1:14" customFormat="1" ht="15" customHeight="1" x14ac:dyDescent="0.25">
      <c r="A15" s="4"/>
      <c r="B15" s="648" t="s">
        <v>660</v>
      </c>
      <c r="C15" s="649"/>
      <c r="D15" s="641"/>
      <c r="E15" s="455">
        <f>N288</f>
        <v>6440</v>
      </c>
      <c r="F15" s="647" t="s">
        <v>491</v>
      </c>
      <c r="G15" s="29"/>
      <c r="H15" s="29"/>
      <c r="I15" s="29"/>
      <c r="J15" s="91">
        <f>SUM(N498:N515)</f>
        <v>3100</v>
      </c>
    </row>
    <row r="16" spans="1:14" customFormat="1" ht="15" customHeight="1" x14ac:dyDescent="0.25">
      <c r="A16" s="4"/>
      <c r="B16" s="648" t="s">
        <v>518</v>
      </c>
      <c r="C16" s="649"/>
      <c r="D16" s="641"/>
      <c r="E16" s="455">
        <f>SUM(E17:E18)</f>
        <v>58300</v>
      </c>
      <c r="F16" s="647" t="s">
        <v>666</v>
      </c>
      <c r="G16" s="29"/>
      <c r="H16" s="29"/>
      <c r="I16" s="29"/>
      <c r="J16" s="91">
        <f>SUM(N480:N497)</f>
        <v>21000</v>
      </c>
    </row>
    <row r="17" spans="1:17" customFormat="1" ht="15" customHeight="1" x14ac:dyDescent="0.25">
      <c r="A17" s="4"/>
      <c r="B17" s="648"/>
      <c r="C17" s="649" t="s">
        <v>512</v>
      </c>
      <c r="D17" s="641"/>
      <c r="E17" s="91">
        <f>N283</f>
        <v>0</v>
      </c>
      <c r="F17" s="647" t="s">
        <v>475</v>
      </c>
      <c r="G17" s="29"/>
      <c r="H17" s="29"/>
      <c r="I17" s="29"/>
      <c r="J17" s="91">
        <f>SUM(N516:N533)</f>
        <v>402761.57</v>
      </c>
    </row>
    <row r="18" spans="1:17" customFormat="1" ht="15" customHeight="1" x14ac:dyDescent="0.25">
      <c r="A18" s="4"/>
      <c r="B18" s="648"/>
      <c r="C18" s="649" t="s">
        <v>29</v>
      </c>
      <c r="D18" s="641"/>
      <c r="E18" s="91">
        <f>N289</f>
        <v>58300</v>
      </c>
      <c r="F18" s="647" t="s">
        <v>1442</v>
      </c>
      <c r="G18" s="29"/>
      <c r="H18" s="29"/>
      <c r="I18" s="29"/>
      <c r="J18" s="91">
        <f>SUM(N534:N551)</f>
        <v>52296</v>
      </c>
    </row>
    <row r="19" spans="1:17" customFormat="1" ht="15" customHeight="1" x14ac:dyDescent="0.25">
      <c r="A19" s="4"/>
      <c r="B19" s="648" t="s">
        <v>519</v>
      </c>
      <c r="C19" s="649"/>
      <c r="D19" s="641"/>
      <c r="E19" s="455">
        <f>N298+N299</f>
        <v>10570</v>
      </c>
      <c r="F19" s="647" t="s">
        <v>4</v>
      </c>
      <c r="G19" s="29"/>
      <c r="H19" s="29"/>
      <c r="I19" s="29"/>
      <c r="J19" s="91">
        <f>SUM(N552:N569)</f>
        <v>44292</v>
      </c>
    </row>
    <row r="20" spans="1:17" customFormat="1" ht="15" customHeight="1" x14ac:dyDescent="0.25">
      <c r="A20" s="4"/>
      <c r="B20" s="648"/>
      <c r="C20" s="649" t="s">
        <v>526</v>
      </c>
      <c r="D20" s="641"/>
      <c r="E20" s="91">
        <f>N298</f>
        <v>1700</v>
      </c>
      <c r="F20" s="647" t="s">
        <v>496</v>
      </c>
      <c r="G20" s="29"/>
      <c r="H20" s="29"/>
      <c r="I20" s="29"/>
      <c r="J20" s="91">
        <f>SUM(N570:N587)</f>
        <v>62200</v>
      </c>
    </row>
    <row r="21" spans="1:17" customFormat="1" ht="15" customHeight="1" x14ac:dyDescent="0.25">
      <c r="A21" s="4"/>
      <c r="B21" s="648"/>
      <c r="C21" s="649" t="s">
        <v>525</v>
      </c>
      <c r="D21" s="641"/>
      <c r="E21" s="91">
        <f>N299</f>
        <v>8870</v>
      </c>
      <c r="F21" s="647" t="s">
        <v>757</v>
      </c>
      <c r="G21" s="29"/>
      <c r="H21" s="29"/>
      <c r="I21" s="29"/>
      <c r="J21" s="91">
        <f>SUM(N588:N605)</f>
        <v>45500</v>
      </c>
    </row>
    <row r="22" spans="1:17" customFormat="1" ht="15" customHeight="1" x14ac:dyDescent="0.25">
      <c r="A22" s="4"/>
      <c r="B22" s="648" t="s">
        <v>31</v>
      </c>
      <c r="C22" s="649"/>
      <c r="D22" s="641"/>
      <c r="E22" s="455">
        <f>N292</f>
        <v>10560</v>
      </c>
      <c r="F22" s="647" t="s">
        <v>493</v>
      </c>
      <c r="G22" s="29"/>
      <c r="H22" s="29"/>
      <c r="I22" s="29"/>
      <c r="J22" s="91">
        <f>SUM(N606:N623)</f>
        <v>128439</v>
      </c>
    </row>
    <row r="23" spans="1:17" customFormat="1" ht="15" customHeight="1" x14ac:dyDescent="0.25">
      <c r="A23" s="4"/>
      <c r="B23" s="648" t="s">
        <v>516</v>
      </c>
      <c r="C23" s="649"/>
      <c r="D23" s="641"/>
      <c r="E23" s="455">
        <f>N293</f>
        <v>108571</v>
      </c>
      <c r="F23" s="647" t="s">
        <v>693</v>
      </c>
      <c r="G23" s="29"/>
      <c r="H23" s="29"/>
      <c r="I23" s="29"/>
      <c r="J23" s="91">
        <f>SUM(N624:N641)</f>
        <v>157500</v>
      </c>
    </row>
    <row r="24" spans="1:17" customFormat="1" ht="15" customHeight="1" x14ac:dyDescent="0.25">
      <c r="A24" s="4"/>
      <c r="B24" s="648" t="s">
        <v>517</v>
      </c>
      <c r="C24" s="649"/>
      <c r="D24" s="641"/>
      <c r="E24" s="455">
        <f>N294</f>
        <v>75384</v>
      </c>
      <c r="F24" s="217"/>
      <c r="G24" s="29"/>
      <c r="H24" s="29"/>
      <c r="I24" s="29"/>
      <c r="J24" s="629"/>
    </row>
    <row r="25" spans="1:17" customFormat="1" ht="15" customHeight="1" thickBot="1" x14ac:dyDescent="0.3">
      <c r="A25" s="4"/>
      <c r="B25" s="650" t="s">
        <v>759</v>
      </c>
      <c r="C25" s="651"/>
      <c r="D25" s="642"/>
      <c r="E25" s="456">
        <f>N296</f>
        <v>915</v>
      </c>
      <c r="F25" s="636"/>
      <c r="G25" s="94"/>
      <c r="H25" s="94"/>
      <c r="I25" s="94"/>
      <c r="J25" s="630"/>
    </row>
    <row r="26" spans="1:17" ht="19.5" thickBot="1" x14ac:dyDescent="0.35">
      <c r="A26" s="27"/>
      <c r="D26" s="3"/>
      <c r="E26" s="3"/>
      <c r="F26" s="3"/>
      <c r="G26" s="3"/>
      <c r="H26" s="3"/>
      <c r="I26" s="3"/>
      <c r="J26" s="3"/>
      <c r="K26" s="3"/>
      <c r="L26" s="3"/>
      <c r="M26" s="3"/>
      <c r="N26" s="3"/>
      <c r="O26" s="3"/>
      <c r="P26" s="3"/>
      <c r="Q26" s="3"/>
    </row>
    <row r="27" spans="1:17" ht="30.75" thickTop="1" x14ac:dyDescent="0.25">
      <c r="A27" s="5" t="s">
        <v>464</v>
      </c>
      <c r="B27" s="8" t="s">
        <v>379</v>
      </c>
      <c r="C27" s="8" t="s">
        <v>15</v>
      </c>
      <c r="D27" s="6" t="s">
        <v>8</v>
      </c>
      <c r="E27" s="6" t="s">
        <v>500</v>
      </c>
      <c r="F27" s="6" t="s">
        <v>508</v>
      </c>
      <c r="G27" s="6" t="s">
        <v>10</v>
      </c>
      <c r="H27" s="6" t="s">
        <v>501</v>
      </c>
      <c r="I27" s="6" t="s">
        <v>502</v>
      </c>
      <c r="J27" s="6" t="s">
        <v>506</v>
      </c>
      <c r="K27" s="7" t="s">
        <v>503</v>
      </c>
      <c r="L27" s="6" t="s">
        <v>14</v>
      </c>
      <c r="M27" s="6" t="s">
        <v>474</v>
      </c>
      <c r="N27" s="8" t="s">
        <v>504</v>
      </c>
    </row>
    <row r="28" spans="1:17" x14ac:dyDescent="0.25">
      <c r="A28" s="192">
        <v>6450</v>
      </c>
      <c r="B28" s="518" t="s">
        <v>28</v>
      </c>
      <c r="C28" s="518" t="s">
        <v>119</v>
      </c>
      <c r="D28" s="467" t="s">
        <v>991</v>
      </c>
      <c r="E28" s="518"/>
      <c r="F28" s="518" t="s">
        <v>951</v>
      </c>
      <c r="G28" s="518"/>
      <c r="H28" s="596"/>
      <c r="I28" s="596"/>
      <c r="J28" s="518" t="s">
        <v>713</v>
      </c>
      <c r="K28" s="516"/>
      <c r="L28" s="516"/>
      <c r="M28" s="516"/>
      <c r="N28" s="516">
        <v>256.17</v>
      </c>
      <c r="O28" s="4" t="s">
        <v>1287</v>
      </c>
    </row>
    <row r="29" spans="1:17" x14ac:dyDescent="0.25">
      <c r="A29" s="192">
        <v>6450</v>
      </c>
      <c r="B29" s="518" t="s">
        <v>28</v>
      </c>
      <c r="C29" s="518" t="s">
        <v>142</v>
      </c>
      <c r="D29" s="467" t="s">
        <v>991</v>
      </c>
      <c r="E29" s="518"/>
      <c r="F29" s="518" t="s">
        <v>951</v>
      </c>
      <c r="G29" s="518"/>
      <c r="H29" s="596"/>
      <c r="I29" s="596"/>
      <c r="J29" s="518" t="s">
        <v>713</v>
      </c>
      <c r="K29" s="516"/>
      <c r="L29" s="516"/>
      <c r="M29" s="516"/>
      <c r="N29" s="516">
        <v>236.26</v>
      </c>
      <c r="O29" s="4" t="s">
        <v>1287</v>
      </c>
    </row>
    <row r="30" spans="1:17" x14ac:dyDescent="0.25">
      <c r="A30" s="192">
        <v>6450</v>
      </c>
      <c r="B30" s="518" t="s">
        <v>28</v>
      </c>
      <c r="C30" s="518" t="s">
        <v>133</v>
      </c>
      <c r="D30" s="467" t="s">
        <v>991</v>
      </c>
      <c r="E30" s="518"/>
      <c r="F30" s="467" t="s">
        <v>951</v>
      </c>
      <c r="G30" s="518"/>
      <c r="H30" s="596"/>
      <c r="I30" s="596"/>
      <c r="J30" s="518" t="s">
        <v>713</v>
      </c>
      <c r="K30" s="520"/>
      <c r="L30" s="520"/>
      <c r="M30" s="520"/>
      <c r="N30" s="520">
        <v>694.91</v>
      </c>
      <c r="O30" s="4" t="s">
        <v>1287</v>
      </c>
    </row>
    <row r="31" spans="1:17" x14ac:dyDescent="0.25">
      <c r="A31" s="192">
        <v>6450</v>
      </c>
      <c r="B31" s="518" t="s">
        <v>28</v>
      </c>
      <c r="C31" s="518" t="s">
        <v>114</v>
      </c>
      <c r="D31" s="467" t="s">
        <v>991</v>
      </c>
      <c r="E31" s="518"/>
      <c r="F31" s="588" t="s">
        <v>951</v>
      </c>
      <c r="G31" s="588"/>
      <c r="H31" s="466"/>
      <c r="I31" s="466"/>
      <c r="J31" s="467" t="s">
        <v>713</v>
      </c>
      <c r="K31" s="589"/>
      <c r="L31" s="516"/>
      <c r="M31" s="516"/>
      <c r="N31" s="516">
        <v>1241.5</v>
      </c>
      <c r="O31" s="4" t="s">
        <v>1287</v>
      </c>
    </row>
    <row r="32" spans="1:17" x14ac:dyDescent="0.25">
      <c r="A32" s="192">
        <v>6450</v>
      </c>
      <c r="B32" s="518" t="s">
        <v>28</v>
      </c>
      <c r="C32" s="518" t="s">
        <v>796</v>
      </c>
      <c r="D32" s="467" t="s">
        <v>991</v>
      </c>
      <c r="E32" s="518"/>
      <c r="F32" s="518" t="s">
        <v>951</v>
      </c>
      <c r="G32" s="518"/>
      <c r="H32" s="596"/>
      <c r="I32" s="596"/>
      <c r="J32" s="518" t="s">
        <v>713</v>
      </c>
      <c r="K32" s="516"/>
      <c r="L32" s="516"/>
      <c r="M32" s="516"/>
      <c r="N32" s="516">
        <v>800</v>
      </c>
      <c r="O32" s="4" t="s">
        <v>1287</v>
      </c>
    </row>
    <row r="33" spans="1:15" x14ac:dyDescent="0.25">
      <c r="A33" s="315">
        <v>6450</v>
      </c>
      <c r="B33" s="518" t="s">
        <v>28</v>
      </c>
      <c r="C33" s="518" t="s">
        <v>63</v>
      </c>
      <c r="D33" s="467" t="s">
        <v>992</v>
      </c>
      <c r="E33" s="518"/>
      <c r="F33" s="467" t="s">
        <v>993</v>
      </c>
      <c r="G33" s="467"/>
      <c r="H33" s="466"/>
      <c r="I33" s="466"/>
      <c r="J33" s="467" t="s">
        <v>713</v>
      </c>
      <c r="K33" s="589"/>
      <c r="L33" s="516"/>
      <c r="M33" s="516"/>
      <c r="N33" s="516">
        <v>820.02</v>
      </c>
      <c r="O33" s="4" t="s">
        <v>1287</v>
      </c>
    </row>
    <row r="34" spans="1:15" x14ac:dyDescent="0.25">
      <c r="A34" s="315">
        <v>6450</v>
      </c>
      <c r="B34" s="518" t="s">
        <v>28</v>
      </c>
      <c r="C34" s="518" t="s">
        <v>64</v>
      </c>
      <c r="D34" s="467" t="s">
        <v>992</v>
      </c>
      <c r="E34" s="518"/>
      <c r="F34" s="467" t="s">
        <v>993</v>
      </c>
      <c r="G34" s="467"/>
      <c r="H34" s="466"/>
      <c r="I34" s="466"/>
      <c r="J34" s="467" t="s">
        <v>713</v>
      </c>
      <c r="K34" s="589"/>
      <c r="L34" s="516"/>
      <c r="M34" s="516"/>
      <c r="N34" s="516">
        <v>820.01</v>
      </c>
      <c r="O34" s="4" t="s">
        <v>1287</v>
      </c>
    </row>
    <row r="35" spans="1:15" x14ac:dyDescent="0.25">
      <c r="A35" s="315">
        <v>6450</v>
      </c>
      <c r="B35" s="518" t="s">
        <v>28</v>
      </c>
      <c r="C35" s="518" t="s">
        <v>167</v>
      </c>
      <c r="D35" s="467" t="s">
        <v>991</v>
      </c>
      <c r="E35" s="518"/>
      <c r="F35" s="467" t="s">
        <v>951</v>
      </c>
      <c r="G35" s="467"/>
      <c r="H35" s="466"/>
      <c r="I35" s="466"/>
      <c r="J35" s="467" t="s">
        <v>713</v>
      </c>
      <c r="K35" s="589"/>
      <c r="L35" s="516"/>
      <c r="M35" s="516"/>
      <c r="N35" s="516">
        <v>232.97</v>
      </c>
      <c r="O35" s="4" t="s">
        <v>1287</v>
      </c>
    </row>
    <row r="36" spans="1:15" x14ac:dyDescent="0.25">
      <c r="A36" s="315">
        <v>6450</v>
      </c>
      <c r="B36" s="518" t="s">
        <v>28</v>
      </c>
      <c r="C36" s="518" t="s">
        <v>162</v>
      </c>
      <c r="D36" s="467" t="s">
        <v>991</v>
      </c>
      <c r="E36" s="518"/>
      <c r="F36" s="467" t="s">
        <v>951</v>
      </c>
      <c r="G36" s="467"/>
      <c r="H36" s="466"/>
      <c r="I36" s="466"/>
      <c r="J36" s="467" t="s">
        <v>713</v>
      </c>
      <c r="K36" s="589"/>
      <c r="L36" s="516"/>
      <c r="M36" s="516"/>
      <c r="N36" s="516">
        <v>313.5</v>
      </c>
      <c r="O36" s="4" t="s">
        <v>1287</v>
      </c>
    </row>
    <row r="37" spans="1:15" x14ac:dyDescent="0.25">
      <c r="A37" s="315">
        <v>6450</v>
      </c>
      <c r="B37" s="518" t="s">
        <v>28</v>
      </c>
      <c r="C37" s="518" t="s">
        <v>124</v>
      </c>
      <c r="D37" s="467" t="s">
        <v>991</v>
      </c>
      <c r="E37" s="518"/>
      <c r="F37" s="467" t="s">
        <v>951</v>
      </c>
      <c r="G37" s="467"/>
      <c r="H37" s="466"/>
      <c r="I37" s="466"/>
      <c r="J37" s="467" t="s">
        <v>713</v>
      </c>
      <c r="K37" s="589"/>
      <c r="L37" s="516"/>
      <c r="M37" s="516"/>
      <c r="N37" s="516">
        <v>297.14</v>
      </c>
      <c r="O37" s="4" t="s">
        <v>1287</v>
      </c>
    </row>
    <row r="38" spans="1:15" x14ac:dyDescent="0.25">
      <c r="A38" s="315">
        <v>6450</v>
      </c>
      <c r="B38" s="518" t="s">
        <v>28</v>
      </c>
      <c r="C38" s="518" t="s">
        <v>144</v>
      </c>
      <c r="D38" s="467" t="s">
        <v>991</v>
      </c>
      <c r="E38" s="518"/>
      <c r="F38" s="467" t="s">
        <v>951</v>
      </c>
      <c r="G38" s="467"/>
      <c r="H38" s="466"/>
      <c r="I38" s="466"/>
      <c r="J38" s="467" t="s">
        <v>713</v>
      </c>
      <c r="K38" s="589"/>
      <c r="L38" s="516"/>
      <c r="M38" s="516"/>
      <c r="N38" s="516">
        <v>4156.3900000000003</v>
      </c>
      <c r="O38" s="4" t="s">
        <v>1287</v>
      </c>
    </row>
    <row r="39" spans="1:15" x14ac:dyDescent="0.25">
      <c r="A39" s="315">
        <v>6450</v>
      </c>
      <c r="B39" s="518" t="s">
        <v>28</v>
      </c>
      <c r="C39" s="518" t="s">
        <v>139</v>
      </c>
      <c r="D39" s="467" t="s">
        <v>991</v>
      </c>
      <c r="E39" s="518"/>
      <c r="F39" s="467" t="s">
        <v>951</v>
      </c>
      <c r="G39" s="467"/>
      <c r="H39" s="466"/>
      <c r="I39" s="466"/>
      <c r="J39" s="467" t="s">
        <v>713</v>
      </c>
      <c r="K39" s="589"/>
      <c r="L39" s="516"/>
      <c r="M39" s="516"/>
      <c r="N39" s="516">
        <v>300.16000000000003</v>
      </c>
      <c r="O39" s="4" t="s">
        <v>1287</v>
      </c>
    </row>
    <row r="40" spans="1:15" x14ac:dyDescent="0.25">
      <c r="A40" s="192">
        <v>6450</v>
      </c>
      <c r="B40" s="518" t="s">
        <v>28</v>
      </c>
      <c r="C40" s="518" t="s">
        <v>115</v>
      </c>
      <c r="D40" s="467" t="s">
        <v>991</v>
      </c>
      <c r="E40" s="518"/>
      <c r="F40" s="518" t="s">
        <v>951</v>
      </c>
      <c r="G40" s="518"/>
      <c r="H40" s="596"/>
      <c r="I40" s="596"/>
      <c r="J40" s="518" t="s">
        <v>713</v>
      </c>
      <c r="K40" s="516"/>
      <c r="L40" s="516"/>
      <c r="M40" s="516"/>
      <c r="N40" s="516">
        <v>519.39</v>
      </c>
      <c r="O40" s="4" t="s">
        <v>1287</v>
      </c>
    </row>
    <row r="41" spans="1:15" x14ac:dyDescent="0.25">
      <c r="A41" s="192">
        <v>6450</v>
      </c>
      <c r="B41" s="518" t="s">
        <v>28</v>
      </c>
      <c r="C41" s="518" t="s">
        <v>116</v>
      </c>
      <c r="D41" s="467" t="s">
        <v>991</v>
      </c>
      <c r="E41" s="518"/>
      <c r="F41" s="518" t="s">
        <v>951</v>
      </c>
      <c r="G41" s="518"/>
      <c r="H41" s="596"/>
      <c r="I41" s="596"/>
      <c r="J41" s="518" t="s">
        <v>713</v>
      </c>
      <c r="K41" s="516"/>
      <c r="L41" s="516"/>
      <c r="M41" s="516"/>
      <c r="N41" s="516">
        <v>416.82</v>
      </c>
      <c r="O41" s="4" t="s">
        <v>1287</v>
      </c>
    </row>
    <row r="42" spans="1:15" x14ac:dyDescent="0.25">
      <c r="A42" s="192">
        <v>6450</v>
      </c>
      <c r="B42" s="518" t="s">
        <v>28</v>
      </c>
      <c r="C42" s="518" t="s">
        <v>120</v>
      </c>
      <c r="D42" s="518" t="s">
        <v>992</v>
      </c>
      <c r="E42" s="518"/>
      <c r="F42" s="518" t="s">
        <v>993</v>
      </c>
      <c r="G42" s="518"/>
      <c r="H42" s="596"/>
      <c r="I42" s="596"/>
      <c r="J42" s="518" t="s">
        <v>713</v>
      </c>
      <c r="K42" s="516"/>
      <c r="L42" s="516"/>
      <c r="M42" s="516"/>
      <c r="N42" s="516">
        <v>1125</v>
      </c>
      <c r="O42" s="4" t="s">
        <v>1287</v>
      </c>
    </row>
    <row r="43" spans="1:15" x14ac:dyDescent="0.25">
      <c r="A43" s="315">
        <v>6450</v>
      </c>
      <c r="B43" s="518" t="s">
        <v>28</v>
      </c>
      <c r="C43" s="518" t="s">
        <v>122</v>
      </c>
      <c r="D43" s="467" t="s">
        <v>991</v>
      </c>
      <c r="E43" s="518"/>
      <c r="F43" s="467" t="s">
        <v>951</v>
      </c>
      <c r="G43" s="467"/>
      <c r="H43" s="466"/>
      <c r="I43" s="466"/>
      <c r="J43" s="467" t="s">
        <v>713</v>
      </c>
      <c r="K43" s="589"/>
      <c r="L43" s="516"/>
      <c r="M43" s="516"/>
      <c r="N43" s="516">
        <v>97.45</v>
      </c>
      <c r="O43" s="4" t="s">
        <v>1287</v>
      </c>
    </row>
    <row r="44" spans="1:15" x14ac:dyDescent="0.25">
      <c r="A44" s="315">
        <v>6450</v>
      </c>
      <c r="B44" s="518" t="s">
        <v>28</v>
      </c>
      <c r="C44" s="518" t="s">
        <v>127</v>
      </c>
      <c r="D44" s="467" t="s">
        <v>991</v>
      </c>
      <c r="E44" s="518"/>
      <c r="F44" s="467" t="s">
        <v>951</v>
      </c>
      <c r="G44" s="467"/>
      <c r="H44" s="466"/>
      <c r="I44" s="466"/>
      <c r="J44" s="467" t="s">
        <v>713</v>
      </c>
      <c r="K44" s="589"/>
      <c r="L44" s="516"/>
      <c r="M44" s="516"/>
      <c r="N44" s="516">
        <v>3076.94</v>
      </c>
      <c r="O44" s="4" t="s">
        <v>1287</v>
      </c>
    </row>
    <row r="45" spans="1:15" x14ac:dyDescent="0.25">
      <c r="A45" s="192">
        <v>6450</v>
      </c>
      <c r="B45" s="518" t="s">
        <v>28</v>
      </c>
      <c r="C45" s="518" t="s">
        <v>141</v>
      </c>
      <c r="D45" s="467" t="s">
        <v>991</v>
      </c>
      <c r="E45" s="518"/>
      <c r="F45" s="588" t="s">
        <v>951</v>
      </c>
      <c r="G45" s="588"/>
      <c r="H45" s="596"/>
      <c r="I45" s="596"/>
      <c r="J45" s="518" t="s">
        <v>713</v>
      </c>
      <c r="K45" s="520"/>
      <c r="L45" s="520"/>
      <c r="M45" s="520"/>
      <c r="N45" s="520">
        <v>257.77</v>
      </c>
      <c r="O45" s="4" t="s">
        <v>1287</v>
      </c>
    </row>
    <row r="46" spans="1:15" x14ac:dyDescent="0.25">
      <c r="A46" s="315">
        <v>6450</v>
      </c>
      <c r="B46" s="518" t="s">
        <v>28</v>
      </c>
      <c r="C46" s="518" t="s">
        <v>128</v>
      </c>
      <c r="D46" s="467" t="s">
        <v>991</v>
      </c>
      <c r="E46" s="518"/>
      <c r="F46" s="467" t="s">
        <v>951</v>
      </c>
      <c r="G46" s="467"/>
      <c r="H46" s="466"/>
      <c r="I46" s="466"/>
      <c r="J46" s="467" t="s">
        <v>713</v>
      </c>
      <c r="K46" s="589"/>
      <c r="L46" s="516"/>
      <c r="M46" s="516"/>
      <c r="N46" s="516">
        <v>7992.67</v>
      </c>
      <c r="O46" s="4" t="s">
        <v>1287</v>
      </c>
    </row>
    <row r="47" spans="1:15" x14ac:dyDescent="0.25">
      <c r="A47" s="315">
        <v>6450</v>
      </c>
      <c r="B47" s="518" t="s">
        <v>28</v>
      </c>
      <c r="C47" s="518" t="s">
        <v>126</v>
      </c>
      <c r="D47" s="467" t="s">
        <v>992</v>
      </c>
      <c r="E47" s="518"/>
      <c r="F47" s="467" t="s">
        <v>993</v>
      </c>
      <c r="G47" s="467"/>
      <c r="H47" s="466"/>
      <c r="I47" s="466"/>
      <c r="J47" s="467" t="s">
        <v>713</v>
      </c>
      <c r="K47" s="589"/>
      <c r="L47" s="516"/>
      <c r="M47" s="516"/>
      <c r="N47" s="516">
        <v>11215.59</v>
      </c>
      <c r="O47" s="4" t="s">
        <v>1287</v>
      </c>
    </row>
    <row r="48" spans="1:15" x14ac:dyDescent="0.25">
      <c r="A48" s="315">
        <v>6450</v>
      </c>
      <c r="B48" s="518" t="s">
        <v>28</v>
      </c>
      <c r="C48" s="518" t="s">
        <v>129</v>
      </c>
      <c r="D48" s="467" t="s">
        <v>991</v>
      </c>
      <c r="E48" s="518"/>
      <c r="F48" s="467" t="s">
        <v>951</v>
      </c>
      <c r="G48" s="467"/>
      <c r="H48" s="466"/>
      <c r="I48" s="466"/>
      <c r="J48" s="467" t="s">
        <v>713</v>
      </c>
      <c r="K48" s="589"/>
      <c r="L48" s="516"/>
      <c r="M48" s="516"/>
      <c r="N48" s="516">
        <v>477.21</v>
      </c>
      <c r="O48" s="4" t="s">
        <v>1287</v>
      </c>
    </row>
    <row r="49" spans="1:15" x14ac:dyDescent="0.25">
      <c r="A49" s="192">
        <v>6325</v>
      </c>
      <c r="B49" s="518" t="s">
        <v>28</v>
      </c>
      <c r="C49" s="518" t="s">
        <v>692</v>
      </c>
      <c r="D49" s="518" t="s">
        <v>979</v>
      </c>
      <c r="E49" s="518"/>
      <c r="F49" s="518" t="s">
        <v>878</v>
      </c>
      <c r="G49" s="518" t="s">
        <v>980</v>
      </c>
      <c r="H49" s="596">
        <v>42199</v>
      </c>
      <c r="I49" s="596">
        <v>42564</v>
      </c>
      <c r="J49" s="518" t="s">
        <v>475</v>
      </c>
      <c r="K49" s="520">
        <v>10888.7</v>
      </c>
      <c r="L49" s="520">
        <v>10888.7</v>
      </c>
      <c r="M49" s="520">
        <v>10888.7</v>
      </c>
      <c r="N49" s="759">
        <v>15000</v>
      </c>
      <c r="O49" s="4" t="s">
        <v>1287</v>
      </c>
    </row>
    <row r="50" spans="1:15" x14ac:dyDescent="0.25">
      <c r="A50" s="192">
        <v>6325</v>
      </c>
      <c r="B50" s="518" t="s">
        <v>28</v>
      </c>
      <c r="C50" s="518" t="s">
        <v>692</v>
      </c>
      <c r="D50" s="518" t="s">
        <v>981</v>
      </c>
      <c r="E50" s="518"/>
      <c r="F50" s="518" t="s">
        <v>982</v>
      </c>
      <c r="G50" s="518"/>
      <c r="H50" s="596">
        <v>42186</v>
      </c>
      <c r="I50" s="596">
        <v>42551</v>
      </c>
      <c r="J50" s="518" t="s">
        <v>475</v>
      </c>
      <c r="K50" s="516">
        <v>100</v>
      </c>
      <c r="L50" s="516">
        <v>100</v>
      </c>
      <c r="M50" s="516">
        <v>100</v>
      </c>
      <c r="N50" s="760">
        <v>300</v>
      </c>
      <c r="O50" s="4" t="s">
        <v>1287</v>
      </c>
    </row>
    <row r="51" spans="1:15" x14ac:dyDescent="0.25">
      <c r="A51" s="315">
        <v>6350</v>
      </c>
      <c r="B51" s="518" t="s">
        <v>28</v>
      </c>
      <c r="C51" s="518" t="s">
        <v>692</v>
      </c>
      <c r="D51" s="518" t="s">
        <v>983</v>
      </c>
      <c r="E51" s="518"/>
      <c r="F51" s="518" t="s">
        <v>984</v>
      </c>
      <c r="G51" s="518" t="s">
        <v>985</v>
      </c>
      <c r="H51" s="596">
        <v>42186</v>
      </c>
      <c r="I51" s="596">
        <v>42551</v>
      </c>
      <c r="J51" s="518" t="s">
        <v>3</v>
      </c>
      <c r="K51" s="516">
        <v>100</v>
      </c>
      <c r="L51" s="516">
        <v>100</v>
      </c>
      <c r="M51" s="516">
        <v>100</v>
      </c>
      <c r="N51" s="762">
        <v>100</v>
      </c>
      <c r="O51" s="4" t="s">
        <v>1287</v>
      </c>
    </row>
    <row r="52" spans="1:15" x14ac:dyDescent="0.25">
      <c r="A52" s="315">
        <v>6355</v>
      </c>
      <c r="B52" s="518" t="s">
        <v>28</v>
      </c>
      <c r="C52" s="518" t="s">
        <v>692</v>
      </c>
      <c r="D52" s="467" t="s">
        <v>4</v>
      </c>
      <c r="E52" s="518"/>
      <c r="F52" s="467" t="s">
        <v>986</v>
      </c>
      <c r="G52" s="467" t="s">
        <v>987</v>
      </c>
      <c r="H52" s="466">
        <v>42186</v>
      </c>
      <c r="I52" s="466">
        <v>42551</v>
      </c>
      <c r="J52" s="467" t="s">
        <v>4</v>
      </c>
      <c r="K52" s="589"/>
      <c r="L52" s="516">
        <v>35.26</v>
      </c>
      <c r="M52" s="516"/>
      <c r="N52" s="516">
        <v>200</v>
      </c>
      <c r="O52" s="4" t="s">
        <v>1287</v>
      </c>
    </row>
    <row r="53" spans="1:15" x14ac:dyDescent="0.25">
      <c r="A53" s="315">
        <v>6350</v>
      </c>
      <c r="B53" s="518" t="s">
        <v>28</v>
      </c>
      <c r="C53" s="518" t="s">
        <v>692</v>
      </c>
      <c r="D53" s="467" t="s">
        <v>988</v>
      </c>
      <c r="E53" s="518"/>
      <c r="F53" s="467" t="s">
        <v>940</v>
      </c>
      <c r="G53" s="467" t="s">
        <v>989</v>
      </c>
      <c r="H53" s="466">
        <v>42186</v>
      </c>
      <c r="I53" s="466">
        <v>42551</v>
      </c>
      <c r="J53" s="467" t="s">
        <v>3</v>
      </c>
      <c r="K53" s="589"/>
      <c r="L53" s="516"/>
      <c r="M53" s="516">
        <v>230</v>
      </c>
      <c r="N53" s="762">
        <v>200</v>
      </c>
      <c r="O53" s="4" t="s">
        <v>1287</v>
      </c>
    </row>
    <row r="54" spans="1:15" ht="16.5" customHeight="1" x14ac:dyDescent="0.25">
      <c r="A54" s="315">
        <v>6350</v>
      </c>
      <c r="B54" s="518" t="s">
        <v>28</v>
      </c>
      <c r="C54" s="518" t="s">
        <v>692</v>
      </c>
      <c r="D54" s="467" t="s">
        <v>990</v>
      </c>
      <c r="E54" s="518"/>
      <c r="F54" s="467" t="s">
        <v>830</v>
      </c>
      <c r="G54" s="467"/>
      <c r="H54" s="466"/>
      <c r="I54" s="466"/>
      <c r="J54" s="467" t="s">
        <v>3</v>
      </c>
      <c r="K54" s="589"/>
      <c r="L54" s="516"/>
      <c r="M54" s="516"/>
      <c r="N54" s="762">
        <v>1200</v>
      </c>
      <c r="O54" s="4" t="s">
        <v>1287</v>
      </c>
    </row>
    <row r="55" spans="1:15" x14ac:dyDescent="0.25">
      <c r="A55" s="315">
        <v>6450</v>
      </c>
      <c r="B55" s="518" t="s">
        <v>28</v>
      </c>
      <c r="C55" s="518" t="s">
        <v>692</v>
      </c>
      <c r="D55" s="467" t="s">
        <v>713</v>
      </c>
      <c r="E55" s="518"/>
      <c r="F55" s="467" t="s">
        <v>994</v>
      </c>
      <c r="G55" s="467"/>
      <c r="H55" s="466"/>
      <c r="I55" s="466"/>
      <c r="J55" s="467" t="s">
        <v>713</v>
      </c>
      <c r="K55" s="589"/>
      <c r="L55" s="516"/>
      <c r="M55" s="516"/>
      <c r="N55" s="757">
        <v>17958.18</v>
      </c>
      <c r="O55" s="4" t="s">
        <v>1287</v>
      </c>
    </row>
    <row r="56" spans="1:15" x14ac:dyDescent="0.25">
      <c r="A56" s="315">
        <f>VLOOKUP(J56,OtherOperatingExpenses,2)</f>
        <v>6245</v>
      </c>
      <c r="B56" s="518" t="s">
        <v>28</v>
      </c>
      <c r="C56" s="518" t="s">
        <v>692</v>
      </c>
      <c r="D56" s="467" t="s">
        <v>1203</v>
      </c>
      <c r="E56" s="518" t="s">
        <v>17</v>
      </c>
      <c r="F56" s="588" t="s">
        <v>1202</v>
      </c>
      <c r="G56" s="590"/>
      <c r="H56" s="596"/>
      <c r="I56" s="596"/>
      <c r="J56" s="467" t="s">
        <v>758</v>
      </c>
      <c r="K56" s="74"/>
      <c r="L56" s="74"/>
      <c r="M56" s="74"/>
      <c r="N56" s="520">
        <v>300</v>
      </c>
      <c r="O56" s="4" t="s">
        <v>1287</v>
      </c>
    </row>
    <row r="57" spans="1:15" x14ac:dyDescent="0.25">
      <c r="A57" s="315">
        <f>VLOOKUP(J57,OtherOperatingExpenses,2)</f>
        <v>6245</v>
      </c>
      <c r="B57" s="518" t="s">
        <v>28</v>
      </c>
      <c r="C57" s="518" t="s">
        <v>692</v>
      </c>
      <c r="D57" s="467" t="s">
        <v>1204</v>
      </c>
      <c r="E57" s="518" t="s">
        <v>17</v>
      </c>
      <c r="F57" s="588" t="s">
        <v>1202</v>
      </c>
      <c r="G57" s="590"/>
      <c r="H57" s="596"/>
      <c r="I57" s="596"/>
      <c r="J57" s="467" t="s">
        <v>758</v>
      </c>
      <c r="K57" s="74"/>
      <c r="L57" s="74"/>
      <c r="M57" s="74"/>
      <c r="N57" s="520">
        <v>300</v>
      </c>
      <c r="O57" s="4" t="s">
        <v>1287</v>
      </c>
    </row>
    <row r="58" spans="1:15" x14ac:dyDescent="0.25">
      <c r="A58" s="315">
        <f>VLOOKUP(J58,OtherOperatingExpenses,2)</f>
        <v>6245</v>
      </c>
      <c r="B58" s="518" t="s">
        <v>28</v>
      </c>
      <c r="C58" s="518" t="s">
        <v>692</v>
      </c>
      <c r="D58" s="467" t="s">
        <v>1200</v>
      </c>
      <c r="E58" s="518" t="s">
        <v>17</v>
      </c>
      <c r="F58" s="588"/>
      <c r="G58" s="590"/>
      <c r="H58" s="596"/>
      <c r="I58" s="596"/>
      <c r="J58" s="467" t="s">
        <v>758</v>
      </c>
      <c r="K58" s="74"/>
      <c r="L58" s="74"/>
      <c r="M58" s="74"/>
      <c r="N58" s="520">
        <v>375</v>
      </c>
      <c r="O58" s="4" t="s">
        <v>1287</v>
      </c>
    </row>
    <row r="59" spans="1:15" x14ac:dyDescent="0.25">
      <c r="A59" s="315">
        <f>VLOOKUP(J59,OtherOperatingExpenses,2)</f>
        <v>6245</v>
      </c>
      <c r="B59" s="518" t="s">
        <v>28</v>
      </c>
      <c r="C59" s="518" t="s">
        <v>692</v>
      </c>
      <c r="D59" s="467" t="s">
        <v>1201</v>
      </c>
      <c r="E59" s="518" t="s">
        <v>17</v>
      </c>
      <c r="F59" s="588" t="s">
        <v>1213</v>
      </c>
      <c r="G59" s="590"/>
      <c r="H59" s="596"/>
      <c r="I59" s="596"/>
      <c r="J59" s="467" t="s">
        <v>758</v>
      </c>
      <c r="K59" s="74"/>
      <c r="L59" s="74"/>
      <c r="M59" s="74"/>
      <c r="N59" s="520">
        <v>200</v>
      </c>
      <c r="O59" s="4" t="s">
        <v>1287</v>
      </c>
    </row>
    <row r="60" spans="1:15" x14ac:dyDescent="0.25">
      <c r="A60" s="315">
        <f>VLOOKUP(J60,OtherOperatingExpenses,2)</f>
        <v>6450</v>
      </c>
      <c r="B60" s="518" t="s">
        <v>28</v>
      </c>
      <c r="C60" s="518" t="s">
        <v>692</v>
      </c>
      <c r="D60" s="467" t="s">
        <v>1297</v>
      </c>
      <c r="E60" s="518"/>
      <c r="F60" s="467" t="s">
        <v>993</v>
      </c>
      <c r="G60" s="590"/>
      <c r="H60" s="597"/>
      <c r="I60" s="597"/>
      <c r="J60" s="467" t="s">
        <v>713</v>
      </c>
      <c r="K60" s="589">
        <v>1000</v>
      </c>
      <c r="L60" s="516"/>
      <c r="M60" s="516"/>
      <c r="N60" s="757">
        <v>1000</v>
      </c>
      <c r="O60" s="4" t="s">
        <v>1287</v>
      </c>
    </row>
    <row r="61" spans="1:15" x14ac:dyDescent="0.25">
      <c r="A61" s="515">
        <v>6365</v>
      </c>
      <c r="B61" s="518" t="s">
        <v>28</v>
      </c>
      <c r="C61" s="518" t="s">
        <v>692</v>
      </c>
      <c r="D61" s="467" t="s">
        <v>1443</v>
      </c>
      <c r="E61" s="467"/>
      <c r="F61" s="588" t="s">
        <v>1444</v>
      </c>
      <c r="G61" s="588"/>
      <c r="H61" s="466"/>
      <c r="I61" s="466"/>
      <c r="J61" s="467" t="s">
        <v>475</v>
      </c>
      <c r="K61" s="586"/>
      <c r="L61" s="520"/>
      <c r="M61" s="520"/>
      <c r="N61" s="759">
        <v>300</v>
      </c>
      <c r="O61" s="4" t="s">
        <v>1287</v>
      </c>
    </row>
    <row r="62" spans="1:15" x14ac:dyDescent="0.25">
      <c r="A62" s="315">
        <v>6350</v>
      </c>
      <c r="B62" s="518" t="s">
        <v>28</v>
      </c>
      <c r="C62" s="518" t="s">
        <v>692</v>
      </c>
      <c r="D62" s="467" t="s">
        <v>1471</v>
      </c>
      <c r="E62" s="467"/>
      <c r="F62" s="588" t="s">
        <v>1237</v>
      </c>
      <c r="G62" s="588"/>
      <c r="H62" s="466">
        <v>42552</v>
      </c>
      <c r="I62" s="466">
        <v>42916</v>
      </c>
      <c r="J62" s="467" t="s">
        <v>3</v>
      </c>
      <c r="K62" s="586">
        <v>190</v>
      </c>
      <c r="L62" s="520">
        <v>190</v>
      </c>
      <c r="M62" s="520">
        <v>190</v>
      </c>
      <c r="N62" s="761">
        <v>190</v>
      </c>
      <c r="O62" s="4" t="s">
        <v>1287</v>
      </c>
    </row>
    <row r="63" spans="1:15" x14ac:dyDescent="0.25">
      <c r="A63" s="315">
        <v>6450</v>
      </c>
      <c r="B63" s="518" t="s">
        <v>28</v>
      </c>
      <c r="C63" s="518" t="s">
        <v>472</v>
      </c>
      <c r="D63" s="467" t="s">
        <v>991</v>
      </c>
      <c r="E63" s="518"/>
      <c r="F63" s="467" t="s">
        <v>951</v>
      </c>
      <c r="G63" s="467"/>
      <c r="H63" s="466"/>
      <c r="I63" s="466"/>
      <c r="J63" s="467" t="s">
        <v>713</v>
      </c>
      <c r="K63" s="589"/>
      <c r="L63" s="516"/>
      <c r="M63" s="516"/>
      <c r="N63" s="516">
        <v>988.77</v>
      </c>
      <c r="O63" s="4" t="s">
        <v>1287</v>
      </c>
    </row>
    <row r="64" spans="1:15" x14ac:dyDescent="0.25">
      <c r="A64" s="192">
        <v>6450</v>
      </c>
      <c r="B64" s="518" t="s">
        <v>28</v>
      </c>
      <c r="C64" s="518" t="s">
        <v>143</v>
      </c>
      <c r="D64" s="467" t="s">
        <v>991</v>
      </c>
      <c r="E64" s="518"/>
      <c r="F64" s="518" t="s">
        <v>951</v>
      </c>
      <c r="G64" s="518"/>
      <c r="H64" s="596"/>
      <c r="I64" s="596"/>
      <c r="J64" s="518" t="s">
        <v>713</v>
      </c>
      <c r="K64" s="516"/>
      <c r="L64" s="516"/>
      <c r="M64" s="516"/>
      <c r="N64" s="516">
        <v>416.82</v>
      </c>
      <c r="O64" s="4" t="s">
        <v>1287</v>
      </c>
    </row>
    <row r="65" spans="1:15" x14ac:dyDescent="0.25">
      <c r="A65" s="315">
        <f>VLOOKUP(J65,OtherOperatingExpenses,2)</f>
        <v>6350</v>
      </c>
      <c r="B65" s="518" t="s">
        <v>32</v>
      </c>
      <c r="C65" s="518" t="s">
        <v>62</v>
      </c>
      <c r="D65" s="518" t="s">
        <v>1439</v>
      </c>
      <c r="E65" s="518" t="s">
        <v>17</v>
      </c>
      <c r="F65" s="518"/>
      <c r="G65" s="518"/>
      <c r="H65" s="596"/>
      <c r="I65" s="596"/>
      <c r="J65" s="518" t="s">
        <v>3</v>
      </c>
      <c r="K65" s="520"/>
      <c r="L65" s="520"/>
      <c r="M65" s="520">
        <v>145</v>
      </c>
      <c r="N65" s="520">
        <v>145</v>
      </c>
      <c r="O65" s="4" t="s">
        <v>1287</v>
      </c>
    </row>
    <row r="66" spans="1:15" x14ac:dyDescent="0.25">
      <c r="A66" s="315">
        <f>VLOOKUP(J66,OtherOperatingExpenses,2)</f>
        <v>6350</v>
      </c>
      <c r="B66" s="518" t="s">
        <v>32</v>
      </c>
      <c r="C66" s="518" t="s">
        <v>62</v>
      </c>
      <c r="D66" s="467" t="s">
        <v>1116</v>
      </c>
      <c r="E66" s="518"/>
      <c r="F66" s="467"/>
      <c r="G66" s="467"/>
      <c r="H66" s="596"/>
      <c r="I66" s="596"/>
      <c r="J66" s="467" t="s">
        <v>3</v>
      </c>
      <c r="K66" s="586"/>
      <c r="L66" s="520"/>
      <c r="M66" s="520">
        <v>300</v>
      </c>
      <c r="N66" s="520">
        <v>300</v>
      </c>
      <c r="O66" s="4" t="s">
        <v>1287</v>
      </c>
    </row>
    <row r="67" spans="1:15" x14ac:dyDescent="0.25">
      <c r="A67" s="315">
        <f>VLOOKUP(J67,OtherOperatingExpenses,2)</f>
        <v>6350</v>
      </c>
      <c r="B67" s="518" t="s">
        <v>32</v>
      </c>
      <c r="C67" s="518" t="s">
        <v>62</v>
      </c>
      <c r="D67" s="467" t="s">
        <v>1117</v>
      </c>
      <c r="E67" s="518"/>
      <c r="F67" s="588"/>
      <c r="G67" s="588"/>
      <c r="H67" s="596"/>
      <c r="I67" s="596"/>
      <c r="J67" s="467" t="s">
        <v>3</v>
      </c>
      <c r="K67" s="586"/>
      <c r="L67" s="520"/>
      <c r="M67" s="520">
        <v>260</v>
      </c>
      <c r="N67" s="520">
        <v>260</v>
      </c>
      <c r="O67" s="4" t="s">
        <v>1287</v>
      </c>
    </row>
    <row r="68" spans="1:15" x14ac:dyDescent="0.25">
      <c r="A68" s="315">
        <f>VLOOKUP(J68,OtherOperatingExpenses,2)</f>
        <v>6350</v>
      </c>
      <c r="B68" s="518" t="s">
        <v>32</v>
      </c>
      <c r="C68" s="518" t="s">
        <v>62</v>
      </c>
      <c r="D68" s="467" t="s">
        <v>1118</v>
      </c>
      <c r="E68" s="518"/>
      <c r="F68" s="588"/>
      <c r="G68" s="588"/>
      <c r="H68" s="596"/>
      <c r="I68" s="596"/>
      <c r="J68" s="467" t="s">
        <v>3</v>
      </c>
      <c r="K68" s="586"/>
      <c r="L68" s="520"/>
      <c r="M68" s="520">
        <v>320</v>
      </c>
      <c r="N68" s="520">
        <v>320</v>
      </c>
      <c r="O68" s="4" t="s">
        <v>1287</v>
      </c>
    </row>
    <row r="69" spans="1:15" x14ac:dyDescent="0.25">
      <c r="A69" s="315">
        <f>VLOOKUP(J69,OtherOperatingExpenses,2)</f>
        <v>6350</v>
      </c>
      <c r="B69" s="518" t="s">
        <v>32</v>
      </c>
      <c r="C69" s="518" t="s">
        <v>62</v>
      </c>
      <c r="D69" s="467" t="s">
        <v>1119</v>
      </c>
      <c r="E69" s="518"/>
      <c r="F69" s="588"/>
      <c r="G69" s="588"/>
      <c r="H69" s="596"/>
      <c r="I69" s="596"/>
      <c r="J69" s="467" t="s">
        <v>3</v>
      </c>
      <c r="K69" s="586"/>
      <c r="L69" s="520"/>
      <c r="M69" s="520">
        <v>250</v>
      </c>
      <c r="N69" s="520">
        <v>250</v>
      </c>
      <c r="O69" s="4" t="s">
        <v>1287</v>
      </c>
    </row>
    <row r="70" spans="1:15" x14ac:dyDescent="0.25">
      <c r="A70" s="192">
        <v>6375</v>
      </c>
      <c r="B70" s="518" t="s">
        <v>685</v>
      </c>
      <c r="C70" s="518" t="s">
        <v>114</v>
      </c>
      <c r="D70" s="467" t="s">
        <v>915</v>
      </c>
      <c r="E70" s="467" t="s">
        <v>17</v>
      </c>
      <c r="F70" s="588" t="s">
        <v>916</v>
      </c>
      <c r="G70" s="588" t="s">
        <v>917</v>
      </c>
      <c r="H70" s="466">
        <v>42552</v>
      </c>
      <c r="I70" s="466">
        <v>42916</v>
      </c>
      <c r="J70" s="518" t="s">
        <v>493</v>
      </c>
      <c r="K70" s="586">
        <v>1700</v>
      </c>
      <c r="L70" s="520"/>
      <c r="M70" s="520">
        <v>1562.45</v>
      </c>
      <c r="N70" s="520">
        <v>1700</v>
      </c>
      <c r="O70" s="4" t="s">
        <v>1287</v>
      </c>
    </row>
    <row r="71" spans="1:15" x14ac:dyDescent="0.25">
      <c r="A71" s="192">
        <v>6355</v>
      </c>
      <c r="B71" s="518" t="s">
        <v>685</v>
      </c>
      <c r="C71" s="518" t="s">
        <v>114</v>
      </c>
      <c r="D71" s="518" t="s">
        <v>927</v>
      </c>
      <c r="E71" s="518" t="s">
        <v>17</v>
      </c>
      <c r="F71" s="518" t="s">
        <v>928</v>
      </c>
      <c r="G71" s="518"/>
      <c r="H71" s="596">
        <v>42552</v>
      </c>
      <c r="I71" s="596">
        <v>42916</v>
      </c>
      <c r="J71" s="518" t="s">
        <v>4</v>
      </c>
      <c r="K71" s="586">
        <v>300</v>
      </c>
      <c r="L71" s="520"/>
      <c r="M71" s="520"/>
      <c r="N71" s="520">
        <v>300</v>
      </c>
      <c r="O71" s="4" t="s">
        <v>1287</v>
      </c>
    </row>
    <row r="72" spans="1:15" x14ac:dyDescent="0.25">
      <c r="A72" s="192">
        <v>6375</v>
      </c>
      <c r="B72" s="518" t="s">
        <v>685</v>
      </c>
      <c r="C72" s="518" t="s">
        <v>114</v>
      </c>
      <c r="D72" s="518" t="s">
        <v>1107</v>
      </c>
      <c r="E72" s="518" t="s">
        <v>17</v>
      </c>
      <c r="F72" s="518" t="s">
        <v>1108</v>
      </c>
      <c r="G72" s="518"/>
      <c r="H72" s="596">
        <v>42552</v>
      </c>
      <c r="I72" s="596">
        <v>42916</v>
      </c>
      <c r="J72" s="518" t="s">
        <v>493</v>
      </c>
      <c r="K72" s="586">
        <v>2500</v>
      </c>
      <c r="L72" s="520"/>
      <c r="M72" s="520"/>
      <c r="N72" s="520">
        <v>2500</v>
      </c>
      <c r="O72" s="4" t="s">
        <v>1287</v>
      </c>
    </row>
    <row r="73" spans="1:15" x14ac:dyDescent="0.25">
      <c r="A73" s="192">
        <v>6350</v>
      </c>
      <c r="B73" s="518" t="s">
        <v>685</v>
      </c>
      <c r="C73" s="518" t="s">
        <v>117</v>
      </c>
      <c r="D73" s="467" t="s">
        <v>909</v>
      </c>
      <c r="E73" s="467" t="s">
        <v>17</v>
      </c>
      <c r="F73" s="467" t="s">
        <v>910</v>
      </c>
      <c r="G73" s="467" t="s">
        <v>911</v>
      </c>
      <c r="H73" s="466">
        <v>42552</v>
      </c>
      <c r="I73" s="466">
        <v>42916</v>
      </c>
      <c r="J73" s="467" t="s">
        <v>3</v>
      </c>
      <c r="K73" s="586">
        <v>95</v>
      </c>
      <c r="L73" s="520"/>
      <c r="M73" s="520">
        <v>95</v>
      </c>
      <c r="N73" s="520">
        <v>95</v>
      </c>
      <c r="O73" s="4" t="s">
        <v>1287</v>
      </c>
    </row>
    <row r="74" spans="1:15" s="428" customFormat="1" x14ac:dyDescent="0.25">
      <c r="A74" s="192">
        <v>6350</v>
      </c>
      <c r="B74" s="518" t="s">
        <v>685</v>
      </c>
      <c r="C74" s="518" t="s">
        <v>117</v>
      </c>
      <c r="D74" s="467" t="s">
        <v>912</v>
      </c>
      <c r="E74" s="467" t="s">
        <v>17</v>
      </c>
      <c r="F74" s="467" t="s">
        <v>910</v>
      </c>
      <c r="G74" s="467" t="s">
        <v>911</v>
      </c>
      <c r="H74" s="466">
        <v>42552</v>
      </c>
      <c r="I74" s="466">
        <v>42916</v>
      </c>
      <c r="J74" s="467" t="s">
        <v>3</v>
      </c>
      <c r="K74" s="586">
        <v>95</v>
      </c>
      <c r="L74" s="520"/>
      <c r="M74" s="520">
        <v>95</v>
      </c>
      <c r="N74" s="520">
        <v>95</v>
      </c>
      <c r="O74" s="428" t="s">
        <v>1287</v>
      </c>
    </row>
    <row r="75" spans="1:15" s="428" customFormat="1" x14ac:dyDescent="0.25">
      <c r="A75" s="192">
        <v>6350</v>
      </c>
      <c r="B75" s="518" t="s">
        <v>685</v>
      </c>
      <c r="C75" s="518" t="s">
        <v>117</v>
      </c>
      <c r="D75" s="467" t="s">
        <v>913</v>
      </c>
      <c r="E75" s="467" t="s">
        <v>17</v>
      </c>
      <c r="F75" s="467" t="s">
        <v>910</v>
      </c>
      <c r="G75" s="467" t="s">
        <v>911</v>
      </c>
      <c r="H75" s="466">
        <v>42552</v>
      </c>
      <c r="I75" s="466">
        <v>42916</v>
      </c>
      <c r="J75" s="467" t="s">
        <v>3</v>
      </c>
      <c r="K75" s="586">
        <v>95</v>
      </c>
      <c r="L75" s="520"/>
      <c r="M75" s="520">
        <v>95</v>
      </c>
      <c r="N75" s="520">
        <v>95</v>
      </c>
      <c r="O75" s="428" t="s">
        <v>1287</v>
      </c>
    </row>
    <row r="76" spans="1:15" x14ac:dyDescent="0.25">
      <c r="A76" s="192">
        <v>6350</v>
      </c>
      <c r="B76" s="518" t="s">
        <v>685</v>
      </c>
      <c r="C76" s="518" t="s">
        <v>117</v>
      </c>
      <c r="D76" s="467" t="s">
        <v>914</v>
      </c>
      <c r="E76" s="467" t="s">
        <v>17</v>
      </c>
      <c r="F76" s="467" t="s">
        <v>910</v>
      </c>
      <c r="G76" s="467" t="s">
        <v>911</v>
      </c>
      <c r="H76" s="466">
        <v>42552</v>
      </c>
      <c r="I76" s="466">
        <v>42916</v>
      </c>
      <c r="J76" s="467" t="s">
        <v>3</v>
      </c>
      <c r="K76" s="586">
        <v>95</v>
      </c>
      <c r="L76" s="520"/>
      <c r="M76" s="520">
        <v>95</v>
      </c>
      <c r="N76" s="520">
        <v>95</v>
      </c>
      <c r="O76" s="4" t="s">
        <v>1287</v>
      </c>
    </row>
    <row r="77" spans="1:15" x14ac:dyDescent="0.25">
      <c r="A77" s="192">
        <v>6355</v>
      </c>
      <c r="B77" s="518" t="s">
        <v>685</v>
      </c>
      <c r="C77" s="518" t="s">
        <v>117</v>
      </c>
      <c r="D77" s="518" t="s">
        <v>927</v>
      </c>
      <c r="E77" s="518" t="s">
        <v>17</v>
      </c>
      <c r="F77" s="467" t="s">
        <v>928</v>
      </c>
      <c r="G77" s="518"/>
      <c r="H77" s="596">
        <v>42552</v>
      </c>
      <c r="I77" s="596">
        <v>42916</v>
      </c>
      <c r="J77" s="518" t="s">
        <v>4</v>
      </c>
      <c r="K77" s="586">
        <v>300</v>
      </c>
      <c r="L77" s="520"/>
      <c r="M77" s="520"/>
      <c r="N77" s="520">
        <v>300</v>
      </c>
      <c r="O77" s="4" t="s">
        <v>1287</v>
      </c>
    </row>
    <row r="78" spans="1:15" x14ac:dyDescent="0.25">
      <c r="A78" s="192">
        <v>6245</v>
      </c>
      <c r="B78" s="518" t="s">
        <v>685</v>
      </c>
      <c r="C78" s="518" t="s">
        <v>692</v>
      </c>
      <c r="D78" s="518" t="s">
        <v>906</v>
      </c>
      <c r="E78" s="518" t="s">
        <v>17</v>
      </c>
      <c r="F78" s="518" t="s">
        <v>907</v>
      </c>
      <c r="G78" s="518" t="s">
        <v>908</v>
      </c>
      <c r="H78" s="596">
        <v>42552</v>
      </c>
      <c r="I78" s="596">
        <v>42916</v>
      </c>
      <c r="J78" s="518" t="s">
        <v>758</v>
      </c>
      <c r="K78" s="586">
        <v>235</v>
      </c>
      <c r="L78" s="520"/>
      <c r="M78" s="520">
        <v>215</v>
      </c>
      <c r="N78" s="520">
        <v>235</v>
      </c>
      <c r="O78" s="4" t="s">
        <v>1287</v>
      </c>
    </row>
    <row r="79" spans="1:15" x14ac:dyDescent="0.25">
      <c r="A79" s="192">
        <v>6380</v>
      </c>
      <c r="B79" s="518" t="s">
        <v>685</v>
      </c>
      <c r="C79" s="518" t="s">
        <v>692</v>
      </c>
      <c r="D79" s="467" t="s">
        <v>918</v>
      </c>
      <c r="E79" s="467" t="s">
        <v>17</v>
      </c>
      <c r="F79" s="588" t="s">
        <v>919</v>
      </c>
      <c r="G79" s="588"/>
      <c r="H79" s="596">
        <v>42552</v>
      </c>
      <c r="I79" s="596">
        <v>42916</v>
      </c>
      <c r="J79" s="518" t="s">
        <v>492</v>
      </c>
      <c r="K79" s="586">
        <v>300</v>
      </c>
      <c r="L79" s="520"/>
      <c r="M79" s="520">
        <v>79.989999999999995</v>
      </c>
      <c r="N79" s="520">
        <v>300</v>
      </c>
      <c r="O79" s="4" t="s">
        <v>1287</v>
      </c>
    </row>
    <row r="80" spans="1:15" x14ac:dyDescent="0.25">
      <c r="A80" s="192">
        <v>6365</v>
      </c>
      <c r="B80" s="518" t="s">
        <v>685</v>
      </c>
      <c r="C80" s="518" t="s">
        <v>692</v>
      </c>
      <c r="D80" s="467" t="s">
        <v>920</v>
      </c>
      <c r="E80" s="467" t="s">
        <v>17</v>
      </c>
      <c r="F80" s="588" t="s">
        <v>921</v>
      </c>
      <c r="G80" s="588" t="s">
        <v>922</v>
      </c>
      <c r="H80" s="466">
        <v>42552</v>
      </c>
      <c r="I80" s="466">
        <v>42916</v>
      </c>
      <c r="J80" s="467" t="s">
        <v>1442</v>
      </c>
      <c r="K80" s="586">
        <v>225</v>
      </c>
      <c r="L80" s="520"/>
      <c r="M80" s="520"/>
      <c r="N80" s="520">
        <v>225</v>
      </c>
      <c r="O80" s="4" t="s">
        <v>1287</v>
      </c>
    </row>
    <row r="81" spans="1:15" x14ac:dyDescent="0.25">
      <c r="A81" s="192">
        <v>6365</v>
      </c>
      <c r="B81" s="518" t="s">
        <v>685</v>
      </c>
      <c r="C81" s="518" t="s">
        <v>692</v>
      </c>
      <c r="D81" s="467" t="s">
        <v>923</v>
      </c>
      <c r="E81" s="518" t="s">
        <v>17</v>
      </c>
      <c r="F81" s="588" t="s">
        <v>921</v>
      </c>
      <c r="G81" s="588" t="s">
        <v>922</v>
      </c>
      <c r="H81" s="466">
        <v>42552</v>
      </c>
      <c r="I81" s="466">
        <v>42916</v>
      </c>
      <c r="J81" s="467" t="s">
        <v>1442</v>
      </c>
      <c r="K81" s="586">
        <v>100</v>
      </c>
      <c r="L81" s="520"/>
      <c r="M81" s="520"/>
      <c r="N81" s="520">
        <v>100</v>
      </c>
      <c r="O81" s="4" t="s">
        <v>1287</v>
      </c>
    </row>
    <row r="82" spans="1:15" x14ac:dyDescent="0.25">
      <c r="A82" s="192">
        <v>6365</v>
      </c>
      <c r="B82" s="518" t="s">
        <v>685</v>
      </c>
      <c r="C82" s="518" t="s">
        <v>692</v>
      </c>
      <c r="D82" s="467" t="s">
        <v>924</v>
      </c>
      <c r="E82" s="518" t="s">
        <v>17</v>
      </c>
      <c r="F82" s="588" t="s">
        <v>921</v>
      </c>
      <c r="G82" s="588" t="s">
        <v>922</v>
      </c>
      <c r="H82" s="466">
        <v>42552</v>
      </c>
      <c r="I82" s="466">
        <v>42916</v>
      </c>
      <c r="J82" s="467" t="s">
        <v>1442</v>
      </c>
      <c r="K82" s="586">
        <v>225</v>
      </c>
      <c r="L82" s="520"/>
      <c r="M82" s="520"/>
      <c r="N82" s="520">
        <v>225</v>
      </c>
      <c r="O82" s="4" t="s">
        <v>1287</v>
      </c>
    </row>
    <row r="83" spans="1:15" x14ac:dyDescent="0.25">
      <c r="A83" s="192">
        <v>6365</v>
      </c>
      <c r="B83" s="518" t="s">
        <v>685</v>
      </c>
      <c r="C83" s="518" t="s">
        <v>692</v>
      </c>
      <c r="D83" s="467" t="s">
        <v>925</v>
      </c>
      <c r="E83" s="518" t="s">
        <v>17</v>
      </c>
      <c r="F83" s="588" t="s">
        <v>921</v>
      </c>
      <c r="G83" s="588" t="s">
        <v>922</v>
      </c>
      <c r="H83" s="466">
        <v>42552</v>
      </c>
      <c r="I83" s="466">
        <v>42916</v>
      </c>
      <c r="J83" s="467" t="s">
        <v>1442</v>
      </c>
      <c r="K83" s="586">
        <v>225</v>
      </c>
      <c r="L83" s="520"/>
      <c r="M83" s="520"/>
      <c r="N83" s="520">
        <v>225</v>
      </c>
      <c r="O83" s="4" t="s">
        <v>1287</v>
      </c>
    </row>
    <row r="84" spans="1:15" x14ac:dyDescent="0.25">
      <c r="A84" s="192">
        <v>6365</v>
      </c>
      <c r="B84" s="518" t="s">
        <v>685</v>
      </c>
      <c r="C84" s="518" t="s">
        <v>692</v>
      </c>
      <c r="D84" s="467" t="s">
        <v>926</v>
      </c>
      <c r="E84" s="518" t="s">
        <v>17</v>
      </c>
      <c r="F84" s="588" t="s">
        <v>921</v>
      </c>
      <c r="G84" s="588" t="s">
        <v>922</v>
      </c>
      <c r="H84" s="466">
        <v>42552</v>
      </c>
      <c r="I84" s="466">
        <v>42916</v>
      </c>
      <c r="J84" s="467" t="s">
        <v>1442</v>
      </c>
      <c r="K84" s="586">
        <v>225</v>
      </c>
      <c r="L84" s="520"/>
      <c r="M84" s="520"/>
      <c r="N84" s="520">
        <v>225</v>
      </c>
      <c r="O84" s="4" t="s">
        <v>1287</v>
      </c>
    </row>
    <row r="85" spans="1:15" x14ac:dyDescent="0.25">
      <c r="A85" s="192">
        <v>6365</v>
      </c>
      <c r="B85" s="518" t="s">
        <v>685</v>
      </c>
      <c r="C85" s="518" t="s">
        <v>692</v>
      </c>
      <c r="D85" s="518" t="s">
        <v>1106</v>
      </c>
      <c r="E85" s="518" t="s">
        <v>17</v>
      </c>
      <c r="F85" s="588" t="s">
        <v>921</v>
      </c>
      <c r="G85" s="588" t="s">
        <v>922</v>
      </c>
      <c r="H85" s="596">
        <v>42552</v>
      </c>
      <c r="I85" s="596">
        <v>42916</v>
      </c>
      <c r="J85" s="467" t="s">
        <v>1442</v>
      </c>
      <c r="K85" s="586">
        <v>150</v>
      </c>
      <c r="L85" s="520"/>
      <c r="M85" s="520"/>
      <c r="N85" s="520">
        <v>150</v>
      </c>
      <c r="O85" s="4" t="s">
        <v>1287</v>
      </c>
    </row>
    <row r="86" spans="1:15" x14ac:dyDescent="0.25">
      <c r="A86" s="192">
        <v>6355</v>
      </c>
      <c r="B86" s="700" t="s">
        <v>685</v>
      </c>
      <c r="C86" s="518" t="s">
        <v>692</v>
      </c>
      <c r="D86" s="698" t="s">
        <v>1582</v>
      </c>
      <c r="E86" s="700" t="s">
        <v>17</v>
      </c>
      <c r="F86" s="698" t="s">
        <v>907</v>
      </c>
      <c r="G86" s="467"/>
      <c r="H86" s="466">
        <v>42631</v>
      </c>
      <c r="I86" s="466">
        <v>42637</v>
      </c>
      <c r="J86" s="698" t="s">
        <v>758</v>
      </c>
      <c r="K86" s="586">
        <v>2247</v>
      </c>
      <c r="L86" s="74">
        <v>0</v>
      </c>
      <c r="M86" s="74"/>
      <c r="N86" s="516">
        <v>2247</v>
      </c>
      <c r="O86" s="4" t="s">
        <v>1287</v>
      </c>
    </row>
    <row r="87" spans="1:15" x14ac:dyDescent="0.25">
      <c r="A87" s="192">
        <v>6355</v>
      </c>
      <c r="B87" s="700" t="s">
        <v>41</v>
      </c>
      <c r="C87" s="700" t="s">
        <v>692</v>
      </c>
      <c r="D87" s="698" t="s">
        <v>1036</v>
      </c>
      <c r="E87" s="700"/>
      <c r="F87" s="698"/>
      <c r="G87" s="698"/>
      <c r="H87" s="466"/>
      <c r="I87" s="466"/>
      <c r="J87" s="698" t="s">
        <v>4</v>
      </c>
      <c r="K87" s="701">
        <v>400</v>
      </c>
      <c r="L87" s="699">
        <v>260.37</v>
      </c>
      <c r="M87" s="74"/>
      <c r="N87" s="699">
        <f>K87</f>
        <v>400</v>
      </c>
      <c r="O87" s="4" t="s">
        <v>1287</v>
      </c>
    </row>
    <row r="88" spans="1:15" x14ac:dyDescent="0.25">
      <c r="A88" s="192">
        <v>6245</v>
      </c>
      <c r="B88" s="700" t="s">
        <v>41</v>
      </c>
      <c r="C88" s="700" t="s">
        <v>692</v>
      </c>
      <c r="D88" s="698" t="s">
        <v>1430</v>
      </c>
      <c r="E88" s="700"/>
      <c r="F88" s="702" t="s">
        <v>910</v>
      </c>
      <c r="G88" s="702"/>
      <c r="H88" s="466"/>
      <c r="I88" s="466"/>
      <c r="J88" s="698" t="s">
        <v>3</v>
      </c>
      <c r="K88" s="701">
        <f>95*2</f>
        <v>190</v>
      </c>
      <c r="L88" s="74"/>
      <c r="M88" s="74"/>
      <c r="N88" s="699">
        <f>K88</f>
        <v>190</v>
      </c>
      <c r="O88" s="4" t="s">
        <v>1287</v>
      </c>
    </row>
    <row r="89" spans="1:15" x14ac:dyDescent="0.25">
      <c r="A89" s="192">
        <v>6375</v>
      </c>
      <c r="B89" s="700" t="s">
        <v>41</v>
      </c>
      <c r="C89" s="700" t="s">
        <v>692</v>
      </c>
      <c r="D89" s="698" t="s">
        <v>1481</v>
      </c>
      <c r="E89" s="700"/>
      <c r="F89" s="702"/>
      <c r="G89" s="702"/>
      <c r="H89" s="466"/>
      <c r="I89" s="466"/>
      <c r="J89" s="698" t="s">
        <v>493</v>
      </c>
      <c r="K89" s="701">
        <v>750</v>
      </c>
      <c r="L89" s="74"/>
      <c r="M89" s="74"/>
      <c r="N89" s="699">
        <f>K89</f>
        <v>750</v>
      </c>
      <c r="O89" s="4" t="s">
        <v>1287</v>
      </c>
    </row>
    <row r="90" spans="1:15" x14ac:dyDescent="0.25">
      <c r="A90" s="692">
        <v>6355</v>
      </c>
      <c r="B90" s="700" t="s">
        <v>41</v>
      </c>
      <c r="C90" s="700" t="s">
        <v>692</v>
      </c>
      <c r="D90" s="698" t="s">
        <v>1583</v>
      </c>
      <c r="E90" s="698" t="s">
        <v>17</v>
      </c>
      <c r="F90" s="702" t="s">
        <v>910</v>
      </c>
      <c r="G90" s="702"/>
      <c r="H90" s="697"/>
      <c r="I90" s="697"/>
      <c r="J90" s="698" t="s">
        <v>758</v>
      </c>
      <c r="K90" s="589">
        <v>2560</v>
      </c>
      <c r="L90" s="699"/>
      <c r="M90" s="699"/>
      <c r="N90" s="699">
        <v>2560</v>
      </c>
      <c r="O90" s="4" t="s">
        <v>1287</v>
      </c>
    </row>
    <row r="91" spans="1:15" ht="15" customHeight="1" x14ac:dyDescent="0.25">
      <c r="A91" s="692">
        <v>6355</v>
      </c>
      <c r="B91" s="700" t="s">
        <v>775</v>
      </c>
      <c r="C91" s="700" t="s">
        <v>159</v>
      </c>
      <c r="D91" s="698" t="s">
        <v>4</v>
      </c>
      <c r="E91" s="698"/>
      <c r="F91" s="702"/>
      <c r="G91" s="702"/>
      <c r="H91" s="697"/>
      <c r="I91" s="697"/>
      <c r="J91" s="698" t="s">
        <v>4</v>
      </c>
      <c r="K91" s="589">
        <v>200</v>
      </c>
      <c r="L91" s="699"/>
      <c r="M91" s="699"/>
      <c r="N91" s="699">
        <v>100</v>
      </c>
      <c r="O91" s="4" t="s">
        <v>1287</v>
      </c>
    </row>
    <row r="92" spans="1:15" x14ac:dyDescent="0.25">
      <c r="A92" s="692">
        <v>6365</v>
      </c>
      <c r="B92" s="700" t="s">
        <v>775</v>
      </c>
      <c r="C92" s="700" t="s">
        <v>162</v>
      </c>
      <c r="D92" s="698" t="s">
        <v>1455</v>
      </c>
      <c r="E92" s="698"/>
      <c r="F92" s="702"/>
      <c r="G92" s="702"/>
      <c r="H92" s="697"/>
      <c r="I92" s="697"/>
      <c r="J92" s="700" t="s">
        <v>1442</v>
      </c>
      <c r="K92" s="701">
        <v>2192</v>
      </c>
      <c r="L92" s="689"/>
      <c r="M92" s="689"/>
      <c r="N92" s="689">
        <v>1096</v>
      </c>
      <c r="O92" s="4" t="s">
        <v>1287</v>
      </c>
    </row>
    <row r="93" spans="1:15" x14ac:dyDescent="0.25">
      <c r="A93" s="692">
        <f>VLOOKUP(J93,OtherOperatingExpenses,2)</f>
        <v>6355</v>
      </c>
      <c r="B93" s="700" t="s">
        <v>775</v>
      </c>
      <c r="C93" s="700" t="s">
        <v>162</v>
      </c>
      <c r="D93" s="698" t="s">
        <v>4</v>
      </c>
      <c r="E93" s="590"/>
      <c r="F93" s="590"/>
      <c r="G93" s="590"/>
      <c r="H93" s="597"/>
      <c r="I93" s="597"/>
      <c r="J93" s="698" t="s">
        <v>4</v>
      </c>
      <c r="K93" s="74"/>
      <c r="L93" s="74"/>
      <c r="M93" s="74"/>
      <c r="N93" s="689">
        <v>100</v>
      </c>
      <c r="O93" s="4" t="s">
        <v>1287</v>
      </c>
    </row>
    <row r="94" spans="1:15" x14ac:dyDescent="0.25">
      <c r="A94" s="692">
        <v>6355</v>
      </c>
      <c r="B94" s="700" t="s">
        <v>775</v>
      </c>
      <c r="C94" s="700" t="s">
        <v>124</v>
      </c>
      <c r="D94" s="698" t="s">
        <v>4</v>
      </c>
      <c r="E94" s="698"/>
      <c r="F94" s="698"/>
      <c r="G94" s="698"/>
      <c r="H94" s="697"/>
      <c r="I94" s="697"/>
      <c r="J94" s="698" t="s">
        <v>4</v>
      </c>
      <c r="K94" s="589">
        <v>676</v>
      </c>
      <c r="L94" s="699"/>
      <c r="M94" s="699"/>
      <c r="N94" s="699">
        <v>300</v>
      </c>
      <c r="O94" s="4" t="s">
        <v>1287</v>
      </c>
    </row>
    <row r="95" spans="1:15" x14ac:dyDescent="0.25">
      <c r="A95" s="692">
        <v>6365</v>
      </c>
      <c r="B95" s="700" t="s">
        <v>775</v>
      </c>
      <c r="C95" s="700" t="s">
        <v>124</v>
      </c>
      <c r="D95" s="698" t="s">
        <v>1455</v>
      </c>
      <c r="E95" s="698"/>
      <c r="F95" s="698"/>
      <c r="G95" s="698"/>
      <c r="H95" s="697"/>
      <c r="I95" s="697"/>
      <c r="J95" s="698" t="s">
        <v>1442</v>
      </c>
      <c r="K95" s="589">
        <v>693</v>
      </c>
      <c r="L95" s="699"/>
      <c r="M95" s="699"/>
      <c r="N95" s="699">
        <v>300</v>
      </c>
      <c r="O95" s="4" t="s">
        <v>1287</v>
      </c>
    </row>
    <row r="96" spans="1:15" x14ac:dyDescent="0.25">
      <c r="A96" s="192">
        <v>6355</v>
      </c>
      <c r="B96" s="700" t="s">
        <v>775</v>
      </c>
      <c r="C96" s="700" t="s">
        <v>125</v>
      </c>
      <c r="D96" s="700" t="s">
        <v>1216</v>
      </c>
      <c r="E96" s="700" t="s">
        <v>16</v>
      </c>
      <c r="F96" s="700" t="s">
        <v>1215</v>
      </c>
      <c r="G96" s="700"/>
      <c r="H96" s="596"/>
      <c r="I96" s="596"/>
      <c r="J96" s="700" t="s">
        <v>4</v>
      </c>
      <c r="K96" s="689"/>
      <c r="L96" s="74"/>
      <c r="M96" s="74"/>
      <c r="N96" s="689">
        <v>6000</v>
      </c>
      <c r="O96" s="4" t="s">
        <v>1287</v>
      </c>
    </row>
    <row r="97" spans="1:15" x14ac:dyDescent="0.25">
      <c r="A97" s="192">
        <v>6365</v>
      </c>
      <c r="B97" s="700" t="s">
        <v>775</v>
      </c>
      <c r="C97" s="700" t="s">
        <v>125</v>
      </c>
      <c r="D97" s="698" t="s">
        <v>1074</v>
      </c>
      <c r="E97" s="700" t="s">
        <v>16</v>
      </c>
      <c r="F97" s="698" t="s">
        <v>1195</v>
      </c>
      <c r="G97" s="698"/>
      <c r="H97" s="596"/>
      <c r="I97" s="596"/>
      <c r="J97" s="698" t="s">
        <v>1442</v>
      </c>
      <c r="K97" s="701"/>
      <c r="L97" s="74"/>
      <c r="M97" s="74"/>
      <c r="N97" s="689">
        <v>9500</v>
      </c>
      <c r="O97" s="4" t="s">
        <v>1287</v>
      </c>
    </row>
    <row r="98" spans="1:15" x14ac:dyDescent="0.25">
      <c r="A98" s="192">
        <v>6355</v>
      </c>
      <c r="B98" s="700" t="s">
        <v>775</v>
      </c>
      <c r="C98" s="700" t="s">
        <v>125</v>
      </c>
      <c r="D98" s="698" t="s">
        <v>1217</v>
      </c>
      <c r="E98" s="700" t="s">
        <v>16</v>
      </c>
      <c r="F98" s="702" t="s">
        <v>1215</v>
      </c>
      <c r="G98" s="702"/>
      <c r="H98" s="596"/>
      <c r="I98" s="596"/>
      <c r="J98" s="698" t="s">
        <v>4</v>
      </c>
      <c r="K98" s="701"/>
      <c r="L98" s="74"/>
      <c r="M98" s="74"/>
      <c r="N98" s="689">
        <v>500</v>
      </c>
      <c r="O98" s="4" t="s">
        <v>1287</v>
      </c>
    </row>
    <row r="99" spans="1:15" x14ac:dyDescent="0.25">
      <c r="A99" s="192">
        <v>6350</v>
      </c>
      <c r="B99" s="700" t="s">
        <v>37</v>
      </c>
      <c r="C99" s="700" t="s">
        <v>116</v>
      </c>
      <c r="D99" s="698" t="s">
        <v>1069</v>
      </c>
      <c r="E99" s="700" t="s">
        <v>17</v>
      </c>
      <c r="F99" s="702"/>
      <c r="G99" s="702"/>
      <c r="H99" s="596"/>
      <c r="I99" s="596"/>
      <c r="J99" s="698" t="s">
        <v>3</v>
      </c>
      <c r="K99" s="701"/>
      <c r="L99" s="689"/>
      <c r="M99" s="689"/>
      <c r="N99" s="689">
        <v>4100</v>
      </c>
      <c r="O99" s="4" t="s">
        <v>1287</v>
      </c>
    </row>
    <row r="100" spans="1:15" x14ac:dyDescent="0.25">
      <c r="A100" s="192">
        <v>6365</v>
      </c>
      <c r="B100" s="700" t="s">
        <v>37</v>
      </c>
      <c r="C100" s="700" t="s">
        <v>143</v>
      </c>
      <c r="D100" s="700" t="s">
        <v>1068</v>
      </c>
      <c r="E100" s="700" t="s">
        <v>17</v>
      </c>
      <c r="F100" s="700"/>
      <c r="G100" s="700"/>
      <c r="H100" s="596">
        <v>42552</v>
      </c>
      <c r="I100" s="596">
        <v>42916</v>
      </c>
      <c r="J100" s="700" t="s">
        <v>1442</v>
      </c>
      <c r="K100" s="689"/>
      <c r="L100" s="689"/>
      <c r="M100" s="689"/>
      <c r="N100" s="74">
        <v>0</v>
      </c>
    </row>
    <row r="101" spans="1:15" x14ac:dyDescent="0.25">
      <c r="A101" s="192">
        <v>6350</v>
      </c>
      <c r="B101" s="700" t="s">
        <v>37</v>
      </c>
      <c r="C101" s="700" t="s">
        <v>143</v>
      </c>
      <c r="D101" s="698" t="s">
        <v>1069</v>
      </c>
      <c r="E101" s="700" t="s">
        <v>17</v>
      </c>
      <c r="F101" s="698"/>
      <c r="G101" s="698"/>
      <c r="H101" s="596"/>
      <c r="I101" s="596"/>
      <c r="J101" s="698" t="s">
        <v>3</v>
      </c>
      <c r="K101" s="701"/>
      <c r="L101" s="689"/>
      <c r="M101" s="689"/>
      <c r="N101" s="689">
        <v>2340</v>
      </c>
      <c r="O101" s="4" t="s">
        <v>1287</v>
      </c>
    </row>
    <row r="102" spans="1:15" x14ac:dyDescent="0.25">
      <c r="A102" s="692">
        <v>6365</v>
      </c>
      <c r="B102" s="700" t="s">
        <v>29</v>
      </c>
      <c r="C102" s="700" t="s">
        <v>62</v>
      </c>
      <c r="D102" s="700" t="s">
        <v>1251</v>
      </c>
      <c r="E102" s="700"/>
      <c r="F102" s="698" t="s">
        <v>1252</v>
      </c>
      <c r="G102" s="700"/>
      <c r="H102" s="587"/>
      <c r="I102" s="587"/>
      <c r="J102" s="700" t="s">
        <v>1442</v>
      </c>
      <c r="K102" s="689">
        <v>500</v>
      </c>
      <c r="L102" s="689">
        <v>487.5</v>
      </c>
      <c r="M102" s="689">
        <v>487.5</v>
      </c>
      <c r="N102" s="689">
        <v>500</v>
      </c>
      <c r="O102" s="4" t="s">
        <v>1287</v>
      </c>
    </row>
    <row r="103" spans="1:15" x14ac:dyDescent="0.25">
      <c r="A103" s="692">
        <v>6375</v>
      </c>
      <c r="B103" s="700" t="s">
        <v>29</v>
      </c>
      <c r="C103" s="700" t="s">
        <v>692</v>
      </c>
      <c r="D103" s="700" t="s">
        <v>1231</v>
      </c>
      <c r="E103" s="700" t="s">
        <v>16</v>
      </c>
      <c r="F103" s="700" t="s">
        <v>1232</v>
      </c>
      <c r="G103" s="700"/>
      <c r="H103" s="596">
        <v>42352</v>
      </c>
      <c r="I103" s="596">
        <v>42717</v>
      </c>
      <c r="J103" s="700" t="s">
        <v>493</v>
      </c>
      <c r="K103" s="689"/>
      <c r="L103" s="689">
        <v>19170</v>
      </c>
      <c r="M103" s="689">
        <v>19170</v>
      </c>
      <c r="N103" s="689">
        <v>19170</v>
      </c>
      <c r="O103" s="4" t="s">
        <v>1287</v>
      </c>
    </row>
    <row r="104" spans="1:15" x14ac:dyDescent="0.25">
      <c r="A104" s="692">
        <v>6350</v>
      </c>
      <c r="B104" s="700" t="s">
        <v>29</v>
      </c>
      <c r="C104" s="700" t="s">
        <v>692</v>
      </c>
      <c r="D104" s="698" t="s">
        <v>1235</v>
      </c>
      <c r="E104" s="698"/>
      <c r="F104" s="702" t="s">
        <v>1236</v>
      </c>
      <c r="G104" s="702"/>
      <c r="H104" s="466">
        <v>42552</v>
      </c>
      <c r="I104" s="466">
        <v>42916</v>
      </c>
      <c r="J104" s="698" t="s">
        <v>3</v>
      </c>
      <c r="K104" s="701">
        <v>21379</v>
      </c>
      <c r="L104" s="689">
        <v>21379</v>
      </c>
      <c r="M104" s="689">
        <v>21379</v>
      </c>
      <c r="N104" s="689">
        <v>22000</v>
      </c>
      <c r="O104" s="4" t="s">
        <v>1287</v>
      </c>
    </row>
    <row r="105" spans="1:15" x14ac:dyDescent="0.25">
      <c r="A105" s="692">
        <v>6350</v>
      </c>
      <c r="B105" s="700" t="s">
        <v>29</v>
      </c>
      <c r="C105" s="700" t="s">
        <v>692</v>
      </c>
      <c r="D105" s="698" t="s">
        <v>1238</v>
      </c>
      <c r="E105" s="698"/>
      <c r="F105" s="702" t="s">
        <v>1239</v>
      </c>
      <c r="G105" s="702"/>
      <c r="H105" s="466">
        <v>42552</v>
      </c>
      <c r="I105" s="466">
        <v>42916</v>
      </c>
      <c r="J105" s="698" t="s">
        <v>3</v>
      </c>
      <c r="K105" s="701">
        <v>1500</v>
      </c>
      <c r="L105" s="689">
        <v>1500</v>
      </c>
      <c r="M105" s="689">
        <v>1500</v>
      </c>
      <c r="N105" s="689">
        <v>1500</v>
      </c>
      <c r="O105" s="4" t="s">
        <v>1287</v>
      </c>
    </row>
    <row r="106" spans="1:15" x14ac:dyDescent="0.25">
      <c r="A106" s="692">
        <v>6350</v>
      </c>
      <c r="B106" s="700" t="s">
        <v>29</v>
      </c>
      <c r="C106" s="700" t="s">
        <v>692</v>
      </c>
      <c r="D106" s="698" t="s">
        <v>1240</v>
      </c>
      <c r="E106" s="698"/>
      <c r="F106" s="702" t="s">
        <v>1241</v>
      </c>
      <c r="G106" s="702"/>
      <c r="H106" s="466">
        <v>42552</v>
      </c>
      <c r="I106" s="466">
        <v>42916</v>
      </c>
      <c r="J106" s="700" t="s">
        <v>3</v>
      </c>
      <c r="K106" s="701">
        <v>190</v>
      </c>
      <c r="L106" s="689">
        <v>190</v>
      </c>
      <c r="M106" s="689">
        <v>190</v>
      </c>
      <c r="N106" s="689">
        <v>190</v>
      </c>
      <c r="O106" s="4" t="s">
        <v>1287</v>
      </c>
    </row>
    <row r="107" spans="1:15" x14ac:dyDescent="0.25">
      <c r="A107" s="692">
        <v>6350</v>
      </c>
      <c r="B107" s="700" t="s">
        <v>29</v>
      </c>
      <c r="C107" s="700" t="s">
        <v>692</v>
      </c>
      <c r="D107" s="698" t="s">
        <v>1238</v>
      </c>
      <c r="E107" s="698"/>
      <c r="F107" s="702" t="s">
        <v>1242</v>
      </c>
      <c r="G107" s="702"/>
      <c r="H107" s="596">
        <v>42552</v>
      </c>
      <c r="I107" s="596">
        <v>42916</v>
      </c>
      <c r="J107" s="700" t="s">
        <v>3</v>
      </c>
      <c r="K107" s="689">
        <v>1890</v>
      </c>
      <c r="L107" s="689">
        <v>1890</v>
      </c>
      <c r="M107" s="689">
        <v>1890</v>
      </c>
      <c r="N107" s="689">
        <v>1890</v>
      </c>
      <c r="O107" s="4" t="s">
        <v>1287</v>
      </c>
    </row>
    <row r="108" spans="1:15" x14ac:dyDescent="0.25">
      <c r="A108" s="692">
        <v>6350</v>
      </c>
      <c r="B108" s="700" t="s">
        <v>29</v>
      </c>
      <c r="C108" s="700" t="s">
        <v>692</v>
      </c>
      <c r="D108" s="698" t="s">
        <v>1243</v>
      </c>
      <c r="E108" s="698"/>
      <c r="F108" s="702"/>
      <c r="G108" s="702"/>
      <c r="H108" s="466">
        <v>42552</v>
      </c>
      <c r="I108" s="466">
        <v>42916</v>
      </c>
      <c r="J108" s="698" t="s">
        <v>3</v>
      </c>
      <c r="K108" s="589"/>
      <c r="L108" s="699"/>
      <c r="M108" s="699"/>
      <c r="N108" s="699">
        <v>6000</v>
      </c>
      <c r="O108" s="4" t="s">
        <v>1287</v>
      </c>
    </row>
    <row r="109" spans="1:15" x14ac:dyDescent="0.25">
      <c r="A109" s="692">
        <v>6350</v>
      </c>
      <c r="B109" s="700" t="s">
        <v>29</v>
      </c>
      <c r="C109" s="700" t="s">
        <v>692</v>
      </c>
      <c r="D109" s="698" t="s">
        <v>1244</v>
      </c>
      <c r="E109" s="700"/>
      <c r="F109" s="700" t="s">
        <v>1245</v>
      </c>
      <c r="G109" s="700"/>
      <c r="H109" s="596">
        <v>42552</v>
      </c>
      <c r="I109" s="596">
        <v>42916</v>
      </c>
      <c r="J109" s="700" t="s">
        <v>3</v>
      </c>
      <c r="K109" s="699">
        <v>150</v>
      </c>
      <c r="L109" s="699">
        <v>150</v>
      </c>
      <c r="M109" s="699">
        <v>150</v>
      </c>
      <c r="N109" s="699">
        <v>150</v>
      </c>
      <c r="O109" s="4" t="s">
        <v>1287</v>
      </c>
    </row>
    <row r="110" spans="1:15" x14ac:dyDescent="0.25">
      <c r="A110" s="692">
        <v>6350</v>
      </c>
      <c r="B110" s="700" t="s">
        <v>29</v>
      </c>
      <c r="C110" s="700" t="s">
        <v>692</v>
      </c>
      <c r="D110" s="698" t="s">
        <v>1238</v>
      </c>
      <c r="E110" s="700"/>
      <c r="F110" s="700" t="s">
        <v>1246</v>
      </c>
      <c r="G110" s="700"/>
      <c r="H110" s="596">
        <v>42552</v>
      </c>
      <c r="I110" s="596">
        <v>42916</v>
      </c>
      <c r="J110" s="700" t="s">
        <v>3</v>
      </c>
      <c r="K110" s="699">
        <v>500</v>
      </c>
      <c r="L110" s="699">
        <v>500</v>
      </c>
      <c r="M110" s="699">
        <v>500</v>
      </c>
      <c r="N110" s="699">
        <v>500</v>
      </c>
      <c r="O110" s="4" t="s">
        <v>1287</v>
      </c>
    </row>
    <row r="111" spans="1:15" x14ac:dyDescent="0.25">
      <c r="A111" s="692">
        <v>6355</v>
      </c>
      <c r="B111" s="700" t="s">
        <v>29</v>
      </c>
      <c r="C111" s="700" t="s">
        <v>692</v>
      </c>
      <c r="D111" s="698" t="s">
        <v>1247</v>
      </c>
      <c r="E111" s="700"/>
      <c r="F111" s="700" t="s">
        <v>1248</v>
      </c>
      <c r="G111" s="700"/>
      <c r="H111" s="596">
        <v>42552</v>
      </c>
      <c r="I111" s="596">
        <v>42916</v>
      </c>
      <c r="J111" s="700" t="s">
        <v>4</v>
      </c>
      <c r="K111" s="699"/>
      <c r="L111" s="699">
        <v>132.68</v>
      </c>
      <c r="M111" s="699">
        <v>200</v>
      </c>
      <c r="N111" s="699">
        <v>200</v>
      </c>
      <c r="O111" s="4" t="s">
        <v>1287</v>
      </c>
    </row>
    <row r="112" spans="1:15" x14ac:dyDescent="0.25">
      <c r="A112" s="692">
        <v>6365</v>
      </c>
      <c r="B112" s="700" t="s">
        <v>29</v>
      </c>
      <c r="C112" s="700" t="s">
        <v>692</v>
      </c>
      <c r="D112" s="700" t="s">
        <v>1249</v>
      </c>
      <c r="E112" s="700"/>
      <c r="F112" s="700" t="s">
        <v>1250</v>
      </c>
      <c r="G112" s="700"/>
      <c r="H112" s="596">
        <v>42552</v>
      </c>
      <c r="I112" s="596">
        <v>42916</v>
      </c>
      <c r="J112" s="700" t="s">
        <v>1442</v>
      </c>
      <c r="K112" s="699">
        <v>4940</v>
      </c>
      <c r="L112" s="699">
        <v>4940</v>
      </c>
      <c r="M112" s="699">
        <v>6200</v>
      </c>
      <c r="N112" s="699">
        <v>6200</v>
      </c>
      <c r="O112" s="4" t="s">
        <v>1287</v>
      </c>
    </row>
    <row r="113" spans="1:20" x14ac:dyDescent="0.25">
      <c r="A113" s="192">
        <v>6380</v>
      </c>
      <c r="B113" s="700" t="s">
        <v>536</v>
      </c>
      <c r="C113" s="700" t="s">
        <v>692</v>
      </c>
      <c r="D113" s="700" t="s">
        <v>1567</v>
      </c>
      <c r="E113" s="700" t="s">
        <v>17</v>
      </c>
      <c r="F113" s="700" t="s">
        <v>1568</v>
      </c>
      <c r="G113" s="700"/>
      <c r="H113" s="596">
        <v>42552</v>
      </c>
      <c r="I113" s="596">
        <v>42916</v>
      </c>
      <c r="J113" s="700" t="s">
        <v>3</v>
      </c>
      <c r="K113" s="701">
        <v>500</v>
      </c>
      <c r="L113" s="689"/>
      <c r="M113" s="689"/>
      <c r="N113" s="689">
        <v>500</v>
      </c>
      <c r="O113" s="688" t="s">
        <v>1287</v>
      </c>
      <c r="P113" s="688"/>
      <c r="Q113" s="688"/>
      <c r="R113" s="688"/>
      <c r="S113" s="688"/>
      <c r="T113" s="688"/>
    </row>
    <row r="114" spans="1:20" x14ac:dyDescent="0.25">
      <c r="A114" s="192">
        <v>6335</v>
      </c>
      <c r="B114" s="700" t="s">
        <v>536</v>
      </c>
      <c r="C114" s="700" t="s">
        <v>692</v>
      </c>
      <c r="D114" s="698" t="s">
        <v>1567</v>
      </c>
      <c r="E114" s="698" t="s">
        <v>17</v>
      </c>
      <c r="F114" s="698" t="s">
        <v>1568</v>
      </c>
      <c r="G114" s="698"/>
      <c r="H114" s="466">
        <v>42552</v>
      </c>
      <c r="I114" s="466">
        <v>42916</v>
      </c>
      <c r="J114" s="698" t="s">
        <v>3</v>
      </c>
      <c r="K114" s="701">
        <v>500</v>
      </c>
      <c r="L114" s="689"/>
      <c r="M114" s="689"/>
      <c r="N114" s="689">
        <v>500</v>
      </c>
      <c r="O114" s="688" t="s">
        <v>1287</v>
      </c>
      <c r="P114" s="688"/>
      <c r="Q114" s="688"/>
      <c r="R114" s="688"/>
      <c r="S114" s="688"/>
      <c r="T114" s="688"/>
    </row>
    <row r="115" spans="1:20" x14ac:dyDescent="0.25">
      <c r="A115" s="192">
        <v>6380</v>
      </c>
      <c r="B115" s="700" t="s">
        <v>36</v>
      </c>
      <c r="C115" s="700" t="s">
        <v>692</v>
      </c>
      <c r="D115" s="700" t="s">
        <v>836</v>
      </c>
      <c r="E115" s="700" t="s">
        <v>17</v>
      </c>
      <c r="F115" s="700" t="s">
        <v>996</v>
      </c>
      <c r="G115" s="700"/>
      <c r="H115" s="596"/>
      <c r="I115" s="596"/>
      <c r="J115" s="700" t="s">
        <v>492</v>
      </c>
      <c r="K115" s="701">
        <v>6700</v>
      </c>
      <c r="L115" s="689"/>
      <c r="M115" s="689"/>
      <c r="N115" s="765">
        <v>7800</v>
      </c>
      <c r="O115" s="688" t="s">
        <v>1287</v>
      </c>
      <c r="P115" s="688"/>
      <c r="Q115" s="688"/>
      <c r="R115" s="688"/>
      <c r="S115" s="688"/>
      <c r="T115" s="688"/>
    </row>
    <row r="116" spans="1:20" x14ac:dyDescent="0.25">
      <c r="A116" s="192">
        <v>6335</v>
      </c>
      <c r="B116" s="700" t="s">
        <v>36</v>
      </c>
      <c r="C116" s="700" t="s">
        <v>692</v>
      </c>
      <c r="D116" s="698" t="s">
        <v>837</v>
      </c>
      <c r="E116" s="698" t="s">
        <v>16</v>
      </c>
      <c r="F116" s="698" t="s">
        <v>838</v>
      </c>
      <c r="G116" s="698"/>
      <c r="H116" s="466">
        <v>42186</v>
      </c>
      <c r="I116" s="466">
        <v>42551</v>
      </c>
      <c r="J116" s="698" t="s">
        <v>757</v>
      </c>
      <c r="K116" s="701">
        <v>18561.760000000002</v>
      </c>
      <c r="L116" s="689"/>
      <c r="M116" s="689"/>
      <c r="N116" s="689">
        <v>10000</v>
      </c>
      <c r="O116" s="688" t="s">
        <v>1287</v>
      </c>
      <c r="P116" s="688"/>
      <c r="Q116" s="688"/>
      <c r="R116" s="688"/>
      <c r="S116" s="688"/>
      <c r="T116" s="688"/>
    </row>
    <row r="117" spans="1:20" x14ac:dyDescent="0.25">
      <c r="A117" s="192">
        <v>6325</v>
      </c>
      <c r="B117" s="700" t="s">
        <v>36</v>
      </c>
      <c r="C117" s="700" t="s">
        <v>692</v>
      </c>
      <c r="D117" s="698" t="s">
        <v>839</v>
      </c>
      <c r="E117" s="698" t="s">
        <v>16</v>
      </c>
      <c r="F117" s="702" t="s">
        <v>840</v>
      </c>
      <c r="G117" s="702"/>
      <c r="H117" s="466">
        <v>42096</v>
      </c>
      <c r="I117" s="466">
        <v>42827</v>
      </c>
      <c r="J117" s="698" t="s">
        <v>475</v>
      </c>
      <c r="K117" s="701">
        <v>52712.94</v>
      </c>
      <c r="L117" s="689">
        <v>45736.94</v>
      </c>
      <c r="M117" s="689">
        <v>55000</v>
      </c>
      <c r="N117" s="763">
        <v>54000</v>
      </c>
      <c r="O117" s="688" t="s">
        <v>1287</v>
      </c>
      <c r="P117" s="688"/>
      <c r="Q117" s="688"/>
      <c r="R117" s="688"/>
      <c r="S117" s="688"/>
      <c r="T117" s="688"/>
    </row>
    <row r="118" spans="1:20" x14ac:dyDescent="0.25">
      <c r="A118" s="192">
        <v>6325</v>
      </c>
      <c r="B118" s="700" t="s">
        <v>36</v>
      </c>
      <c r="C118" s="700" t="s">
        <v>692</v>
      </c>
      <c r="D118" s="698" t="s">
        <v>1558</v>
      </c>
      <c r="E118" s="698" t="s">
        <v>16</v>
      </c>
      <c r="F118" s="702" t="s">
        <v>841</v>
      </c>
      <c r="G118" s="702"/>
      <c r="H118" s="466">
        <v>41821</v>
      </c>
      <c r="I118" s="466">
        <v>42916</v>
      </c>
      <c r="J118" s="698" t="s">
        <v>475</v>
      </c>
      <c r="K118" s="701">
        <v>64112</v>
      </c>
      <c r="L118" s="689">
        <v>31330.25</v>
      </c>
      <c r="M118" s="689">
        <v>20000</v>
      </c>
      <c r="N118" s="763">
        <v>22704</v>
      </c>
      <c r="O118" s="688" t="s">
        <v>1287</v>
      </c>
      <c r="P118" s="688"/>
      <c r="Q118" s="688"/>
      <c r="R118" s="688"/>
      <c r="S118" s="688"/>
      <c r="T118" s="688"/>
    </row>
    <row r="119" spans="1:20" x14ac:dyDescent="0.25">
      <c r="A119" s="192">
        <v>6330</v>
      </c>
      <c r="B119" s="700" t="s">
        <v>36</v>
      </c>
      <c r="C119" s="700" t="s">
        <v>692</v>
      </c>
      <c r="D119" s="698" t="s">
        <v>842</v>
      </c>
      <c r="E119" s="698" t="s">
        <v>17</v>
      </c>
      <c r="F119" s="702" t="s">
        <v>843</v>
      </c>
      <c r="G119" s="702"/>
      <c r="H119" s="466">
        <v>41821</v>
      </c>
      <c r="I119" s="466">
        <v>42551</v>
      </c>
      <c r="J119" s="698" t="s">
        <v>496</v>
      </c>
      <c r="K119" s="701">
        <v>122595</v>
      </c>
      <c r="L119" s="689">
        <v>74783.31</v>
      </c>
      <c r="M119" s="689">
        <v>52000</v>
      </c>
      <c r="N119" s="689">
        <v>54000</v>
      </c>
      <c r="O119" s="688" t="s">
        <v>1287</v>
      </c>
      <c r="P119" s="688"/>
      <c r="Q119" s="688"/>
      <c r="R119" s="688"/>
      <c r="S119" s="688"/>
      <c r="T119" s="688"/>
    </row>
    <row r="120" spans="1:20" x14ac:dyDescent="0.25">
      <c r="A120" s="192">
        <v>6360</v>
      </c>
      <c r="B120" s="700" t="s">
        <v>36</v>
      </c>
      <c r="C120" s="700" t="s">
        <v>692</v>
      </c>
      <c r="D120" s="698" t="s">
        <v>844</v>
      </c>
      <c r="E120" s="698" t="s">
        <v>17</v>
      </c>
      <c r="F120" s="702" t="s">
        <v>1194</v>
      </c>
      <c r="G120" s="702"/>
      <c r="H120" s="466">
        <v>42195</v>
      </c>
      <c r="I120" s="466">
        <v>42551</v>
      </c>
      <c r="J120" s="700" t="s">
        <v>693</v>
      </c>
      <c r="K120" s="701">
        <v>126000</v>
      </c>
      <c r="L120" s="689"/>
      <c r="M120" s="689">
        <v>125000</v>
      </c>
      <c r="N120" s="767">
        <v>130000</v>
      </c>
      <c r="O120" s="688" t="s">
        <v>1287</v>
      </c>
      <c r="P120" s="688"/>
      <c r="Q120" s="688"/>
      <c r="R120" s="688"/>
      <c r="S120" s="688"/>
      <c r="T120" s="688"/>
    </row>
    <row r="121" spans="1:20" x14ac:dyDescent="0.25">
      <c r="A121" s="192">
        <v>6362</v>
      </c>
      <c r="B121" s="700" t="s">
        <v>36</v>
      </c>
      <c r="C121" s="700" t="s">
        <v>692</v>
      </c>
      <c r="D121" s="698" t="s">
        <v>845</v>
      </c>
      <c r="E121" s="698" t="s">
        <v>17</v>
      </c>
      <c r="F121" s="702" t="s">
        <v>846</v>
      </c>
      <c r="G121" s="702"/>
      <c r="H121" s="596">
        <v>42186</v>
      </c>
      <c r="I121" s="596">
        <v>42551</v>
      </c>
      <c r="J121" s="700" t="s">
        <v>497</v>
      </c>
      <c r="K121" s="701">
        <v>42000</v>
      </c>
      <c r="L121" s="689"/>
      <c r="M121" s="689">
        <v>40000</v>
      </c>
      <c r="N121" s="769">
        <v>43000</v>
      </c>
      <c r="O121" s="688" t="s">
        <v>1287</v>
      </c>
      <c r="P121" s="688"/>
      <c r="Q121" s="688"/>
      <c r="R121" s="688"/>
      <c r="S121" s="688"/>
      <c r="T121" s="688"/>
    </row>
    <row r="122" spans="1:20" x14ac:dyDescent="0.25">
      <c r="A122" s="192">
        <v>6380</v>
      </c>
      <c r="B122" s="700" t="s">
        <v>36</v>
      </c>
      <c r="C122" s="700" t="s">
        <v>692</v>
      </c>
      <c r="D122" s="698" t="s">
        <v>847</v>
      </c>
      <c r="E122" s="698" t="s">
        <v>17</v>
      </c>
      <c r="F122" s="702" t="s">
        <v>848</v>
      </c>
      <c r="G122" s="702"/>
      <c r="H122" s="466"/>
      <c r="I122" s="466"/>
      <c r="J122" s="698" t="s">
        <v>492</v>
      </c>
      <c r="K122" s="701">
        <v>137.88</v>
      </c>
      <c r="L122" s="689"/>
      <c r="M122" s="689"/>
      <c r="N122" s="765">
        <v>200</v>
      </c>
      <c r="O122" s="688" t="s">
        <v>1287</v>
      </c>
      <c r="P122" s="688"/>
      <c r="Q122" s="688"/>
      <c r="R122" s="688"/>
      <c r="S122" s="688"/>
      <c r="T122" s="688"/>
    </row>
    <row r="123" spans="1:20" x14ac:dyDescent="0.25">
      <c r="A123" s="192">
        <v>6375</v>
      </c>
      <c r="B123" s="700" t="s">
        <v>36</v>
      </c>
      <c r="C123" s="700" t="s">
        <v>692</v>
      </c>
      <c r="D123" s="698" t="s">
        <v>849</v>
      </c>
      <c r="E123" s="700" t="s">
        <v>17</v>
      </c>
      <c r="F123" s="700" t="s">
        <v>850</v>
      </c>
      <c r="G123" s="700"/>
      <c r="H123" s="596"/>
      <c r="I123" s="596"/>
      <c r="J123" s="700" t="s">
        <v>493</v>
      </c>
      <c r="K123" s="701">
        <v>27641.09</v>
      </c>
      <c r="L123" s="689"/>
      <c r="M123" s="689">
        <v>30000</v>
      </c>
      <c r="N123" s="766">
        <v>30000</v>
      </c>
      <c r="O123" s="688" t="s">
        <v>1287</v>
      </c>
      <c r="P123" s="688"/>
      <c r="Q123" s="688"/>
      <c r="R123" s="688"/>
      <c r="S123" s="688"/>
      <c r="T123" s="688"/>
    </row>
    <row r="124" spans="1:20" x14ac:dyDescent="0.25">
      <c r="A124" s="192">
        <v>6375</v>
      </c>
      <c r="B124" s="700" t="s">
        <v>36</v>
      </c>
      <c r="C124" s="700" t="s">
        <v>692</v>
      </c>
      <c r="D124" s="698" t="s">
        <v>851</v>
      </c>
      <c r="E124" s="700" t="s">
        <v>17</v>
      </c>
      <c r="F124" s="700" t="s">
        <v>852</v>
      </c>
      <c r="G124" s="700"/>
      <c r="H124" s="596"/>
      <c r="I124" s="596"/>
      <c r="J124" s="700" t="s">
        <v>493</v>
      </c>
      <c r="K124" s="701">
        <v>6402</v>
      </c>
      <c r="L124" s="689"/>
      <c r="M124" s="689">
        <v>6700</v>
      </c>
      <c r="N124" s="766">
        <v>6700</v>
      </c>
      <c r="O124" s="688" t="s">
        <v>1287</v>
      </c>
      <c r="P124" s="688"/>
      <c r="Q124" s="688"/>
      <c r="R124" s="688"/>
      <c r="S124" s="688"/>
      <c r="T124" s="688"/>
    </row>
    <row r="125" spans="1:20" x14ac:dyDescent="0.25">
      <c r="A125" s="192">
        <v>6325</v>
      </c>
      <c r="B125" s="700" t="s">
        <v>36</v>
      </c>
      <c r="C125" s="700" t="s">
        <v>692</v>
      </c>
      <c r="D125" s="698" t="s">
        <v>853</v>
      </c>
      <c r="E125" s="700" t="s">
        <v>17</v>
      </c>
      <c r="F125" s="700" t="s">
        <v>854</v>
      </c>
      <c r="G125" s="700"/>
      <c r="H125" s="596"/>
      <c r="I125" s="596"/>
      <c r="J125" s="700" t="s">
        <v>475</v>
      </c>
      <c r="K125" s="701">
        <v>4400</v>
      </c>
      <c r="L125" s="689"/>
      <c r="M125" s="689">
        <v>4800</v>
      </c>
      <c r="N125" s="763">
        <v>5000</v>
      </c>
      <c r="O125" s="688" t="s">
        <v>1287</v>
      </c>
      <c r="P125" s="688"/>
      <c r="Q125" s="688"/>
      <c r="R125" s="688"/>
      <c r="S125" s="688"/>
      <c r="T125" s="688"/>
    </row>
    <row r="126" spans="1:20" x14ac:dyDescent="0.25">
      <c r="A126" s="192">
        <v>6360</v>
      </c>
      <c r="B126" s="700" t="s">
        <v>36</v>
      </c>
      <c r="C126" s="700" t="s">
        <v>692</v>
      </c>
      <c r="D126" s="700" t="s">
        <v>855</v>
      </c>
      <c r="E126" s="700" t="s">
        <v>17</v>
      </c>
      <c r="F126" s="700" t="s">
        <v>856</v>
      </c>
      <c r="G126" s="700"/>
      <c r="H126" s="596"/>
      <c r="I126" s="596"/>
      <c r="J126" s="700" t="s">
        <v>693</v>
      </c>
      <c r="K126" s="701">
        <v>12093.52</v>
      </c>
      <c r="L126" s="689"/>
      <c r="M126" s="689">
        <v>12500</v>
      </c>
      <c r="N126" s="767">
        <v>12500</v>
      </c>
      <c r="O126" s="688" t="s">
        <v>1287</v>
      </c>
      <c r="P126" s="688"/>
      <c r="Q126" s="688"/>
      <c r="R126" s="688"/>
      <c r="S126" s="688"/>
      <c r="T126" s="688"/>
    </row>
    <row r="127" spans="1:20" x14ac:dyDescent="0.25">
      <c r="A127" s="192">
        <v>6325</v>
      </c>
      <c r="B127" s="700" t="s">
        <v>857</v>
      </c>
      <c r="C127" s="700" t="s">
        <v>692</v>
      </c>
      <c r="D127" s="700" t="s">
        <v>858</v>
      </c>
      <c r="E127" s="700" t="s">
        <v>17</v>
      </c>
      <c r="F127" s="698" t="s">
        <v>859</v>
      </c>
      <c r="G127" s="700"/>
      <c r="H127" s="596"/>
      <c r="I127" s="596"/>
      <c r="J127" s="700" t="s">
        <v>475</v>
      </c>
      <c r="K127" s="701">
        <v>5515.9</v>
      </c>
      <c r="L127" s="689"/>
      <c r="M127" s="689">
        <v>6000</v>
      </c>
      <c r="N127" s="763">
        <v>6000</v>
      </c>
      <c r="O127" s="688" t="s">
        <v>1287</v>
      </c>
      <c r="P127" s="688"/>
      <c r="Q127" s="688"/>
      <c r="R127" s="688"/>
      <c r="S127" s="688"/>
      <c r="T127" s="688"/>
    </row>
    <row r="128" spans="1:20" x14ac:dyDescent="0.25">
      <c r="A128" s="192">
        <v>6325</v>
      </c>
      <c r="B128" s="700" t="s">
        <v>36</v>
      </c>
      <c r="C128" s="700" t="s">
        <v>692</v>
      </c>
      <c r="D128" s="700" t="s">
        <v>860</v>
      </c>
      <c r="E128" s="700" t="s">
        <v>17</v>
      </c>
      <c r="F128" s="700" t="s">
        <v>861</v>
      </c>
      <c r="G128" s="700"/>
      <c r="H128" s="596"/>
      <c r="I128" s="596"/>
      <c r="J128" s="700" t="s">
        <v>475</v>
      </c>
      <c r="K128" s="701">
        <v>6617.48</v>
      </c>
      <c r="L128" s="689"/>
      <c r="M128" s="689">
        <v>6700</v>
      </c>
      <c r="N128" s="763">
        <v>6900</v>
      </c>
      <c r="O128" s="688" t="s">
        <v>1287</v>
      </c>
      <c r="P128" s="688"/>
      <c r="Q128" s="688"/>
      <c r="R128" s="688"/>
      <c r="S128" s="688"/>
      <c r="T128" s="688"/>
    </row>
    <row r="129" spans="1:20" x14ac:dyDescent="0.25">
      <c r="A129" s="192">
        <v>6322</v>
      </c>
      <c r="B129" s="700" t="s">
        <v>36</v>
      </c>
      <c r="C129" s="700" t="s">
        <v>692</v>
      </c>
      <c r="D129" s="700" t="s">
        <v>862</v>
      </c>
      <c r="E129" s="700" t="s">
        <v>17</v>
      </c>
      <c r="F129" s="700" t="s">
        <v>843</v>
      </c>
      <c r="G129" s="700"/>
      <c r="H129" s="596"/>
      <c r="I129" s="596"/>
      <c r="J129" s="700" t="s">
        <v>491</v>
      </c>
      <c r="K129" s="701">
        <v>132.5</v>
      </c>
      <c r="L129" s="689"/>
      <c r="M129" s="689">
        <v>150</v>
      </c>
      <c r="N129" s="689">
        <v>200</v>
      </c>
      <c r="O129" s="688" t="s">
        <v>1287</v>
      </c>
      <c r="P129" s="688"/>
      <c r="Q129" s="688"/>
      <c r="R129" s="688"/>
      <c r="S129" s="688"/>
      <c r="T129" s="688"/>
    </row>
    <row r="130" spans="1:20" x14ac:dyDescent="0.25">
      <c r="A130" s="192">
        <v>6380</v>
      </c>
      <c r="B130" s="700" t="s">
        <v>36</v>
      </c>
      <c r="C130" s="700" t="s">
        <v>692</v>
      </c>
      <c r="D130" s="700" t="s">
        <v>863</v>
      </c>
      <c r="E130" s="700" t="s">
        <v>17</v>
      </c>
      <c r="F130" s="700" t="s">
        <v>864</v>
      </c>
      <c r="G130" s="700"/>
      <c r="H130" s="596"/>
      <c r="I130" s="596"/>
      <c r="J130" s="700" t="s">
        <v>492</v>
      </c>
      <c r="K130" s="701">
        <v>5116.8</v>
      </c>
      <c r="L130" s="689"/>
      <c r="M130" s="689">
        <v>5500</v>
      </c>
      <c r="N130" s="765">
        <v>5500</v>
      </c>
      <c r="O130" s="688" t="s">
        <v>1287</v>
      </c>
      <c r="P130" s="688"/>
      <c r="Q130" s="688"/>
      <c r="R130" s="688"/>
      <c r="S130" s="688"/>
      <c r="T130" s="688"/>
    </row>
    <row r="131" spans="1:20" x14ac:dyDescent="0.25">
      <c r="A131" s="692">
        <v>6375</v>
      </c>
      <c r="B131" s="700" t="s">
        <v>36</v>
      </c>
      <c r="C131" s="700" t="s">
        <v>692</v>
      </c>
      <c r="D131" s="698" t="s">
        <v>865</v>
      </c>
      <c r="E131" s="698" t="s">
        <v>17</v>
      </c>
      <c r="F131" s="698" t="s">
        <v>866</v>
      </c>
      <c r="G131" s="698"/>
      <c r="H131" s="466">
        <v>42191</v>
      </c>
      <c r="I131" s="466">
        <v>42556</v>
      </c>
      <c r="J131" s="698" t="s">
        <v>493</v>
      </c>
      <c r="K131" s="701">
        <v>709.99</v>
      </c>
      <c r="L131" s="689"/>
      <c r="M131" s="689"/>
      <c r="N131" s="766">
        <v>7200</v>
      </c>
      <c r="O131" s="688" t="s">
        <v>1287</v>
      </c>
      <c r="P131" s="688"/>
      <c r="Q131" s="688"/>
      <c r="R131" s="688"/>
      <c r="S131" s="688"/>
      <c r="T131" s="688"/>
    </row>
    <row r="132" spans="1:20" x14ac:dyDescent="0.25">
      <c r="A132" s="692">
        <v>6375</v>
      </c>
      <c r="B132" s="700" t="s">
        <v>36</v>
      </c>
      <c r="C132" s="700" t="s">
        <v>692</v>
      </c>
      <c r="D132" s="698" t="s">
        <v>867</v>
      </c>
      <c r="E132" s="698" t="s">
        <v>17</v>
      </c>
      <c r="F132" s="698" t="s">
        <v>868</v>
      </c>
      <c r="G132" s="698"/>
      <c r="H132" s="466"/>
      <c r="I132" s="466"/>
      <c r="J132" s="698" t="s">
        <v>493</v>
      </c>
      <c r="K132" s="701">
        <v>750</v>
      </c>
      <c r="L132" s="689"/>
      <c r="M132" s="689"/>
      <c r="N132" s="766">
        <v>800</v>
      </c>
      <c r="O132" s="688" t="s">
        <v>1287</v>
      </c>
      <c r="P132" s="688"/>
      <c r="Q132" s="688"/>
      <c r="R132" s="688"/>
      <c r="S132" s="688"/>
      <c r="T132" s="688"/>
    </row>
    <row r="133" spans="1:20" x14ac:dyDescent="0.25">
      <c r="A133" s="692">
        <v>6360</v>
      </c>
      <c r="B133" s="700" t="s">
        <v>36</v>
      </c>
      <c r="C133" s="700" t="s">
        <v>692</v>
      </c>
      <c r="D133" s="698" t="s">
        <v>869</v>
      </c>
      <c r="E133" s="698" t="s">
        <v>17</v>
      </c>
      <c r="F133" s="698" t="s">
        <v>870</v>
      </c>
      <c r="G133" s="698"/>
      <c r="H133" s="466"/>
      <c r="I133" s="466"/>
      <c r="J133" s="698" t="s">
        <v>693</v>
      </c>
      <c r="K133" s="701">
        <v>4908</v>
      </c>
      <c r="L133" s="689"/>
      <c r="M133" s="689"/>
      <c r="N133" s="767">
        <v>5000</v>
      </c>
      <c r="O133" s="688" t="s">
        <v>1287</v>
      </c>
      <c r="P133" s="688"/>
      <c r="Q133" s="688"/>
      <c r="R133" s="688"/>
      <c r="S133" s="688"/>
      <c r="T133" s="688"/>
    </row>
    <row r="134" spans="1:20" x14ac:dyDescent="0.25">
      <c r="A134" s="692">
        <v>6380</v>
      </c>
      <c r="B134" s="700" t="s">
        <v>36</v>
      </c>
      <c r="C134" s="700" t="s">
        <v>692</v>
      </c>
      <c r="D134" s="698" t="s">
        <v>871</v>
      </c>
      <c r="E134" s="698" t="s">
        <v>17</v>
      </c>
      <c r="F134" s="698" t="s">
        <v>872</v>
      </c>
      <c r="G134" s="698"/>
      <c r="H134" s="466"/>
      <c r="I134" s="466"/>
      <c r="J134" s="698" t="s">
        <v>492</v>
      </c>
      <c r="K134" s="701">
        <v>853.36</v>
      </c>
      <c r="L134" s="689"/>
      <c r="M134" s="689"/>
      <c r="N134" s="765">
        <v>900</v>
      </c>
      <c r="O134" s="688" t="s">
        <v>1287</v>
      </c>
      <c r="P134" s="688"/>
      <c r="Q134" s="688"/>
      <c r="R134" s="688"/>
      <c r="S134" s="688"/>
      <c r="T134" s="688"/>
    </row>
    <row r="135" spans="1:20" x14ac:dyDescent="0.25">
      <c r="A135" s="692">
        <v>6360</v>
      </c>
      <c r="B135" s="700" t="s">
        <v>36</v>
      </c>
      <c r="C135" s="700" t="s">
        <v>692</v>
      </c>
      <c r="D135" s="698" t="s">
        <v>873</v>
      </c>
      <c r="E135" s="698" t="s">
        <v>17</v>
      </c>
      <c r="F135" s="698" t="s">
        <v>874</v>
      </c>
      <c r="G135" s="698"/>
      <c r="H135" s="466"/>
      <c r="I135" s="466"/>
      <c r="J135" s="698" t="s">
        <v>693</v>
      </c>
      <c r="K135" s="701">
        <v>9757.7900000000009</v>
      </c>
      <c r="L135" s="689"/>
      <c r="M135" s="689"/>
      <c r="N135" s="767">
        <v>10000</v>
      </c>
      <c r="O135" s="688" t="s">
        <v>1287</v>
      </c>
      <c r="P135" s="688"/>
      <c r="Q135" s="688"/>
      <c r="R135" s="688"/>
      <c r="S135" s="688"/>
      <c r="T135" s="688"/>
    </row>
    <row r="136" spans="1:20" x14ac:dyDescent="0.25">
      <c r="A136" s="692">
        <v>6364</v>
      </c>
      <c r="B136" s="700" t="s">
        <v>36</v>
      </c>
      <c r="C136" s="700" t="s">
        <v>692</v>
      </c>
      <c r="D136" s="698" t="s">
        <v>498</v>
      </c>
      <c r="E136" s="698" t="s">
        <v>17</v>
      </c>
      <c r="F136" s="698" t="s">
        <v>875</v>
      </c>
      <c r="G136" s="698"/>
      <c r="H136" s="466">
        <v>42182</v>
      </c>
      <c r="I136" s="466">
        <v>42577</v>
      </c>
      <c r="J136" s="698" t="s">
        <v>498</v>
      </c>
      <c r="K136" s="701">
        <v>396.9</v>
      </c>
      <c r="L136" s="689"/>
      <c r="M136" s="689"/>
      <c r="N136" s="768">
        <v>400</v>
      </c>
      <c r="O136" s="688" t="s">
        <v>1287</v>
      </c>
      <c r="P136" s="688"/>
      <c r="Q136" s="688"/>
      <c r="R136" s="688"/>
      <c r="S136" s="688"/>
      <c r="T136" s="688"/>
    </row>
    <row r="137" spans="1:20" x14ac:dyDescent="0.25">
      <c r="A137" s="692">
        <v>6364</v>
      </c>
      <c r="B137" s="700" t="s">
        <v>36</v>
      </c>
      <c r="C137" s="700" t="s">
        <v>692</v>
      </c>
      <c r="D137" s="698" t="s">
        <v>876</v>
      </c>
      <c r="E137" s="698" t="s">
        <v>17</v>
      </c>
      <c r="F137" s="698" t="s">
        <v>875</v>
      </c>
      <c r="G137" s="698"/>
      <c r="H137" s="466">
        <v>42187</v>
      </c>
      <c r="I137" s="466">
        <v>42551</v>
      </c>
      <c r="J137" s="698" t="s">
        <v>498</v>
      </c>
      <c r="K137" s="701">
        <v>5500</v>
      </c>
      <c r="L137" s="689"/>
      <c r="M137" s="689"/>
      <c r="N137" s="768">
        <v>5600</v>
      </c>
      <c r="O137" s="688" t="s">
        <v>1287</v>
      </c>
      <c r="P137" s="688"/>
      <c r="Q137" s="688"/>
      <c r="R137" s="688"/>
      <c r="S137" s="688"/>
      <c r="T137" s="688"/>
    </row>
    <row r="138" spans="1:20" x14ac:dyDescent="0.25">
      <c r="A138" s="692">
        <v>6375</v>
      </c>
      <c r="B138" s="700" t="s">
        <v>36</v>
      </c>
      <c r="C138" s="700" t="s">
        <v>692</v>
      </c>
      <c r="D138" s="698" t="s">
        <v>877</v>
      </c>
      <c r="E138" s="698" t="s">
        <v>17</v>
      </c>
      <c r="F138" s="698" t="s">
        <v>878</v>
      </c>
      <c r="G138" s="698"/>
      <c r="H138" s="466"/>
      <c r="I138" s="466"/>
      <c r="J138" s="698" t="s">
        <v>493</v>
      </c>
      <c r="K138" s="701">
        <v>10888.7</v>
      </c>
      <c r="L138" s="689"/>
      <c r="M138" s="689"/>
      <c r="N138" s="766">
        <v>11000</v>
      </c>
      <c r="O138" s="688" t="s">
        <v>1287</v>
      </c>
      <c r="P138" s="688"/>
      <c r="Q138" s="688"/>
      <c r="R138" s="688"/>
      <c r="S138" s="688"/>
      <c r="T138" s="688"/>
    </row>
    <row r="139" spans="1:20" x14ac:dyDescent="0.25">
      <c r="A139" s="692">
        <v>6375</v>
      </c>
      <c r="B139" s="700" t="s">
        <v>36</v>
      </c>
      <c r="C139" s="700" t="s">
        <v>692</v>
      </c>
      <c r="D139" s="698" t="s">
        <v>879</v>
      </c>
      <c r="E139" s="698" t="s">
        <v>17</v>
      </c>
      <c r="F139" s="698" t="s">
        <v>880</v>
      </c>
      <c r="G139" s="698"/>
      <c r="H139" s="466"/>
      <c r="I139" s="466"/>
      <c r="J139" s="698" t="s">
        <v>493</v>
      </c>
      <c r="K139" s="701">
        <v>210</v>
      </c>
      <c r="L139" s="689"/>
      <c r="M139" s="689"/>
      <c r="N139" s="766">
        <v>250</v>
      </c>
      <c r="O139" s="688" t="s">
        <v>1287</v>
      </c>
      <c r="P139" s="688"/>
      <c r="Q139" s="688"/>
      <c r="R139" s="688"/>
      <c r="S139" s="688"/>
      <c r="T139" s="688"/>
    </row>
    <row r="140" spans="1:20" x14ac:dyDescent="0.25">
      <c r="A140" s="692">
        <v>6325</v>
      </c>
      <c r="B140" s="700" t="s">
        <v>36</v>
      </c>
      <c r="C140" s="700" t="s">
        <v>692</v>
      </c>
      <c r="D140" s="698" t="s">
        <v>575</v>
      </c>
      <c r="E140" s="698" t="s">
        <v>17</v>
      </c>
      <c r="F140" s="698" t="s">
        <v>881</v>
      </c>
      <c r="G140" s="698"/>
      <c r="H140" s="466"/>
      <c r="I140" s="466"/>
      <c r="J140" s="698" t="s">
        <v>475</v>
      </c>
      <c r="K140" s="701">
        <v>137.38</v>
      </c>
      <c r="L140" s="689"/>
      <c r="M140" s="689"/>
      <c r="N140" s="763">
        <v>150</v>
      </c>
      <c r="O140" s="688" t="s">
        <v>1287</v>
      </c>
      <c r="P140" s="688"/>
      <c r="Q140" s="688"/>
      <c r="R140" s="688"/>
      <c r="S140" s="688"/>
      <c r="T140" s="688"/>
    </row>
    <row r="141" spans="1:20" x14ac:dyDescent="0.25">
      <c r="A141" s="692">
        <v>6365</v>
      </c>
      <c r="B141" s="700" t="s">
        <v>36</v>
      </c>
      <c r="C141" s="700" t="s">
        <v>692</v>
      </c>
      <c r="D141" s="698" t="s">
        <v>882</v>
      </c>
      <c r="E141" s="698" t="s">
        <v>17</v>
      </c>
      <c r="F141" s="698" t="s">
        <v>883</v>
      </c>
      <c r="G141" s="698"/>
      <c r="H141" s="466">
        <v>42217</v>
      </c>
      <c r="I141" s="466">
        <v>42551</v>
      </c>
      <c r="J141" s="698" t="s">
        <v>1442</v>
      </c>
      <c r="K141" s="701">
        <v>12848</v>
      </c>
      <c r="L141" s="689"/>
      <c r="M141" s="689"/>
      <c r="N141" s="689">
        <v>13000</v>
      </c>
      <c r="O141" s="688" t="s">
        <v>1287</v>
      </c>
      <c r="P141" s="688"/>
      <c r="Q141" s="688"/>
      <c r="R141" s="688"/>
      <c r="S141" s="688"/>
      <c r="T141" s="688"/>
    </row>
    <row r="142" spans="1:20" x14ac:dyDescent="0.25">
      <c r="A142" s="692">
        <v>6365</v>
      </c>
      <c r="B142" s="700" t="s">
        <v>36</v>
      </c>
      <c r="C142" s="700" t="s">
        <v>692</v>
      </c>
      <c r="D142" s="698" t="s">
        <v>884</v>
      </c>
      <c r="E142" s="698" t="s">
        <v>17</v>
      </c>
      <c r="F142" s="698" t="s">
        <v>883</v>
      </c>
      <c r="G142" s="698"/>
      <c r="H142" s="466"/>
      <c r="I142" s="466"/>
      <c r="J142" s="698" t="s">
        <v>1442</v>
      </c>
      <c r="K142" s="701">
        <v>1168</v>
      </c>
      <c r="L142" s="689"/>
      <c r="M142" s="689"/>
      <c r="N142" s="689">
        <v>1300</v>
      </c>
      <c r="O142" s="688" t="s">
        <v>1287</v>
      </c>
      <c r="P142" s="688"/>
      <c r="Q142" s="688"/>
      <c r="R142" s="688"/>
      <c r="S142" s="688"/>
      <c r="T142" s="688"/>
    </row>
    <row r="143" spans="1:20" x14ac:dyDescent="0.25">
      <c r="A143" s="692">
        <v>6325</v>
      </c>
      <c r="B143" s="700" t="s">
        <v>36</v>
      </c>
      <c r="C143" s="700" t="s">
        <v>692</v>
      </c>
      <c r="D143" s="698" t="s">
        <v>885</v>
      </c>
      <c r="E143" s="698" t="s">
        <v>17</v>
      </c>
      <c r="F143" s="698" t="s">
        <v>886</v>
      </c>
      <c r="G143" s="698"/>
      <c r="H143" s="466"/>
      <c r="I143" s="466"/>
      <c r="J143" s="698" t="s">
        <v>475</v>
      </c>
      <c r="K143" s="701">
        <v>3342.51</v>
      </c>
      <c r="L143" s="689"/>
      <c r="M143" s="689"/>
      <c r="N143" s="763">
        <v>3400</v>
      </c>
      <c r="O143" s="688" t="s">
        <v>1287</v>
      </c>
      <c r="P143" s="688"/>
      <c r="Q143" s="688"/>
      <c r="R143" s="688"/>
      <c r="S143" s="688"/>
      <c r="T143" s="688"/>
    </row>
    <row r="144" spans="1:20" x14ac:dyDescent="0.25">
      <c r="A144" s="692">
        <v>6325</v>
      </c>
      <c r="B144" s="700" t="s">
        <v>36</v>
      </c>
      <c r="C144" s="700" t="s">
        <v>692</v>
      </c>
      <c r="D144" s="698" t="s">
        <v>887</v>
      </c>
      <c r="E144" s="698" t="s">
        <v>17</v>
      </c>
      <c r="F144" s="698" t="s">
        <v>888</v>
      </c>
      <c r="G144" s="698"/>
      <c r="H144" s="466"/>
      <c r="I144" s="466"/>
      <c r="J144" s="698" t="s">
        <v>475</v>
      </c>
      <c r="K144" s="701">
        <v>24000</v>
      </c>
      <c r="L144" s="689"/>
      <c r="M144" s="689"/>
      <c r="N144" s="763">
        <v>24000</v>
      </c>
      <c r="O144" s="688" t="s">
        <v>1287</v>
      </c>
      <c r="P144" s="688"/>
      <c r="Q144" s="688"/>
      <c r="R144" s="688"/>
      <c r="S144" s="688"/>
      <c r="T144" s="688"/>
    </row>
    <row r="145" spans="1:20" x14ac:dyDescent="0.25">
      <c r="A145" s="692">
        <v>6362</v>
      </c>
      <c r="B145" s="700" t="s">
        <v>36</v>
      </c>
      <c r="C145" s="700" t="s">
        <v>692</v>
      </c>
      <c r="D145" s="698" t="s">
        <v>845</v>
      </c>
      <c r="E145" s="698" t="s">
        <v>17</v>
      </c>
      <c r="F145" s="698" t="s">
        <v>889</v>
      </c>
      <c r="G145" s="698"/>
      <c r="H145" s="466">
        <v>42186</v>
      </c>
      <c r="I145" s="466">
        <v>42551</v>
      </c>
      <c r="J145" s="698" t="s">
        <v>497</v>
      </c>
      <c r="K145" s="701">
        <v>21600</v>
      </c>
      <c r="L145" s="689"/>
      <c r="M145" s="689"/>
      <c r="N145" s="769">
        <v>21600</v>
      </c>
      <c r="O145" s="688" t="s">
        <v>1287</v>
      </c>
      <c r="P145" s="688"/>
      <c r="Q145" s="688"/>
      <c r="R145" s="688"/>
      <c r="S145" s="688"/>
      <c r="T145" s="688"/>
    </row>
    <row r="146" spans="1:20" x14ac:dyDescent="0.25">
      <c r="A146" s="692">
        <v>6375</v>
      </c>
      <c r="B146" s="700" t="s">
        <v>36</v>
      </c>
      <c r="C146" s="700" t="s">
        <v>692</v>
      </c>
      <c r="D146" s="698" t="s">
        <v>890</v>
      </c>
      <c r="E146" s="698" t="s">
        <v>17</v>
      </c>
      <c r="F146" s="698" t="s">
        <v>891</v>
      </c>
      <c r="G146" s="698"/>
      <c r="H146" s="466"/>
      <c r="I146" s="466"/>
      <c r="J146" s="698" t="s">
        <v>493</v>
      </c>
      <c r="K146" s="701">
        <v>508.33</v>
      </c>
      <c r="L146" s="689"/>
      <c r="M146" s="689"/>
      <c r="N146" s="766">
        <v>550</v>
      </c>
      <c r="O146" s="688" t="s">
        <v>1287</v>
      </c>
      <c r="P146" s="688"/>
      <c r="Q146" s="688"/>
      <c r="R146" s="688"/>
      <c r="S146" s="688"/>
      <c r="T146" s="688"/>
    </row>
    <row r="147" spans="1:20" x14ac:dyDescent="0.25">
      <c r="A147" s="692">
        <v>6350</v>
      </c>
      <c r="B147" s="700" t="s">
        <v>36</v>
      </c>
      <c r="C147" s="700" t="s">
        <v>692</v>
      </c>
      <c r="D147" s="698" t="s">
        <v>892</v>
      </c>
      <c r="E147" s="698" t="s">
        <v>17</v>
      </c>
      <c r="F147" s="698" t="s">
        <v>893</v>
      </c>
      <c r="G147" s="698"/>
      <c r="H147" s="466">
        <v>42466</v>
      </c>
      <c r="I147" s="466">
        <v>42830</v>
      </c>
      <c r="J147" s="698" t="s">
        <v>3</v>
      </c>
      <c r="K147" s="701">
        <v>3422</v>
      </c>
      <c r="L147" s="689"/>
      <c r="M147" s="689"/>
      <c r="N147" s="689">
        <v>3500</v>
      </c>
      <c r="O147" s="688" t="s">
        <v>1287</v>
      </c>
      <c r="P147" s="688"/>
      <c r="Q147" s="688"/>
      <c r="R147" s="688"/>
      <c r="S147" s="688"/>
      <c r="T147" s="688"/>
    </row>
    <row r="148" spans="1:20" x14ac:dyDescent="0.25">
      <c r="A148" s="692">
        <v>6325</v>
      </c>
      <c r="B148" s="700" t="s">
        <v>36</v>
      </c>
      <c r="C148" s="700" t="s">
        <v>692</v>
      </c>
      <c r="D148" s="698" t="s">
        <v>1214</v>
      </c>
      <c r="E148" s="698" t="s">
        <v>16</v>
      </c>
      <c r="F148" s="698" t="s">
        <v>894</v>
      </c>
      <c r="G148" s="698"/>
      <c r="H148" s="466"/>
      <c r="I148" s="466"/>
      <c r="J148" s="698" t="s">
        <v>475</v>
      </c>
      <c r="K148" s="701"/>
      <c r="L148" s="689"/>
      <c r="M148" s="689"/>
      <c r="N148" s="763">
        <v>212807.57</v>
      </c>
      <c r="O148" s="688" t="s">
        <v>1287</v>
      </c>
      <c r="P148" s="688"/>
      <c r="Q148" s="688"/>
      <c r="R148" s="688"/>
      <c r="S148" s="688"/>
      <c r="T148" s="688"/>
    </row>
    <row r="149" spans="1:20" x14ac:dyDescent="0.25">
      <c r="A149" s="692">
        <v>6325</v>
      </c>
      <c r="B149" s="700" t="s">
        <v>36</v>
      </c>
      <c r="C149" s="700" t="s">
        <v>692</v>
      </c>
      <c r="D149" s="698" t="s">
        <v>995</v>
      </c>
      <c r="E149" s="700"/>
      <c r="F149" s="698" t="s">
        <v>996</v>
      </c>
      <c r="G149" s="698"/>
      <c r="H149" s="466"/>
      <c r="I149" s="466"/>
      <c r="J149" s="698" t="s">
        <v>475</v>
      </c>
      <c r="K149" s="589"/>
      <c r="L149" s="699"/>
      <c r="M149" s="699"/>
      <c r="N149" s="764">
        <v>50000</v>
      </c>
      <c r="O149" s="688" t="s">
        <v>1287</v>
      </c>
      <c r="P149" s="688"/>
      <c r="Q149" s="688"/>
      <c r="R149" s="688"/>
      <c r="S149" s="688"/>
      <c r="T149" s="688"/>
    </row>
    <row r="150" spans="1:20" x14ac:dyDescent="0.25">
      <c r="A150" s="192">
        <f t="shared" ref="A150:A164" si="0">VLOOKUP(J150,OtherOperatingExpenses,2)</f>
        <v>6362</v>
      </c>
      <c r="B150" s="700" t="s">
        <v>31</v>
      </c>
      <c r="C150" s="700" t="s">
        <v>692</v>
      </c>
      <c r="D150" s="700" t="s">
        <v>818</v>
      </c>
      <c r="E150" s="700" t="s">
        <v>16</v>
      </c>
      <c r="F150" s="700"/>
      <c r="G150" s="700"/>
      <c r="H150" s="596">
        <v>42552</v>
      </c>
      <c r="I150" s="596">
        <v>42916</v>
      </c>
      <c r="J150" s="700" t="s">
        <v>497</v>
      </c>
      <c r="K150" s="689"/>
      <c r="L150" s="689"/>
      <c r="M150" s="689"/>
      <c r="N150" s="689">
        <f>1200-1200</f>
        <v>0</v>
      </c>
      <c r="O150" s="688"/>
      <c r="P150" s="688"/>
      <c r="Q150" s="688"/>
      <c r="R150" s="688"/>
      <c r="S150" s="688"/>
      <c r="T150" s="688"/>
    </row>
    <row r="151" spans="1:20" x14ac:dyDescent="0.25">
      <c r="A151" s="192">
        <f t="shared" si="0"/>
        <v>6380</v>
      </c>
      <c r="B151" s="700" t="s">
        <v>31</v>
      </c>
      <c r="C151" s="700" t="s">
        <v>692</v>
      </c>
      <c r="D151" s="698" t="s">
        <v>819</v>
      </c>
      <c r="E151" s="698" t="s">
        <v>16</v>
      </c>
      <c r="F151" s="698"/>
      <c r="G151" s="698"/>
      <c r="H151" s="596">
        <v>42552</v>
      </c>
      <c r="I151" s="596">
        <v>42916</v>
      </c>
      <c r="J151" s="698" t="s">
        <v>492</v>
      </c>
      <c r="K151" s="701"/>
      <c r="L151" s="689"/>
      <c r="M151" s="689"/>
      <c r="N151" s="689">
        <v>1200</v>
      </c>
      <c r="O151" s="688" t="s">
        <v>1287</v>
      </c>
      <c r="P151" s="688"/>
      <c r="Q151" s="688"/>
      <c r="R151" s="688"/>
      <c r="S151" s="688"/>
      <c r="T151" s="688"/>
    </row>
    <row r="152" spans="1:20" x14ac:dyDescent="0.25">
      <c r="A152" s="192">
        <f t="shared" si="0"/>
        <v>6245</v>
      </c>
      <c r="B152" s="700" t="s">
        <v>31</v>
      </c>
      <c r="C152" s="700" t="s">
        <v>692</v>
      </c>
      <c r="D152" s="698" t="s">
        <v>1447</v>
      </c>
      <c r="E152" s="698" t="s">
        <v>16</v>
      </c>
      <c r="F152" s="702"/>
      <c r="G152" s="702"/>
      <c r="H152" s="596">
        <v>42552</v>
      </c>
      <c r="I152" s="596">
        <v>42916</v>
      </c>
      <c r="J152" s="698" t="s">
        <v>758</v>
      </c>
      <c r="K152" s="701"/>
      <c r="L152" s="689"/>
      <c r="M152" s="689"/>
      <c r="N152" s="689">
        <v>1000</v>
      </c>
      <c r="O152" s="688" t="s">
        <v>1287</v>
      </c>
      <c r="P152" s="688"/>
      <c r="Q152" s="688"/>
      <c r="R152" s="688"/>
      <c r="S152" s="688"/>
      <c r="T152" s="688"/>
    </row>
    <row r="153" spans="1:20" x14ac:dyDescent="0.25">
      <c r="A153" s="192">
        <f t="shared" si="0"/>
        <v>6350</v>
      </c>
      <c r="B153" s="700" t="s">
        <v>31</v>
      </c>
      <c r="C153" s="700" t="s">
        <v>692</v>
      </c>
      <c r="D153" s="698" t="s">
        <v>820</v>
      </c>
      <c r="E153" s="698" t="s">
        <v>17</v>
      </c>
      <c r="F153" s="702"/>
      <c r="G153" s="702"/>
      <c r="H153" s="596">
        <v>42552</v>
      </c>
      <c r="I153" s="596">
        <v>42916</v>
      </c>
      <c r="J153" s="698" t="s">
        <v>3</v>
      </c>
      <c r="K153" s="701"/>
      <c r="L153" s="689"/>
      <c r="M153" s="689"/>
      <c r="N153" s="689">
        <v>560</v>
      </c>
      <c r="O153" s="688" t="s">
        <v>1287</v>
      </c>
      <c r="P153" s="688"/>
      <c r="Q153" s="688"/>
      <c r="R153" s="688"/>
      <c r="S153" s="688"/>
      <c r="T153" s="688"/>
    </row>
    <row r="154" spans="1:20" x14ac:dyDescent="0.25">
      <c r="A154" s="192">
        <f t="shared" si="0"/>
        <v>6355</v>
      </c>
      <c r="B154" s="700" t="s">
        <v>31</v>
      </c>
      <c r="C154" s="700" t="s">
        <v>692</v>
      </c>
      <c r="D154" s="698" t="s">
        <v>821</v>
      </c>
      <c r="E154" s="698"/>
      <c r="F154" s="702"/>
      <c r="G154" s="702"/>
      <c r="H154" s="596">
        <v>42552</v>
      </c>
      <c r="I154" s="596">
        <v>42916</v>
      </c>
      <c r="J154" s="698" t="s">
        <v>4</v>
      </c>
      <c r="K154" s="701"/>
      <c r="L154" s="689"/>
      <c r="M154" s="689"/>
      <c r="N154" s="689">
        <v>300</v>
      </c>
      <c r="O154" s="688" t="s">
        <v>1287</v>
      </c>
      <c r="P154" s="688"/>
      <c r="Q154" s="688"/>
      <c r="R154" s="688"/>
      <c r="S154" s="688"/>
      <c r="T154" s="688"/>
    </row>
    <row r="155" spans="1:20" x14ac:dyDescent="0.25">
      <c r="A155" s="192">
        <f t="shared" si="0"/>
        <v>6375</v>
      </c>
      <c r="B155" s="700" t="s">
        <v>31</v>
      </c>
      <c r="C155" s="700" t="s">
        <v>692</v>
      </c>
      <c r="D155" s="698" t="s">
        <v>493</v>
      </c>
      <c r="E155" s="698" t="s">
        <v>16</v>
      </c>
      <c r="F155" s="702"/>
      <c r="G155" s="702"/>
      <c r="H155" s="596">
        <v>42552</v>
      </c>
      <c r="I155" s="596">
        <v>42916</v>
      </c>
      <c r="J155" s="700" t="s">
        <v>493</v>
      </c>
      <c r="K155" s="701"/>
      <c r="L155" s="689"/>
      <c r="M155" s="689"/>
      <c r="N155" s="689">
        <v>1200</v>
      </c>
      <c r="O155" s="688" t="s">
        <v>1287</v>
      </c>
      <c r="P155" s="688" t="s">
        <v>1292</v>
      </c>
      <c r="Q155" s="688"/>
      <c r="R155" s="688" t="s">
        <v>1290</v>
      </c>
      <c r="S155" s="688"/>
      <c r="T155" s="688" t="s">
        <v>1293</v>
      </c>
    </row>
    <row r="156" spans="1:20" x14ac:dyDescent="0.25">
      <c r="A156" s="192">
        <f t="shared" si="0"/>
        <v>6245</v>
      </c>
      <c r="B156" s="700" t="s">
        <v>31</v>
      </c>
      <c r="C156" s="700" t="s">
        <v>692</v>
      </c>
      <c r="D156" s="700" t="s">
        <v>1448</v>
      </c>
      <c r="E156" s="700"/>
      <c r="F156" s="700" t="s">
        <v>1450</v>
      </c>
      <c r="G156" s="664"/>
      <c r="H156" s="665"/>
      <c r="I156" s="665"/>
      <c r="J156" s="698" t="s">
        <v>758</v>
      </c>
      <c r="K156" s="689"/>
      <c r="L156" s="689"/>
      <c r="M156" s="689"/>
      <c r="N156" s="689">
        <f>3300-3300</f>
        <v>0</v>
      </c>
      <c r="O156" s="688" t="s">
        <v>1287</v>
      </c>
      <c r="P156" s="688"/>
      <c r="Q156" s="688"/>
      <c r="R156" s="688"/>
      <c r="S156" s="688"/>
      <c r="T156" s="688"/>
    </row>
    <row r="157" spans="1:20" x14ac:dyDescent="0.25">
      <c r="A157" s="192">
        <f t="shared" si="0"/>
        <v>6245</v>
      </c>
      <c r="B157" s="700" t="s">
        <v>31</v>
      </c>
      <c r="C157" s="700" t="s">
        <v>692</v>
      </c>
      <c r="D157" s="700" t="s">
        <v>1448</v>
      </c>
      <c r="E157" s="700"/>
      <c r="F157" s="700" t="s">
        <v>1451</v>
      </c>
      <c r="G157" s="664"/>
      <c r="H157" s="665"/>
      <c r="I157" s="665"/>
      <c r="J157" s="698" t="s">
        <v>758</v>
      </c>
      <c r="K157" s="689"/>
      <c r="L157" s="689"/>
      <c r="M157" s="689"/>
      <c r="N157" s="689">
        <v>3300</v>
      </c>
      <c r="O157" s="688" t="s">
        <v>1287</v>
      </c>
      <c r="P157" s="688"/>
      <c r="Q157" s="688"/>
      <c r="R157" s="688"/>
      <c r="S157" s="688"/>
      <c r="T157" s="688"/>
    </row>
    <row r="158" spans="1:20" x14ac:dyDescent="0.25">
      <c r="A158" s="192">
        <f t="shared" si="0"/>
        <v>6245</v>
      </c>
      <c r="B158" s="700" t="s">
        <v>31</v>
      </c>
      <c r="C158" s="700" t="s">
        <v>692</v>
      </c>
      <c r="D158" s="700" t="s">
        <v>1562</v>
      </c>
      <c r="E158" s="700"/>
      <c r="F158" s="700" t="s">
        <v>1561</v>
      </c>
      <c r="G158" s="700"/>
      <c r="H158" s="596"/>
      <c r="I158" s="596"/>
      <c r="J158" s="700" t="s">
        <v>758</v>
      </c>
      <c r="K158" s="701"/>
      <c r="L158" s="689"/>
      <c r="M158" s="689"/>
      <c r="N158" s="689">
        <v>3000</v>
      </c>
      <c r="O158" s="688" t="s">
        <v>1287</v>
      </c>
      <c r="P158" s="688">
        <v>100</v>
      </c>
      <c r="Q158" s="688"/>
      <c r="R158" s="688">
        <v>11867</v>
      </c>
      <c r="S158" s="688"/>
      <c r="T158" s="688">
        <v>8197</v>
      </c>
    </row>
    <row r="159" spans="1:20" x14ac:dyDescent="0.25">
      <c r="A159" s="192">
        <f t="shared" si="0"/>
        <v>6350</v>
      </c>
      <c r="B159" s="700" t="s">
        <v>30</v>
      </c>
      <c r="C159" s="700" t="s">
        <v>692</v>
      </c>
      <c r="D159" s="700" t="s">
        <v>827</v>
      </c>
      <c r="E159" s="700"/>
      <c r="F159" s="700"/>
      <c r="G159" s="700"/>
      <c r="H159" s="596"/>
      <c r="I159" s="596"/>
      <c r="J159" s="700" t="s">
        <v>3</v>
      </c>
      <c r="K159" s="701">
        <v>9800</v>
      </c>
      <c r="L159" s="689"/>
      <c r="M159" s="689"/>
      <c r="N159" s="689">
        <f t="shared" ref="N159:N164" si="1">K159</f>
        <v>9800</v>
      </c>
      <c r="O159" s="688" t="s">
        <v>1287</v>
      </c>
      <c r="P159" s="688">
        <v>15000</v>
      </c>
      <c r="Q159" s="688"/>
      <c r="R159" s="688">
        <v>24190</v>
      </c>
      <c r="S159" s="688"/>
      <c r="T159" s="688">
        <v>7472</v>
      </c>
    </row>
    <row r="160" spans="1:20" x14ac:dyDescent="0.25">
      <c r="A160" s="192">
        <f t="shared" si="0"/>
        <v>6310</v>
      </c>
      <c r="B160" s="700" t="s">
        <v>30</v>
      </c>
      <c r="C160" s="700" t="s">
        <v>692</v>
      </c>
      <c r="D160" s="698" t="s">
        <v>1018</v>
      </c>
      <c r="E160" s="698"/>
      <c r="F160" s="698" t="s">
        <v>1019</v>
      </c>
      <c r="G160" s="698"/>
      <c r="H160" s="466"/>
      <c r="I160" s="466"/>
      <c r="J160" s="698" t="s">
        <v>499</v>
      </c>
      <c r="K160" s="701">
        <v>95771</v>
      </c>
      <c r="L160" s="689"/>
      <c r="M160" s="689"/>
      <c r="N160" s="689">
        <f t="shared" si="1"/>
        <v>95771</v>
      </c>
      <c r="O160" s="688" t="s">
        <v>1287</v>
      </c>
      <c r="P160" s="688">
        <v>20000</v>
      </c>
      <c r="Q160" s="688"/>
      <c r="R160" s="688">
        <v>16802</v>
      </c>
      <c r="S160" s="688"/>
      <c r="T160" s="688">
        <v>9323</v>
      </c>
    </row>
    <row r="161" spans="1:20" x14ac:dyDescent="0.25">
      <c r="A161" s="192">
        <f t="shared" si="0"/>
        <v>6245</v>
      </c>
      <c r="B161" s="700" t="s">
        <v>30</v>
      </c>
      <c r="C161" s="700" t="s">
        <v>692</v>
      </c>
      <c r="D161" s="698" t="s">
        <v>828</v>
      </c>
      <c r="E161" s="698"/>
      <c r="F161" s="702"/>
      <c r="G161" s="702"/>
      <c r="H161" s="466"/>
      <c r="I161" s="466"/>
      <c r="J161" s="698" t="s">
        <v>758</v>
      </c>
      <c r="K161" s="701">
        <f>2000-500</f>
        <v>1500</v>
      </c>
      <c r="L161" s="689"/>
      <c r="M161" s="689"/>
      <c r="N161" s="689">
        <f t="shared" si="1"/>
        <v>1500</v>
      </c>
      <c r="O161" s="688" t="s">
        <v>1287</v>
      </c>
      <c r="P161" s="688"/>
      <c r="Q161" s="688"/>
      <c r="R161" s="688"/>
      <c r="S161" s="688"/>
      <c r="T161" s="688"/>
    </row>
    <row r="162" spans="1:20" x14ac:dyDescent="0.25">
      <c r="A162" s="192">
        <f t="shared" si="0"/>
        <v>6385</v>
      </c>
      <c r="B162" s="700" t="s">
        <v>30</v>
      </c>
      <c r="C162" s="700" t="s">
        <v>692</v>
      </c>
      <c r="D162" s="698" t="s">
        <v>829</v>
      </c>
      <c r="E162" s="698"/>
      <c r="F162" s="702"/>
      <c r="G162" s="702"/>
      <c r="H162" s="466"/>
      <c r="I162" s="466"/>
      <c r="J162" s="698" t="s">
        <v>494</v>
      </c>
      <c r="K162" s="701">
        <v>300</v>
      </c>
      <c r="L162" s="689"/>
      <c r="M162" s="689"/>
      <c r="N162" s="689">
        <f t="shared" si="1"/>
        <v>300</v>
      </c>
      <c r="O162" s="688" t="s">
        <v>1287</v>
      </c>
      <c r="P162" s="688"/>
      <c r="Q162" s="688"/>
      <c r="R162" s="688">
        <v>1977</v>
      </c>
      <c r="S162" s="688"/>
      <c r="T162" s="688">
        <v>1977</v>
      </c>
    </row>
    <row r="163" spans="1:20" x14ac:dyDescent="0.25">
      <c r="A163" s="192">
        <f t="shared" si="0"/>
        <v>6355</v>
      </c>
      <c r="B163" s="700" t="s">
        <v>30</v>
      </c>
      <c r="C163" s="700" t="s">
        <v>692</v>
      </c>
      <c r="D163" s="698" t="s">
        <v>830</v>
      </c>
      <c r="E163" s="698"/>
      <c r="F163" s="702"/>
      <c r="G163" s="702"/>
      <c r="H163" s="466"/>
      <c r="I163" s="466"/>
      <c r="J163" s="698" t="s">
        <v>4</v>
      </c>
      <c r="K163" s="701">
        <v>200</v>
      </c>
      <c r="L163" s="689"/>
      <c r="M163" s="689"/>
      <c r="N163" s="689">
        <f t="shared" si="1"/>
        <v>200</v>
      </c>
      <c r="O163" s="688" t="s">
        <v>1287</v>
      </c>
      <c r="P163" s="688"/>
      <c r="Q163" s="688"/>
      <c r="R163" s="688"/>
      <c r="S163" s="688"/>
      <c r="T163" s="688"/>
    </row>
    <row r="164" spans="1:20" x14ac:dyDescent="0.25">
      <c r="A164" s="192">
        <f t="shared" si="0"/>
        <v>6380</v>
      </c>
      <c r="B164" s="700" t="s">
        <v>30</v>
      </c>
      <c r="C164" s="700" t="s">
        <v>692</v>
      </c>
      <c r="D164" s="698" t="s">
        <v>831</v>
      </c>
      <c r="E164" s="698"/>
      <c r="F164" s="702"/>
      <c r="G164" s="702"/>
      <c r="H164" s="466"/>
      <c r="I164" s="466"/>
      <c r="J164" s="700" t="s">
        <v>492</v>
      </c>
      <c r="K164" s="701">
        <v>1000</v>
      </c>
      <c r="L164" s="689"/>
      <c r="M164" s="689"/>
      <c r="N164" s="689">
        <f t="shared" si="1"/>
        <v>1000</v>
      </c>
      <c r="O164" s="688" t="s">
        <v>1287</v>
      </c>
      <c r="P164" s="688"/>
      <c r="Q164" s="688"/>
      <c r="R164" s="688"/>
      <c r="S164" s="688"/>
      <c r="T164" s="688">
        <v>2890</v>
      </c>
    </row>
    <row r="165" spans="1:20" x14ac:dyDescent="0.25">
      <c r="A165" s="192">
        <v>6322</v>
      </c>
      <c r="B165" s="700" t="s">
        <v>38</v>
      </c>
      <c r="C165" s="700" t="s">
        <v>128</v>
      </c>
      <c r="D165" s="700" t="s">
        <v>942</v>
      </c>
      <c r="E165" s="700" t="s">
        <v>17</v>
      </c>
      <c r="F165" s="700" t="s">
        <v>943</v>
      </c>
      <c r="G165" s="700"/>
      <c r="H165" s="596"/>
      <c r="I165" s="596"/>
      <c r="J165" s="700" t="s">
        <v>491</v>
      </c>
      <c r="K165" s="701">
        <v>2900</v>
      </c>
      <c r="L165" s="689">
        <v>0</v>
      </c>
      <c r="M165" s="689">
        <v>2900</v>
      </c>
      <c r="N165" s="689">
        <v>2900</v>
      </c>
      <c r="O165" s="688" t="s">
        <v>1287</v>
      </c>
      <c r="P165" s="688"/>
      <c r="Q165" s="688"/>
      <c r="R165" s="688"/>
      <c r="S165" s="688"/>
      <c r="T165" s="688"/>
    </row>
    <row r="166" spans="1:20" ht="30" x14ac:dyDescent="0.25">
      <c r="A166" s="192">
        <v>6350</v>
      </c>
      <c r="B166" s="700" t="s">
        <v>38</v>
      </c>
      <c r="C166" s="700" t="s">
        <v>128</v>
      </c>
      <c r="D166" s="698" t="s">
        <v>944</v>
      </c>
      <c r="E166" s="698" t="s">
        <v>17</v>
      </c>
      <c r="F166" s="702" t="s">
        <v>945</v>
      </c>
      <c r="G166" s="702"/>
      <c r="H166" s="466"/>
      <c r="I166" s="466"/>
      <c r="J166" s="698" t="s">
        <v>3</v>
      </c>
      <c r="K166" s="701">
        <v>320</v>
      </c>
      <c r="L166" s="689"/>
      <c r="M166" s="689"/>
      <c r="N166" s="689">
        <v>320</v>
      </c>
      <c r="O166" s="688" t="s">
        <v>1287</v>
      </c>
      <c r="P166" s="688"/>
      <c r="Q166" s="688"/>
      <c r="R166" s="688">
        <v>14648</v>
      </c>
      <c r="S166" s="688"/>
      <c r="T166" s="688">
        <v>6453</v>
      </c>
    </row>
    <row r="167" spans="1:20" x14ac:dyDescent="0.25">
      <c r="A167" s="192">
        <v>6330</v>
      </c>
      <c r="B167" s="700" t="s">
        <v>38</v>
      </c>
      <c r="C167" s="700" t="s">
        <v>128</v>
      </c>
      <c r="D167" s="698" t="s">
        <v>946</v>
      </c>
      <c r="E167" s="698" t="s">
        <v>17</v>
      </c>
      <c r="F167" s="702" t="s">
        <v>947</v>
      </c>
      <c r="G167" s="702"/>
      <c r="H167" s="466"/>
      <c r="I167" s="466"/>
      <c r="J167" s="698" t="s">
        <v>496</v>
      </c>
      <c r="K167" s="701">
        <v>4200</v>
      </c>
      <c r="L167" s="689">
        <v>2095.6799999999998</v>
      </c>
      <c r="M167" s="689">
        <v>4200</v>
      </c>
      <c r="N167" s="689">
        <v>4200</v>
      </c>
      <c r="O167" s="688" t="s">
        <v>1287</v>
      </c>
      <c r="P167" s="688"/>
      <c r="Q167" s="688"/>
      <c r="R167" s="688"/>
      <c r="S167" s="688"/>
      <c r="T167" s="688"/>
    </row>
    <row r="168" spans="1:20" x14ac:dyDescent="0.25">
      <c r="A168" s="192">
        <v>6355</v>
      </c>
      <c r="B168" s="700" t="s">
        <v>38</v>
      </c>
      <c r="C168" s="700" t="s">
        <v>128</v>
      </c>
      <c r="D168" s="698" t="s">
        <v>948</v>
      </c>
      <c r="E168" s="698" t="s">
        <v>17</v>
      </c>
      <c r="F168" s="702" t="s">
        <v>1215</v>
      </c>
      <c r="G168" s="702"/>
      <c r="H168" s="466"/>
      <c r="I168" s="466"/>
      <c r="J168" s="698" t="s">
        <v>4</v>
      </c>
      <c r="K168" s="701">
        <v>13000</v>
      </c>
      <c r="L168" s="689"/>
      <c r="M168" s="689"/>
      <c r="N168" s="689">
        <v>13000</v>
      </c>
      <c r="O168" s="688" t="s">
        <v>1287</v>
      </c>
      <c r="P168" s="688">
        <v>23000</v>
      </c>
      <c r="Q168" s="688"/>
      <c r="R168" s="688">
        <v>28358</v>
      </c>
      <c r="S168" s="688"/>
      <c r="T168" s="688">
        <v>27430</v>
      </c>
    </row>
    <row r="169" spans="1:20" x14ac:dyDescent="0.25">
      <c r="A169" s="192">
        <v>6450</v>
      </c>
      <c r="B169" s="700" t="s">
        <v>38</v>
      </c>
      <c r="C169" s="700" t="s">
        <v>128</v>
      </c>
      <c r="D169" s="698" t="s">
        <v>950</v>
      </c>
      <c r="E169" s="698" t="s">
        <v>17</v>
      </c>
      <c r="F169" s="702" t="s">
        <v>951</v>
      </c>
      <c r="G169" s="702"/>
      <c r="H169" s="596"/>
      <c r="I169" s="596"/>
      <c r="J169" s="700" t="s">
        <v>713</v>
      </c>
      <c r="K169" s="701">
        <v>1000</v>
      </c>
      <c r="L169" s="689"/>
      <c r="M169" s="689"/>
      <c r="N169" s="689">
        <v>1000</v>
      </c>
      <c r="O169" s="688" t="s">
        <v>1287</v>
      </c>
      <c r="P169" s="688"/>
      <c r="Q169" s="688"/>
      <c r="R169" s="688"/>
      <c r="S169" s="688"/>
      <c r="T169" s="688"/>
    </row>
    <row r="170" spans="1:20" x14ac:dyDescent="0.25">
      <c r="A170" s="192">
        <v>6375</v>
      </c>
      <c r="B170" s="700" t="s">
        <v>38</v>
      </c>
      <c r="C170" s="700" t="s">
        <v>128</v>
      </c>
      <c r="D170" s="698" t="s">
        <v>952</v>
      </c>
      <c r="E170" s="700" t="s">
        <v>17</v>
      </c>
      <c r="F170" s="700" t="s">
        <v>953</v>
      </c>
      <c r="G170" s="700"/>
      <c r="H170" s="596"/>
      <c r="I170" s="596"/>
      <c r="J170" s="700" t="s">
        <v>493</v>
      </c>
      <c r="K170" s="701">
        <v>24555</v>
      </c>
      <c r="L170" s="689">
        <v>34636.67</v>
      </c>
      <c r="M170" s="689">
        <v>34636.67</v>
      </c>
      <c r="N170" s="689">
        <v>24555</v>
      </c>
      <c r="O170" s="688" t="s">
        <v>1287</v>
      </c>
      <c r="P170" s="688"/>
      <c r="Q170" s="688"/>
      <c r="R170" s="688"/>
      <c r="S170" s="688"/>
      <c r="T170" s="688"/>
    </row>
    <row r="171" spans="1:20" x14ac:dyDescent="0.25">
      <c r="A171" s="192">
        <v>6375</v>
      </c>
      <c r="B171" s="700" t="s">
        <v>38</v>
      </c>
      <c r="C171" s="700" t="s">
        <v>128</v>
      </c>
      <c r="D171" s="698" t="s">
        <v>954</v>
      </c>
      <c r="E171" s="700" t="s">
        <v>17</v>
      </c>
      <c r="F171" s="700" t="s">
        <v>955</v>
      </c>
      <c r="G171" s="700"/>
      <c r="H171" s="596"/>
      <c r="I171" s="596"/>
      <c r="J171" s="700" t="s">
        <v>493</v>
      </c>
      <c r="K171" s="701">
        <v>6333</v>
      </c>
      <c r="L171" s="689">
        <v>0</v>
      </c>
      <c r="M171" s="689">
        <v>0</v>
      </c>
      <c r="N171" s="689">
        <v>6333</v>
      </c>
      <c r="O171" s="688" t="s">
        <v>1287</v>
      </c>
      <c r="P171" s="688"/>
      <c r="Q171" s="688"/>
      <c r="R171" s="688"/>
      <c r="S171" s="688"/>
      <c r="T171" s="688"/>
    </row>
    <row r="172" spans="1:20" x14ac:dyDescent="0.25">
      <c r="A172" s="192">
        <v>6350</v>
      </c>
      <c r="B172" s="700" t="s">
        <v>38</v>
      </c>
      <c r="C172" s="700" t="s">
        <v>128</v>
      </c>
      <c r="D172" s="700" t="s">
        <v>956</v>
      </c>
      <c r="E172" s="700" t="s">
        <v>17</v>
      </c>
      <c r="F172" s="700" t="s">
        <v>957</v>
      </c>
      <c r="G172" s="700"/>
      <c r="H172" s="596"/>
      <c r="I172" s="596"/>
      <c r="J172" s="700" t="s">
        <v>3</v>
      </c>
      <c r="K172" s="701">
        <v>2650</v>
      </c>
      <c r="L172" s="689"/>
      <c r="M172" s="689">
        <v>2650</v>
      </c>
      <c r="N172" s="689">
        <v>2650</v>
      </c>
      <c r="O172" s="688" t="s">
        <v>1287</v>
      </c>
      <c r="P172" s="688"/>
      <c r="Q172" s="688"/>
      <c r="R172" s="688"/>
      <c r="S172" s="688"/>
      <c r="T172" s="688"/>
    </row>
    <row r="173" spans="1:20" x14ac:dyDescent="0.25">
      <c r="A173" s="192">
        <v>6350</v>
      </c>
      <c r="B173" s="700" t="s">
        <v>38</v>
      </c>
      <c r="C173" s="700" t="s">
        <v>128</v>
      </c>
      <c r="D173" s="700" t="s">
        <v>959</v>
      </c>
      <c r="E173" s="700" t="s">
        <v>17</v>
      </c>
      <c r="F173" s="700" t="s">
        <v>960</v>
      </c>
      <c r="G173" s="700"/>
      <c r="H173" s="596"/>
      <c r="I173" s="596"/>
      <c r="J173" s="700" t="s">
        <v>3</v>
      </c>
      <c r="K173" s="699">
        <v>500</v>
      </c>
      <c r="L173" s="699"/>
      <c r="M173" s="699"/>
      <c r="N173" s="699">
        <v>500</v>
      </c>
      <c r="O173" s="688" t="s">
        <v>1287</v>
      </c>
      <c r="P173" s="688"/>
      <c r="Q173" s="688"/>
      <c r="R173" s="688"/>
      <c r="S173" s="688"/>
      <c r="T173" s="688"/>
    </row>
    <row r="174" spans="1:20" s="514" customFormat="1" x14ac:dyDescent="0.25">
      <c r="A174" s="192">
        <v>6375</v>
      </c>
      <c r="B174" s="700" t="s">
        <v>38</v>
      </c>
      <c r="C174" s="700" t="s">
        <v>129</v>
      </c>
      <c r="D174" s="698" t="s">
        <v>952</v>
      </c>
      <c r="E174" s="700" t="s">
        <v>17</v>
      </c>
      <c r="F174" s="700" t="s">
        <v>953</v>
      </c>
      <c r="G174" s="700"/>
      <c r="H174" s="596"/>
      <c r="I174" s="596"/>
      <c r="J174" s="700" t="s">
        <v>493</v>
      </c>
      <c r="K174" s="699">
        <v>384</v>
      </c>
      <c r="L174" s="699">
        <v>125</v>
      </c>
      <c r="M174" s="699">
        <v>125</v>
      </c>
      <c r="N174" s="699">
        <v>384</v>
      </c>
      <c r="O174" s="688" t="s">
        <v>1287</v>
      </c>
      <c r="P174" s="688" t="s">
        <v>1287</v>
      </c>
      <c r="Q174" s="688"/>
      <c r="R174" s="688"/>
      <c r="S174" s="688"/>
      <c r="T174" s="688"/>
    </row>
    <row r="175" spans="1:20" x14ac:dyDescent="0.25">
      <c r="A175" s="692">
        <f>VLOOKUP(J175,OtherOperatingExpenses,2)</f>
        <v>6245</v>
      </c>
      <c r="B175" s="700" t="s">
        <v>38</v>
      </c>
      <c r="C175" s="700" t="s">
        <v>692</v>
      </c>
      <c r="D175" s="698" t="s">
        <v>1207</v>
      </c>
      <c r="E175" s="700" t="s">
        <v>17</v>
      </c>
      <c r="F175" s="702" t="s">
        <v>1209</v>
      </c>
      <c r="G175" s="590"/>
      <c r="H175" s="596"/>
      <c r="I175" s="596"/>
      <c r="J175" s="698" t="s">
        <v>758</v>
      </c>
      <c r="K175" s="74"/>
      <c r="L175" s="74"/>
      <c r="M175" s="74"/>
      <c r="N175" s="689">
        <v>3100</v>
      </c>
      <c r="O175" s="688" t="s">
        <v>1287</v>
      </c>
      <c r="P175" s="688" t="s">
        <v>1287</v>
      </c>
      <c r="Q175" s="688"/>
      <c r="R175" s="688"/>
      <c r="S175" s="688"/>
      <c r="T175" s="688"/>
    </row>
    <row r="176" spans="1:20" x14ac:dyDescent="0.25">
      <c r="A176" s="692">
        <f>VLOOKUP(J176,OtherOperatingExpenses,2)</f>
        <v>6245</v>
      </c>
      <c r="B176" s="700" t="s">
        <v>38</v>
      </c>
      <c r="C176" s="700" t="s">
        <v>692</v>
      </c>
      <c r="D176" s="698" t="s">
        <v>1208</v>
      </c>
      <c r="E176" s="700" t="s">
        <v>17</v>
      </c>
      <c r="F176" s="702" t="s">
        <v>940</v>
      </c>
      <c r="G176" s="590"/>
      <c r="H176" s="596"/>
      <c r="I176" s="596"/>
      <c r="J176" s="698" t="s">
        <v>758</v>
      </c>
      <c r="K176" s="74"/>
      <c r="L176" s="74"/>
      <c r="M176" s="74"/>
      <c r="N176" s="689">
        <v>1000</v>
      </c>
      <c r="O176" s="688" t="s">
        <v>1287</v>
      </c>
      <c r="P176" s="688" t="s">
        <v>1287</v>
      </c>
      <c r="Q176" s="688"/>
      <c r="R176" s="688"/>
      <c r="S176" s="688"/>
      <c r="T176" s="688"/>
    </row>
    <row r="177" spans="1:20" x14ac:dyDescent="0.25">
      <c r="A177" s="192">
        <v>6350</v>
      </c>
      <c r="B177" s="700" t="s">
        <v>38</v>
      </c>
      <c r="C177" s="700" t="s">
        <v>472</v>
      </c>
      <c r="D177" s="700" t="s">
        <v>958</v>
      </c>
      <c r="E177" s="700" t="s">
        <v>17</v>
      </c>
      <c r="F177" s="700" t="s">
        <v>910</v>
      </c>
      <c r="G177" s="700"/>
      <c r="H177" s="596"/>
      <c r="I177" s="596"/>
      <c r="J177" s="700" t="s">
        <v>3</v>
      </c>
      <c r="K177" s="689">
        <v>95</v>
      </c>
      <c r="L177" s="689"/>
      <c r="M177" s="689">
        <v>95</v>
      </c>
      <c r="N177" s="689">
        <v>95</v>
      </c>
      <c r="O177" s="688" t="s">
        <v>1287</v>
      </c>
      <c r="P177" s="688"/>
      <c r="Q177" s="688"/>
      <c r="R177" s="688"/>
      <c r="S177" s="688"/>
      <c r="T177" s="688"/>
    </row>
    <row r="178" spans="1:20" x14ac:dyDescent="0.25">
      <c r="A178" s="192">
        <v>6375</v>
      </c>
      <c r="B178" s="700" t="s">
        <v>38</v>
      </c>
      <c r="C178" s="700" t="s">
        <v>472</v>
      </c>
      <c r="D178" s="698" t="s">
        <v>952</v>
      </c>
      <c r="E178" s="700" t="s">
        <v>17</v>
      </c>
      <c r="F178" s="700" t="s">
        <v>953</v>
      </c>
      <c r="G178" s="700"/>
      <c r="H178" s="596"/>
      <c r="I178" s="596"/>
      <c r="J178" s="700" t="s">
        <v>493</v>
      </c>
      <c r="K178" s="699">
        <v>15347</v>
      </c>
      <c r="L178" s="699">
        <v>9565</v>
      </c>
      <c r="M178" s="699">
        <v>9565</v>
      </c>
      <c r="N178" s="699">
        <v>15347</v>
      </c>
      <c r="O178" s="688" t="s">
        <v>1287</v>
      </c>
      <c r="P178" s="688" t="s">
        <v>1287</v>
      </c>
      <c r="Q178" s="688"/>
      <c r="R178" s="688"/>
      <c r="S178" s="688"/>
      <c r="T178" s="688"/>
    </row>
    <row r="179" spans="1:20" x14ac:dyDescent="0.25">
      <c r="A179" s="692">
        <f>VLOOKUP(J179,OtherOperatingExpenses,2)</f>
        <v>6365</v>
      </c>
      <c r="B179" s="700" t="s">
        <v>684</v>
      </c>
      <c r="C179" s="700" t="s">
        <v>692</v>
      </c>
      <c r="D179" s="698" t="s">
        <v>1075</v>
      </c>
      <c r="E179" s="700"/>
      <c r="F179" s="698" t="s">
        <v>1195</v>
      </c>
      <c r="G179" s="702"/>
      <c r="H179" s="596"/>
      <c r="I179" s="596"/>
      <c r="J179" s="698" t="s">
        <v>1442</v>
      </c>
      <c r="K179" s="701">
        <v>33082</v>
      </c>
      <c r="L179" s="689">
        <v>30305.86</v>
      </c>
      <c r="M179" s="689">
        <v>15140</v>
      </c>
      <c r="N179" s="689">
        <v>9500</v>
      </c>
      <c r="O179" s="688" t="s">
        <v>1287</v>
      </c>
      <c r="P179" s="688"/>
      <c r="Q179" s="688"/>
      <c r="R179" s="688"/>
      <c r="S179" s="688"/>
      <c r="T179" s="688"/>
    </row>
    <row r="180" spans="1:20" x14ac:dyDescent="0.25">
      <c r="A180" s="692">
        <f>VLOOKUP(J180,OtherOperatingExpenses,2)</f>
        <v>6395</v>
      </c>
      <c r="B180" s="700" t="s">
        <v>684</v>
      </c>
      <c r="C180" s="700" t="s">
        <v>692</v>
      </c>
      <c r="D180" s="698" t="s">
        <v>1210</v>
      </c>
      <c r="E180" s="700"/>
      <c r="F180" s="698" t="s">
        <v>1211</v>
      </c>
      <c r="G180" s="702"/>
      <c r="H180" s="596"/>
      <c r="I180" s="596"/>
      <c r="J180" s="698" t="s">
        <v>666</v>
      </c>
      <c r="K180" s="701">
        <v>18996</v>
      </c>
      <c r="L180" s="689">
        <v>9246.76</v>
      </c>
      <c r="M180" s="689">
        <v>12329</v>
      </c>
      <c r="N180" s="689">
        <v>21000</v>
      </c>
      <c r="O180" s="688" t="s">
        <v>1287</v>
      </c>
      <c r="P180" s="688" t="s">
        <v>1287</v>
      </c>
      <c r="Q180" s="688"/>
      <c r="R180" s="688"/>
      <c r="S180" s="688"/>
      <c r="T180" s="688"/>
    </row>
    <row r="181" spans="1:20" ht="30" x14ac:dyDescent="0.25">
      <c r="A181" s="692">
        <f>VLOOKUP(J181,OtherOperatingExpenses,2)</f>
        <v>6315</v>
      </c>
      <c r="B181" s="700" t="s">
        <v>684</v>
      </c>
      <c r="C181" s="700" t="s">
        <v>692</v>
      </c>
      <c r="D181" s="698" t="s">
        <v>1212</v>
      </c>
      <c r="E181" s="700"/>
      <c r="F181" s="702" t="s">
        <v>1482</v>
      </c>
      <c r="G181" s="702"/>
      <c r="H181" s="596"/>
      <c r="I181" s="596"/>
      <c r="J181" s="698" t="s">
        <v>573</v>
      </c>
      <c r="K181" s="701"/>
      <c r="L181" s="689">
        <v>607.27</v>
      </c>
      <c r="M181" s="689">
        <v>1000</v>
      </c>
      <c r="N181" s="689">
        <v>5000</v>
      </c>
      <c r="O181" s="688" t="s">
        <v>1287</v>
      </c>
      <c r="P181" s="688"/>
      <c r="Q181" s="688"/>
      <c r="R181" s="688"/>
      <c r="S181" s="688"/>
      <c r="T181" s="688"/>
    </row>
    <row r="182" spans="1:20" x14ac:dyDescent="0.25">
      <c r="A182" s="692">
        <v>6315</v>
      </c>
      <c r="B182" s="700" t="s">
        <v>684</v>
      </c>
      <c r="C182" s="700" t="s">
        <v>692</v>
      </c>
      <c r="D182" s="698" t="s">
        <v>1427</v>
      </c>
      <c r="E182" s="700"/>
      <c r="F182" s="702" t="s">
        <v>1428</v>
      </c>
      <c r="G182" s="596"/>
      <c r="H182" s="596"/>
      <c r="I182" s="698"/>
      <c r="J182" s="658" t="s">
        <v>573</v>
      </c>
      <c r="K182" s="689">
        <v>4560</v>
      </c>
      <c r="L182" s="689">
        <v>2128</v>
      </c>
      <c r="M182" s="689">
        <v>3128</v>
      </c>
      <c r="N182" s="689"/>
      <c r="O182" s="688" t="s">
        <v>1287</v>
      </c>
      <c r="P182" s="688"/>
      <c r="Q182" s="688"/>
      <c r="R182" s="688"/>
      <c r="S182" s="688"/>
      <c r="T182" s="688"/>
    </row>
    <row r="183" spans="1:20" x14ac:dyDescent="0.25">
      <c r="A183" s="692">
        <f t="shared" ref="A183:A193" si="2">VLOOKUP(J183,OtherOperatingExpenses,2)</f>
        <v>6315</v>
      </c>
      <c r="B183" s="700" t="s">
        <v>684</v>
      </c>
      <c r="C183" s="700" t="s">
        <v>692</v>
      </c>
      <c r="D183" s="698" t="s">
        <v>1142</v>
      </c>
      <c r="E183" s="700" t="s">
        <v>17</v>
      </c>
      <c r="F183" s="702" t="s">
        <v>1143</v>
      </c>
      <c r="G183" s="590"/>
      <c r="H183" s="596"/>
      <c r="I183" s="596" t="s">
        <v>1137</v>
      </c>
      <c r="J183" s="698" t="s">
        <v>573</v>
      </c>
      <c r="K183" s="74">
        <v>9000</v>
      </c>
      <c r="L183" s="689">
        <v>6417.51</v>
      </c>
      <c r="M183" s="689">
        <v>7000</v>
      </c>
      <c r="N183" s="689">
        <v>8000</v>
      </c>
      <c r="O183" s="688" t="s">
        <v>1287</v>
      </c>
      <c r="P183" s="688"/>
      <c r="Q183" s="688"/>
      <c r="R183" s="688"/>
      <c r="S183" s="688"/>
      <c r="T183" s="688"/>
    </row>
    <row r="184" spans="1:20" x14ac:dyDescent="0.25">
      <c r="A184" s="692">
        <f t="shared" si="2"/>
        <v>6330</v>
      </c>
      <c r="B184" s="700" t="s">
        <v>684</v>
      </c>
      <c r="C184" s="700" t="s">
        <v>692</v>
      </c>
      <c r="D184" s="698" t="s">
        <v>1138</v>
      </c>
      <c r="E184" s="700" t="s">
        <v>17</v>
      </c>
      <c r="F184" s="702" t="s">
        <v>949</v>
      </c>
      <c r="G184" s="590"/>
      <c r="H184" s="596">
        <v>42398</v>
      </c>
      <c r="I184" s="596">
        <v>42488</v>
      </c>
      <c r="J184" s="698" t="s">
        <v>496</v>
      </c>
      <c r="K184" s="74"/>
      <c r="L184" s="689">
        <v>1483.02</v>
      </c>
      <c r="M184" s="689">
        <v>1300</v>
      </c>
      <c r="N184" s="689">
        <v>4000</v>
      </c>
      <c r="O184" s="688" t="s">
        <v>1287</v>
      </c>
      <c r="P184" s="688"/>
      <c r="Q184" s="688"/>
      <c r="R184" s="688"/>
      <c r="S184" s="688"/>
      <c r="T184" s="688"/>
    </row>
    <row r="185" spans="1:20" x14ac:dyDescent="0.25">
      <c r="A185" s="692">
        <f t="shared" si="2"/>
        <v>6315</v>
      </c>
      <c r="B185" s="700" t="s">
        <v>684</v>
      </c>
      <c r="C185" s="700" t="s">
        <v>692</v>
      </c>
      <c r="D185" s="698" t="s">
        <v>1139</v>
      </c>
      <c r="E185" s="700" t="s">
        <v>17</v>
      </c>
      <c r="F185" s="702" t="s">
        <v>1144</v>
      </c>
      <c r="G185" s="590"/>
      <c r="H185" s="596"/>
      <c r="I185" s="596" t="s">
        <v>1137</v>
      </c>
      <c r="J185" s="698" t="s">
        <v>573</v>
      </c>
      <c r="K185" s="74">
        <v>306</v>
      </c>
      <c r="L185" s="689">
        <v>198</v>
      </c>
      <c r="M185" s="689">
        <v>198</v>
      </c>
      <c r="N185" s="689">
        <v>7000</v>
      </c>
      <c r="O185" s="688" t="s">
        <v>1287</v>
      </c>
      <c r="P185" s="688"/>
      <c r="Q185" s="688"/>
      <c r="R185" s="688"/>
      <c r="S185" s="688"/>
      <c r="T185" s="688"/>
    </row>
    <row r="186" spans="1:20" x14ac:dyDescent="0.25">
      <c r="A186" s="692">
        <f t="shared" si="2"/>
        <v>6325</v>
      </c>
      <c r="B186" s="700" t="s">
        <v>684</v>
      </c>
      <c r="C186" s="700" t="s">
        <v>692</v>
      </c>
      <c r="D186" s="698" t="s">
        <v>1140</v>
      </c>
      <c r="E186" s="700" t="s">
        <v>16</v>
      </c>
      <c r="F186" s="702" t="s">
        <v>1145</v>
      </c>
      <c r="G186" s="590"/>
      <c r="H186" s="596"/>
      <c r="I186" s="596" t="s">
        <v>1137</v>
      </c>
      <c r="J186" s="698" t="s">
        <v>475</v>
      </c>
      <c r="K186" s="74"/>
      <c r="L186" s="689">
        <v>2889.6</v>
      </c>
      <c r="M186" s="689">
        <v>2003</v>
      </c>
      <c r="N186" s="689">
        <v>2500</v>
      </c>
      <c r="O186" s="688" t="s">
        <v>1287</v>
      </c>
      <c r="P186" s="688"/>
      <c r="Q186" s="688"/>
      <c r="R186" s="688"/>
      <c r="S186" s="688"/>
      <c r="T186" s="688"/>
    </row>
    <row r="187" spans="1:20" s="688" customFormat="1" x14ac:dyDescent="0.25">
      <c r="A187" s="692">
        <f t="shared" si="2"/>
        <v>6355</v>
      </c>
      <c r="B187" s="700" t="s">
        <v>684</v>
      </c>
      <c r="C187" s="700" t="s">
        <v>692</v>
      </c>
      <c r="D187" s="698" t="s">
        <v>4</v>
      </c>
      <c r="E187" s="700" t="s">
        <v>17</v>
      </c>
      <c r="F187" s="702" t="s">
        <v>928</v>
      </c>
      <c r="G187" s="590"/>
      <c r="H187" s="596"/>
      <c r="I187" s="596"/>
      <c r="J187" s="698" t="s">
        <v>4</v>
      </c>
      <c r="K187" s="74"/>
      <c r="L187" s="689">
        <v>4.88</v>
      </c>
      <c r="M187" s="689">
        <v>5</v>
      </c>
      <c r="N187" s="689">
        <v>15</v>
      </c>
      <c r="O187" s="688" t="s">
        <v>1287</v>
      </c>
    </row>
    <row r="188" spans="1:20" s="688" customFormat="1" x14ac:dyDescent="0.25">
      <c r="A188" s="692">
        <f t="shared" si="2"/>
        <v>6355</v>
      </c>
      <c r="B188" s="700" t="s">
        <v>684</v>
      </c>
      <c r="C188" s="700" t="s">
        <v>692</v>
      </c>
      <c r="D188" s="698" t="s">
        <v>4</v>
      </c>
      <c r="E188" s="700" t="s">
        <v>16</v>
      </c>
      <c r="F188" s="702" t="s">
        <v>1146</v>
      </c>
      <c r="G188" s="590"/>
      <c r="H188" s="596"/>
      <c r="I188" s="596"/>
      <c r="J188" s="698" t="s">
        <v>4</v>
      </c>
      <c r="K188" s="74"/>
      <c r="L188" s="689">
        <v>10453.35</v>
      </c>
      <c r="M188" s="689">
        <v>10600</v>
      </c>
      <c r="N188" s="689">
        <v>10600</v>
      </c>
      <c r="O188" s="688" t="s">
        <v>1287</v>
      </c>
    </row>
    <row r="189" spans="1:20" x14ac:dyDescent="0.25">
      <c r="A189" s="692">
        <f t="shared" si="2"/>
        <v>6355</v>
      </c>
      <c r="B189" s="700" t="s">
        <v>684</v>
      </c>
      <c r="C189" s="700" t="s">
        <v>692</v>
      </c>
      <c r="D189" s="698" t="s">
        <v>4</v>
      </c>
      <c r="E189" s="700" t="s">
        <v>16</v>
      </c>
      <c r="F189" s="702" t="s">
        <v>1215</v>
      </c>
      <c r="G189" s="590"/>
      <c r="H189" s="596"/>
      <c r="I189" s="596">
        <v>42191</v>
      </c>
      <c r="J189" s="698" t="s">
        <v>4</v>
      </c>
      <c r="K189" s="74"/>
      <c r="L189" s="689">
        <v>5000</v>
      </c>
      <c r="M189" s="689">
        <v>5000</v>
      </c>
      <c r="N189" s="689">
        <v>5000</v>
      </c>
      <c r="O189" s="688" t="s">
        <v>1287</v>
      </c>
      <c r="P189" s="688"/>
      <c r="Q189" s="688"/>
      <c r="R189" s="688"/>
      <c r="S189" s="688"/>
      <c r="T189" s="688"/>
    </row>
    <row r="190" spans="1:20" x14ac:dyDescent="0.25">
      <c r="A190" s="692">
        <f t="shared" si="2"/>
        <v>6335</v>
      </c>
      <c r="B190" s="700" t="s">
        <v>684</v>
      </c>
      <c r="C190" s="700" t="s">
        <v>692</v>
      </c>
      <c r="D190" s="698" t="s">
        <v>1141</v>
      </c>
      <c r="E190" s="700" t="s">
        <v>16</v>
      </c>
      <c r="F190" s="702" t="s">
        <v>838</v>
      </c>
      <c r="G190" s="590"/>
      <c r="H190" s="596"/>
      <c r="I190" s="596">
        <v>42286</v>
      </c>
      <c r="J190" s="698" t="s">
        <v>757</v>
      </c>
      <c r="K190" s="74"/>
      <c r="L190" s="689">
        <v>25134.25</v>
      </c>
      <c r="M190" s="689">
        <v>21900</v>
      </c>
      <c r="N190" s="689">
        <v>35000</v>
      </c>
      <c r="O190" s="688" t="s">
        <v>1287</v>
      </c>
      <c r="P190" s="688"/>
      <c r="Q190" s="688"/>
      <c r="R190" s="688"/>
      <c r="S190" s="688"/>
      <c r="T190" s="688"/>
    </row>
    <row r="191" spans="1:20" x14ac:dyDescent="0.25">
      <c r="A191" s="692">
        <f t="shared" si="2"/>
        <v>6315</v>
      </c>
      <c r="B191" s="657" t="s">
        <v>684</v>
      </c>
      <c r="C191" s="700" t="s">
        <v>692</v>
      </c>
      <c r="D191" s="700" t="s">
        <v>1422</v>
      </c>
      <c r="E191" s="698"/>
      <c r="F191" s="698" t="s">
        <v>1423</v>
      </c>
      <c r="G191" s="698"/>
      <c r="H191" s="698"/>
      <c r="I191" s="697"/>
      <c r="J191" s="697" t="s">
        <v>573</v>
      </c>
      <c r="K191" s="698"/>
      <c r="L191" s="701">
        <f>839.7+149.95</f>
        <v>989.65000000000009</v>
      </c>
      <c r="M191" s="689">
        <v>989.65</v>
      </c>
      <c r="N191" s="689">
        <v>1200</v>
      </c>
      <c r="O191" s="688" t="s">
        <v>1287</v>
      </c>
      <c r="P191" s="688"/>
      <c r="Q191" s="688"/>
      <c r="R191" s="688"/>
      <c r="S191" s="688"/>
      <c r="T191" s="688"/>
    </row>
    <row r="192" spans="1:20" x14ac:dyDescent="0.25">
      <c r="A192" s="692">
        <f t="shared" si="2"/>
        <v>6365</v>
      </c>
      <c r="B192" s="657" t="s">
        <v>684</v>
      </c>
      <c r="C192" s="700" t="s">
        <v>692</v>
      </c>
      <c r="D192" s="700" t="s">
        <v>1553</v>
      </c>
      <c r="E192" s="698"/>
      <c r="F192" s="698" t="s">
        <v>1552</v>
      </c>
      <c r="G192" s="698"/>
      <c r="H192" s="698"/>
      <c r="I192" s="697"/>
      <c r="J192" s="697" t="s">
        <v>1442</v>
      </c>
      <c r="K192" s="698"/>
      <c r="L192" s="701"/>
      <c r="M192" s="689"/>
      <c r="N192" s="689">
        <v>250</v>
      </c>
      <c r="O192" s="688" t="s">
        <v>1287</v>
      </c>
      <c r="P192" s="688"/>
      <c r="Q192" s="688"/>
      <c r="R192" s="688"/>
      <c r="S192" s="688"/>
      <c r="T192" s="688"/>
    </row>
    <row r="193" spans="1:20" x14ac:dyDescent="0.25">
      <c r="A193" s="692">
        <f t="shared" si="2"/>
        <v>6365</v>
      </c>
      <c r="B193" s="657" t="s">
        <v>684</v>
      </c>
      <c r="C193" s="700" t="s">
        <v>692</v>
      </c>
      <c r="D193" s="700" t="s">
        <v>1554</v>
      </c>
      <c r="E193" s="698"/>
      <c r="F193" s="698" t="s">
        <v>1555</v>
      </c>
      <c r="G193" s="698"/>
      <c r="H193" s="698"/>
      <c r="I193" s="697"/>
      <c r="J193" s="697" t="s">
        <v>1442</v>
      </c>
      <c r="K193" s="698"/>
      <c r="L193" s="701"/>
      <c r="M193" s="689"/>
      <c r="N193" s="689">
        <v>700</v>
      </c>
      <c r="O193" s="688" t="s">
        <v>1287</v>
      </c>
      <c r="P193" s="688"/>
      <c r="Q193" s="688"/>
      <c r="R193" s="688"/>
      <c r="S193" s="688"/>
      <c r="T193" s="688"/>
    </row>
    <row r="194" spans="1:20" x14ac:dyDescent="0.25">
      <c r="A194" s="550">
        <v>6362</v>
      </c>
      <c r="B194" s="700" t="s">
        <v>33</v>
      </c>
      <c r="C194" s="700" t="s">
        <v>127</v>
      </c>
      <c r="D194" s="700" t="s">
        <v>1028</v>
      </c>
      <c r="E194" s="700"/>
      <c r="F194" s="700"/>
      <c r="G194" s="700"/>
      <c r="H194" s="596"/>
      <c r="I194" s="596"/>
      <c r="J194" s="700" t="s">
        <v>497</v>
      </c>
      <c r="K194" s="689"/>
      <c r="L194" s="689"/>
      <c r="M194" s="689"/>
      <c r="N194" s="689">
        <f>240-240</f>
        <v>0</v>
      </c>
      <c r="O194" s="688"/>
      <c r="P194" s="688"/>
      <c r="Q194" s="688"/>
      <c r="R194" s="688"/>
      <c r="S194" s="688"/>
      <c r="T194" s="688"/>
    </row>
    <row r="195" spans="1:20" x14ac:dyDescent="0.25">
      <c r="A195" s="192">
        <v>6350</v>
      </c>
      <c r="B195" s="700" t="s">
        <v>33</v>
      </c>
      <c r="C195" s="700" t="s">
        <v>127</v>
      </c>
      <c r="D195" s="698" t="s">
        <v>1029</v>
      </c>
      <c r="E195" s="700"/>
      <c r="F195" s="698" t="s">
        <v>910</v>
      </c>
      <c r="G195" s="698"/>
      <c r="H195" s="466"/>
      <c r="I195" s="466"/>
      <c r="J195" s="698" t="s">
        <v>3</v>
      </c>
      <c r="K195" s="701"/>
      <c r="L195" s="689"/>
      <c r="M195" s="689"/>
      <c r="N195" s="689">
        <v>665</v>
      </c>
      <c r="O195" s="688" t="s">
        <v>1287</v>
      </c>
      <c r="P195" s="688"/>
      <c r="Q195" s="688"/>
      <c r="R195" s="688"/>
      <c r="S195" s="688"/>
      <c r="T195" s="688"/>
    </row>
    <row r="196" spans="1:20" x14ac:dyDescent="0.25">
      <c r="A196" s="192">
        <v>6355</v>
      </c>
      <c r="B196" s="700" t="s">
        <v>33</v>
      </c>
      <c r="C196" s="700" t="s">
        <v>127</v>
      </c>
      <c r="D196" s="698" t="s">
        <v>4</v>
      </c>
      <c r="E196" s="700"/>
      <c r="F196" s="702" t="s">
        <v>1030</v>
      </c>
      <c r="G196" s="702"/>
      <c r="H196" s="466"/>
      <c r="I196" s="466"/>
      <c r="J196" s="698" t="s">
        <v>4</v>
      </c>
      <c r="K196" s="701"/>
      <c r="L196" s="689"/>
      <c r="M196" s="689"/>
      <c r="N196" s="689">
        <v>250</v>
      </c>
      <c r="O196" s="689" t="s">
        <v>1287</v>
      </c>
      <c r="P196" s="688"/>
      <c r="Q196" s="688"/>
      <c r="R196" s="688"/>
      <c r="S196" s="688"/>
      <c r="T196" s="688"/>
    </row>
    <row r="197" spans="1:20" x14ac:dyDescent="0.25">
      <c r="A197" s="192">
        <v>6355</v>
      </c>
      <c r="B197" s="700" t="s">
        <v>39</v>
      </c>
      <c r="C197" s="700" t="s">
        <v>114</v>
      </c>
      <c r="D197" s="698" t="s">
        <v>4</v>
      </c>
      <c r="E197" s="700"/>
      <c r="F197" s="702"/>
      <c r="G197" s="702"/>
      <c r="H197" s="466"/>
      <c r="I197" s="466"/>
      <c r="J197" s="698" t="s">
        <v>4</v>
      </c>
      <c r="K197" s="701"/>
      <c r="L197" s="689">
        <v>163.61000000000001</v>
      </c>
      <c r="M197" s="689">
        <v>400</v>
      </c>
      <c r="N197" s="689">
        <v>500</v>
      </c>
      <c r="O197" s="688" t="s">
        <v>1287</v>
      </c>
      <c r="P197" s="688"/>
      <c r="Q197" s="688"/>
      <c r="R197" s="688"/>
      <c r="S197" s="688"/>
      <c r="T197" s="688"/>
    </row>
    <row r="198" spans="1:20" x14ac:dyDescent="0.25">
      <c r="A198" s="192">
        <v>6355</v>
      </c>
      <c r="B198" s="700" t="s">
        <v>39</v>
      </c>
      <c r="C198" s="700" t="s">
        <v>117</v>
      </c>
      <c r="D198" s="698" t="s">
        <v>4</v>
      </c>
      <c r="E198" s="700"/>
      <c r="F198" s="702"/>
      <c r="G198" s="702"/>
      <c r="H198" s="466"/>
      <c r="I198" s="466"/>
      <c r="J198" s="700" t="s">
        <v>4</v>
      </c>
      <c r="K198" s="701"/>
      <c r="L198" s="689">
        <v>942.94</v>
      </c>
      <c r="M198" s="689">
        <v>1000</v>
      </c>
      <c r="N198" s="689">
        <v>1200</v>
      </c>
      <c r="O198" s="688" t="s">
        <v>1287</v>
      </c>
      <c r="P198" s="688"/>
      <c r="Q198" s="688"/>
      <c r="R198" s="688"/>
      <c r="S198" s="688"/>
      <c r="T198" s="688"/>
    </row>
    <row r="199" spans="1:20" x14ac:dyDescent="0.25">
      <c r="A199" s="192">
        <v>6355</v>
      </c>
      <c r="B199" s="700" t="s">
        <v>34</v>
      </c>
      <c r="C199" s="700" t="s">
        <v>121</v>
      </c>
      <c r="D199" s="698" t="s">
        <v>4</v>
      </c>
      <c r="E199" s="700"/>
      <c r="F199" s="702"/>
      <c r="G199" s="702"/>
      <c r="H199" s="466"/>
      <c r="I199" s="466"/>
      <c r="J199" s="698" t="s">
        <v>4</v>
      </c>
      <c r="K199" s="701"/>
      <c r="L199" s="689">
        <v>4.74</v>
      </c>
      <c r="M199" s="689">
        <v>10</v>
      </c>
      <c r="N199" s="689">
        <v>20</v>
      </c>
      <c r="O199" s="688" t="s">
        <v>1287</v>
      </c>
      <c r="P199" s="688"/>
      <c r="Q199" s="688"/>
      <c r="R199" s="688"/>
      <c r="S199" s="688"/>
      <c r="T199" s="688"/>
    </row>
    <row r="200" spans="1:20" x14ac:dyDescent="0.25">
      <c r="A200" s="192">
        <v>6350</v>
      </c>
      <c r="B200" s="700" t="s">
        <v>34</v>
      </c>
      <c r="C200" s="700" t="s">
        <v>121</v>
      </c>
      <c r="D200" s="698" t="s">
        <v>1465</v>
      </c>
      <c r="E200" s="700"/>
      <c r="F200" s="702"/>
      <c r="G200" s="702"/>
      <c r="H200" s="596"/>
      <c r="I200" s="596"/>
      <c r="J200" s="700" t="s">
        <v>3</v>
      </c>
      <c r="K200" s="689"/>
      <c r="L200" s="689"/>
      <c r="M200" s="689"/>
      <c r="N200" s="689">
        <v>350</v>
      </c>
      <c r="O200" s="4" t="s">
        <v>1287</v>
      </c>
    </row>
    <row r="201" spans="1:20" x14ac:dyDescent="0.25">
      <c r="A201" s="692">
        <v>6365</v>
      </c>
      <c r="B201" s="700" t="s">
        <v>34</v>
      </c>
      <c r="C201" s="700" t="s">
        <v>121</v>
      </c>
      <c r="D201" s="698" t="s">
        <v>1233</v>
      </c>
      <c r="E201" s="698"/>
      <c r="F201" s="698" t="s">
        <v>1234</v>
      </c>
      <c r="G201" s="698"/>
      <c r="H201" s="466">
        <v>42552</v>
      </c>
      <c r="I201" s="466">
        <v>42916</v>
      </c>
      <c r="J201" s="698" t="s">
        <v>1442</v>
      </c>
      <c r="K201" s="701">
        <v>7651.34</v>
      </c>
      <c r="L201" s="689">
        <v>7651.34</v>
      </c>
      <c r="M201" s="689">
        <v>9151.34</v>
      </c>
      <c r="N201" s="689">
        <v>8500</v>
      </c>
      <c r="O201" s="4" t="s">
        <v>1287</v>
      </c>
    </row>
    <row r="202" spans="1:20" x14ac:dyDescent="0.25">
      <c r="A202" s="315" t="e">
        <f t="shared" ref="A202:A224" si="3">VLOOKUP(J202,OtherOperatingExpenses,2)</f>
        <v>#N/A</v>
      </c>
      <c r="B202" s="518"/>
      <c r="C202" s="518"/>
      <c r="D202" s="590"/>
      <c r="E202" s="590"/>
      <c r="F202" s="590"/>
      <c r="G202" s="590"/>
      <c r="H202" s="597"/>
      <c r="I202" s="597"/>
      <c r="J202" s="590"/>
      <c r="K202" s="74"/>
      <c r="L202" s="74"/>
      <c r="M202" s="74"/>
      <c r="N202" s="74"/>
    </row>
    <row r="203" spans="1:20" x14ac:dyDescent="0.25">
      <c r="A203" s="315" t="e">
        <f t="shared" si="3"/>
        <v>#N/A</v>
      </c>
      <c r="B203" s="518"/>
      <c r="C203" s="518"/>
      <c r="D203" s="590"/>
      <c r="E203" s="590"/>
      <c r="F203" s="590"/>
      <c r="G203" s="590"/>
      <c r="H203" s="597"/>
      <c r="I203" s="597"/>
      <c r="J203" s="590"/>
      <c r="K203" s="74"/>
      <c r="L203" s="74"/>
      <c r="M203" s="74"/>
      <c r="N203" s="74"/>
    </row>
    <row r="204" spans="1:20" x14ac:dyDescent="0.25">
      <c r="A204" s="315" t="e">
        <f t="shared" si="3"/>
        <v>#N/A</v>
      </c>
      <c r="B204" s="518"/>
      <c r="C204" s="518"/>
      <c r="D204" s="590"/>
      <c r="E204" s="590"/>
      <c r="F204" s="590"/>
      <c r="G204" s="590"/>
      <c r="H204" s="597"/>
      <c r="I204" s="597"/>
      <c r="J204" s="590"/>
      <c r="K204" s="74"/>
      <c r="L204" s="74"/>
      <c r="M204" s="74"/>
      <c r="N204" s="74"/>
    </row>
    <row r="205" spans="1:20" ht="15.75" thickBot="1" x14ac:dyDescent="0.3">
      <c r="A205" s="315" t="e">
        <f t="shared" si="3"/>
        <v>#N/A</v>
      </c>
      <c r="B205" s="518"/>
      <c r="C205" s="518"/>
      <c r="D205" s="590"/>
      <c r="E205" s="590"/>
      <c r="F205" s="590"/>
      <c r="G205" s="590"/>
      <c r="H205" s="597"/>
      <c r="I205" s="597"/>
      <c r="J205" s="590"/>
      <c r="K205" s="74"/>
      <c r="L205" s="74"/>
      <c r="M205" s="74"/>
      <c r="N205" s="74"/>
    </row>
    <row r="206" spans="1:20" hidden="1" x14ac:dyDescent="0.25">
      <c r="A206" s="315" t="e">
        <f t="shared" si="3"/>
        <v>#N/A</v>
      </c>
      <c r="B206" s="518"/>
      <c r="C206" s="518"/>
      <c r="D206" s="590"/>
      <c r="E206" s="590"/>
      <c r="F206" s="590"/>
      <c r="G206" s="590"/>
      <c r="H206" s="597"/>
      <c r="I206" s="597"/>
      <c r="J206" s="590"/>
      <c r="K206" s="74"/>
      <c r="L206" s="74"/>
      <c r="M206" s="74"/>
      <c r="N206" s="74"/>
    </row>
    <row r="207" spans="1:20" hidden="1" x14ac:dyDescent="0.25">
      <c r="A207" s="315" t="e">
        <f t="shared" si="3"/>
        <v>#N/A</v>
      </c>
      <c r="B207" s="518"/>
      <c r="C207" s="518"/>
      <c r="D207" s="590"/>
      <c r="E207" s="590"/>
      <c r="F207" s="590"/>
      <c r="G207" s="590"/>
      <c r="H207" s="597"/>
      <c r="I207" s="597"/>
      <c r="J207" s="590"/>
      <c r="K207" s="74"/>
      <c r="L207" s="74"/>
      <c r="M207" s="74"/>
      <c r="N207" s="74"/>
    </row>
    <row r="208" spans="1:20" hidden="1" x14ac:dyDescent="0.25">
      <c r="A208" s="315" t="e">
        <f t="shared" si="3"/>
        <v>#N/A</v>
      </c>
      <c r="B208" s="518"/>
      <c r="C208" s="518"/>
      <c r="D208" s="590"/>
      <c r="E208" s="590"/>
      <c r="F208" s="590"/>
      <c r="G208" s="590"/>
      <c r="H208" s="597"/>
      <c r="I208" s="597"/>
      <c r="J208" s="590"/>
      <c r="K208" s="74"/>
      <c r="L208" s="74"/>
      <c r="M208" s="74"/>
      <c r="N208" s="74"/>
    </row>
    <row r="209" spans="1:14" hidden="1" x14ac:dyDescent="0.25">
      <c r="A209" s="315" t="e">
        <f t="shared" si="3"/>
        <v>#N/A</v>
      </c>
      <c r="B209" s="518"/>
      <c r="C209" s="518"/>
      <c r="D209" s="590"/>
      <c r="E209" s="590"/>
      <c r="F209" s="590"/>
      <c r="G209" s="590"/>
      <c r="H209" s="597"/>
      <c r="I209" s="597"/>
      <c r="J209" s="590"/>
      <c r="K209" s="74"/>
      <c r="L209" s="74"/>
      <c r="M209" s="74"/>
      <c r="N209" s="74"/>
    </row>
    <row r="210" spans="1:14" hidden="1" x14ac:dyDescent="0.25">
      <c r="A210" s="315" t="e">
        <f t="shared" si="3"/>
        <v>#N/A</v>
      </c>
      <c r="B210" s="518"/>
      <c r="C210" s="518"/>
      <c r="D210" s="590"/>
      <c r="E210" s="590"/>
      <c r="F210" s="590"/>
      <c r="G210" s="590"/>
      <c r="H210" s="597"/>
      <c r="I210" s="597"/>
      <c r="J210" s="590"/>
      <c r="K210" s="74"/>
      <c r="L210" s="74"/>
      <c r="M210" s="74"/>
      <c r="N210" s="74"/>
    </row>
    <row r="211" spans="1:14" hidden="1" x14ac:dyDescent="0.25">
      <c r="A211" s="315" t="e">
        <f t="shared" si="3"/>
        <v>#N/A</v>
      </c>
      <c r="B211" s="518"/>
      <c r="C211" s="518"/>
      <c r="D211" s="590"/>
      <c r="E211" s="590"/>
      <c r="F211" s="590"/>
      <c r="G211" s="590"/>
      <c r="H211" s="597"/>
      <c r="I211" s="597"/>
      <c r="J211" s="590"/>
      <c r="K211" s="74"/>
      <c r="L211" s="74"/>
      <c r="M211" s="74"/>
      <c r="N211" s="74"/>
    </row>
    <row r="212" spans="1:14" hidden="1" x14ac:dyDescent="0.25">
      <c r="A212" s="315" t="e">
        <f t="shared" si="3"/>
        <v>#N/A</v>
      </c>
      <c r="B212" s="518"/>
      <c r="C212" s="518"/>
      <c r="D212" s="590"/>
      <c r="E212" s="590"/>
      <c r="F212" s="590"/>
      <c r="G212" s="590"/>
      <c r="H212" s="597"/>
      <c r="I212" s="597"/>
      <c r="J212" s="590"/>
      <c r="K212" s="74"/>
      <c r="L212" s="74"/>
      <c r="M212" s="74"/>
      <c r="N212" s="74"/>
    </row>
    <row r="213" spans="1:14" hidden="1" x14ac:dyDescent="0.25">
      <c r="A213" s="315" t="e">
        <f t="shared" si="3"/>
        <v>#N/A</v>
      </c>
      <c r="B213" s="518"/>
      <c r="C213" s="518"/>
      <c r="D213" s="590"/>
      <c r="E213" s="590"/>
      <c r="F213" s="590"/>
      <c r="G213" s="590"/>
      <c r="H213" s="597"/>
      <c r="I213" s="597"/>
      <c r="J213" s="590"/>
      <c r="K213" s="74"/>
      <c r="L213" s="74"/>
      <c r="M213" s="74"/>
      <c r="N213" s="74"/>
    </row>
    <row r="214" spans="1:14" hidden="1" x14ac:dyDescent="0.25">
      <c r="A214" s="315" t="e">
        <f t="shared" si="3"/>
        <v>#N/A</v>
      </c>
      <c r="B214" s="518"/>
      <c r="C214" s="518"/>
      <c r="D214" s="590"/>
      <c r="E214" s="590"/>
      <c r="F214" s="590"/>
      <c r="G214" s="590"/>
      <c r="H214" s="597"/>
      <c r="I214" s="597"/>
      <c r="J214" s="590"/>
      <c r="K214" s="74"/>
      <c r="L214" s="74"/>
      <c r="M214" s="74"/>
      <c r="N214" s="74"/>
    </row>
    <row r="215" spans="1:14" hidden="1" x14ac:dyDescent="0.25">
      <c r="A215" s="315" t="e">
        <f t="shared" si="3"/>
        <v>#N/A</v>
      </c>
      <c r="B215" s="518"/>
      <c r="C215" s="518"/>
      <c r="D215" s="590"/>
      <c r="E215" s="590"/>
      <c r="F215" s="590"/>
      <c r="G215" s="590"/>
      <c r="H215" s="597"/>
      <c r="I215" s="597"/>
      <c r="J215" s="590"/>
      <c r="K215" s="74"/>
      <c r="L215" s="74"/>
      <c r="M215" s="74"/>
      <c r="N215" s="74"/>
    </row>
    <row r="216" spans="1:14" hidden="1" x14ac:dyDescent="0.25">
      <c r="A216" s="315" t="e">
        <f t="shared" si="3"/>
        <v>#N/A</v>
      </c>
      <c r="B216" s="518"/>
      <c r="C216" s="518"/>
      <c r="D216" s="590"/>
      <c r="E216" s="590"/>
      <c r="F216" s="590"/>
      <c r="G216" s="590"/>
      <c r="H216" s="597"/>
      <c r="I216" s="597"/>
      <c r="J216" s="590"/>
      <c r="K216" s="74"/>
      <c r="L216" s="74"/>
      <c r="M216" s="74"/>
      <c r="N216" s="74"/>
    </row>
    <row r="217" spans="1:14" hidden="1" x14ac:dyDescent="0.25">
      <c r="A217" s="315" t="e">
        <f t="shared" si="3"/>
        <v>#N/A</v>
      </c>
      <c r="B217" s="518"/>
      <c r="C217" s="518"/>
      <c r="D217" s="590"/>
      <c r="E217" s="590"/>
      <c r="F217" s="590"/>
      <c r="G217" s="590"/>
      <c r="H217" s="597"/>
      <c r="I217" s="597"/>
      <c r="J217" s="590"/>
      <c r="K217" s="74"/>
      <c r="L217" s="74"/>
      <c r="M217" s="74"/>
      <c r="N217" s="74"/>
    </row>
    <row r="218" spans="1:14" hidden="1" x14ac:dyDescent="0.25">
      <c r="A218" s="315" t="e">
        <f t="shared" si="3"/>
        <v>#N/A</v>
      </c>
      <c r="B218" s="518"/>
      <c r="C218" s="518"/>
      <c r="D218" s="590"/>
      <c r="E218" s="590"/>
      <c r="F218" s="590"/>
      <c r="G218" s="590"/>
      <c r="H218" s="597"/>
      <c r="I218" s="597"/>
      <c r="J218" s="590"/>
      <c r="K218" s="74"/>
      <c r="L218" s="74"/>
      <c r="M218" s="74"/>
      <c r="N218" s="74"/>
    </row>
    <row r="219" spans="1:14" hidden="1" x14ac:dyDescent="0.25">
      <c r="A219" s="315" t="e">
        <f t="shared" si="3"/>
        <v>#N/A</v>
      </c>
      <c r="B219" s="518"/>
      <c r="C219" s="518"/>
      <c r="D219" s="590"/>
      <c r="E219" s="590"/>
      <c r="F219" s="590"/>
      <c r="G219" s="590"/>
      <c r="H219" s="597"/>
      <c r="I219" s="597"/>
      <c r="J219" s="590"/>
      <c r="K219" s="74"/>
      <c r="L219" s="74"/>
      <c r="M219" s="74"/>
      <c r="N219" s="74"/>
    </row>
    <row r="220" spans="1:14" hidden="1" x14ac:dyDescent="0.25">
      <c r="A220" s="315" t="e">
        <f t="shared" si="3"/>
        <v>#N/A</v>
      </c>
      <c r="B220" s="518"/>
      <c r="C220" s="518"/>
      <c r="D220" s="590"/>
      <c r="E220" s="590"/>
      <c r="F220" s="590"/>
      <c r="G220" s="590"/>
      <c r="H220" s="597"/>
      <c r="I220" s="597"/>
      <c r="J220" s="590"/>
      <c r="K220" s="74"/>
      <c r="L220" s="74"/>
      <c r="M220" s="74"/>
      <c r="N220" s="74"/>
    </row>
    <row r="221" spans="1:14" hidden="1" x14ac:dyDescent="0.25">
      <c r="A221" s="315" t="e">
        <f t="shared" si="3"/>
        <v>#N/A</v>
      </c>
      <c r="B221" s="518"/>
      <c r="C221" s="518"/>
      <c r="D221" s="590"/>
      <c r="E221" s="590"/>
      <c r="F221" s="590"/>
      <c r="G221" s="590"/>
      <c r="H221" s="597"/>
      <c r="I221" s="597"/>
      <c r="J221" s="590"/>
      <c r="K221" s="74"/>
      <c r="L221" s="74"/>
      <c r="M221" s="74"/>
      <c r="N221" s="74"/>
    </row>
    <row r="222" spans="1:14" hidden="1" x14ac:dyDescent="0.25">
      <c r="A222" s="315" t="e">
        <f t="shared" si="3"/>
        <v>#N/A</v>
      </c>
      <c r="B222" s="518"/>
      <c r="C222" s="518"/>
      <c r="D222" s="590"/>
      <c r="E222" s="590"/>
      <c r="F222" s="590"/>
      <c r="G222" s="590"/>
      <c r="H222" s="597"/>
      <c r="I222" s="597"/>
      <c r="J222" s="590"/>
      <c r="K222" s="74"/>
      <c r="L222" s="74"/>
      <c r="M222" s="74"/>
      <c r="N222" s="74"/>
    </row>
    <row r="223" spans="1:14" hidden="1" x14ac:dyDescent="0.25">
      <c r="A223" s="315" t="e">
        <f t="shared" si="3"/>
        <v>#N/A</v>
      </c>
      <c r="B223" s="518"/>
      <c r="C223" s="518"/>
      <c r="D223" s="590"/>
      <c r="E223" s="590"/>
      <c r="F223" s="590"/>
      <c r="G223" s="590"/>
      <c r="H223" s="597"/>
      <c r="I223" s="597"/>
      <c r="J223" s="590"/>
      <c r="K223" s="74"/>
      <c r="L223" s="74"/>
      <c r="M223" s="74"/>
      <c r="N223" s="74"/>
    </row>
    <row r="224" spans="1:14" hidden="1" x14ac:dyDescent="0.25">
      <c r="A224" s="315" t="e">
        <f t="shared" si="3"/>
        <v>#N/A</v>
      </c>
      <c r="B224" s="518"/>
      <c r="C224" s="518"/>
      <c r="D224" s="590"/>
      <c r="E224" s="590"/>
      <c r="F224" s="590"/>
      <c r="G224" s="590"/>
      <c r="H224" s="597"/>
      <c r="I224" s="597"/>
      <c r="J224" s="590"/>
      <c r="K224" s="74"/>
      <c r="L224" s="74"/>
      <c r="M224" s="74"/>
      <c r="N224" s="74"/>
    </row>
    <row r="225" spans="1:14" hidden="1" x14ac:dyDescent="0.25">
      <c r="A225" s="315" t="e">
        <f t="shared" ref="A225:A280" si="4">VLOOKUP(J225,OtherOperatingExpenses,2)</f>
        <v>#N/A</v>
      </c>
      <c r="B225" s="518"/>
      <c r="C225" s="518"/>
      <c r="D225" s="590"/>
      <c r="E225" s="590"/>
      <c r="F225" s="590"/>
      <c r="G225" s="590"/>
      <c r="H225" s="597"/>
      <c r="I225" s="597"/>
      <c r="J225" s="590"/>
      <c r="K225" s="74"/>
      <c r="L225" s="74"/>
      <c r="M225" s="74"/>
      <c r="N225" s="74"/>
    </row>
    <row r="226" spans="1:14" hidden="1" x14ac:dyDescent="0.25">
      <c r="A226" s="315" t="e">
        <f t="shared" si="4"/>
        <v>#N/A</v>
      </c>
      <c r="B226" s="518"/>
      <c r="C226" s="518"/>
      <c r="D226" s="590"/>
      <c r="E226" s="590"/>
      <c r="F226" s="590"/>
      <c r="G226" s="590"/>
      <c r="H226" s="597"/>
      <c r="I226" s="597"/>
      <c r="J226" s="590"/>
      <c r="K226" s="74"/>
      <c r="L226" s="74"/>
      <c r="M226" s="74"/>
      <c r="N226" s="74"/>
    </row>
    <row r="227" spans="1:14" hidden="1" x14ac:dyDescent="0.25">
      <c r="A227" s="315" t="e">
        <f t="shared" si="4"/>
        <v>#N/A</v>
      </c>
      <c r="B227" s="518"/>
      <c r="C227" s="518"/>
      <c r="D227" s="590"/>
      <c r="E227" s="590"/>
      <c r="F227" s="590"/>
      <c r="G227" s="590"/>
      <c r="H227" s="597"/>
      <c r="I227" s="597"/>
      <c r="J227" s="590"/>
      <c r="K227" s="74"/>
      <c r="L227" s="74"/>
      <c r="M227" s="74"/>
      <c r="N227" s="74"/>
    </row>
    <row r="228" spans="1:14" hidden="1" x14ac:dyDescent="0.25">
      <c r="A228" s="315" t="e">
        <f t="shared" si="4"/>
        <v>#N/A</v>
      </c>
      <c r="B228" s="518"/>
      <c r="C228" s="518"/>
      <c r="D228" s="590"/>
      <c r="E228" s="590"/>
      <c r="F228" s="590"/>
      <c r="G228" s="590"/>
      <c r="H228" s="597"/>
      <c r="I228" s="597"/>
      <c r="J228" s="590"/>
      <c r="K228" s="74"/>
      <c r="L228" s="74"/>
      <c r="M228" s="74"/>
      <c r="N228" s="74"/>
    </row>
    <row r="229" spans="1:14" hidden="1" x14ac:dyDescent="0.25">
      <c r="A229" s="315" t="e">
        <f t="shared" si="4"/>
        <v>#N/A</v>
      </c>
      <c r="B229" s="518"/>
      <c r="C229" s="518"/>
      <c r="D229" s="590"/>
      <c r="E229" s="590"/>
      <c r="F229" s="590"/>
      <c r="G229" s="590"/>
      <c r="H229" s="597"/>
      <c r="I229" s="597"/>
      <c r="J229" s="590"/>
      <c r="K229" s="74"/>
      <c r="L229" s="74"/>
      <c r="M229" s="74"/>
      <c r="N229" s="74"/>
    </row>
    <row r="230" spans="1:14" hidden="1" x14ac:dyDescent="0.25">
      <c r="A230" s="315" t="e">
        <f t="shared" si="4"/>
        <v>#N/A</v>
      </c>
      <c r="B230" s="518"/>
      <c r="C230" s="518"/>
      <c r="D230" s="590"/>
      <c r="E230" s="590"/>
      <c r="F230" s="590"/>
      <c r="G230" s="590"/>
      <c r="H230" s="597"/>
      <c r="I230" s="597"/>
      <c r="J230" s="590"/>
      <c r="K230" s="74"/>
      <c r="L230" s="74"/>
      <c r="M230" s="74"/>
      <c r="N230" s="74"/>
    </row>
    <row r="231" spans="1:14" hidden="1" x14ac:dyDescent="0.25">
      <c r="A231" s="315" t="e">
        <f t="shared" si="4"/>
        <v>#N/A</v>
      </c>
      <c r="B231" s="518"/>
      <c r="C231" s="518"/>
      <c r="D231" s="590"/>
      <c r="E231" s="590"/>
      <c r="F231" s="590"/>
      <c r="G231" s="590"/>
      <c r="H231" s="597"/>
      <c r="I231" s="597"/>
      <c r="J231" s="590"/>
      <c r="K231" s="74"/>
      <c r="L231" s="74"/>
      <c r="M231" s="74"/>
      <c r="N231" s="74"/>
    </row>
    <row r="232" spans="1:14" hidden="1" x14ac:dyDescent="0.25">
      <c r="A232" s="315" t="e">
        <f t="shared" si="4"/>
        <v>#N/A</v>
      </c>
      <c r="B232" s="518"/>
      <c r="C232" s="518"/>
      <c r="D232" s="590"/>
      <c r="E232" s="590"/>
      <c r="F232" s="590"/>
      <c r="G232" s="590"/>
      <c r="H232" s="597"/>
      <c r="I232" s="597"/>
      <c r="J232" s="590"/>
      <c r="K232" s="74"/>
      <c r="L232" s="74"/>
      <c r="M232" s="74"/>
      <c r="N232" s="74"/>
    </row>
    <row r="233" spans="1:14" hidden="1" x14ac:dyDescent="0.25">
      <c r="A233" s="315" t="e">
        <f t="shared" si="4"/>
        <v>#N/A</v>
      </c>
      <c r="B233" s="518"/>
      <c r="C233" s="518"/>
      <c r="D233" s="590"/>
      <c r="E233" s="590"/>
      <c r="F233" s="590"/>
      <c r="G233" s="590"/>
      <c r="H233" s="597"/>
      <c r="I233" s="597"/>
      <c r="J233" s="590"/>
      <c r="K233" s="74"/>
      <c r="L233" s="74"/>
      <c r="M233" s="74"/>
      <c r="N233" s="74"/>
    </row>
    <row r="234" spans="1:14" hidden="1" x14ac:dyDescent="0.25">
      <c r="A234" s="315" t="e">
        <f t="shared" si="4"/>
        <v>#N/A</v>
      </c>
      <c r="B234" s="518"/>
      <c r="C234" s="518"/>
      <c r="D234" s="590"/>
      <c r="E234" s="590"/>
      <c r="F234" s="590"/>
      <c r="G234" s="590"/>
      <c r="H234" s="597"/>
      <c r="I234" s="597"/>
      <c r="J234" s="590"/>
      <c r="K234" s="74"/>
      <c r="L234" s="74"/>
      <c r="M234" s="74"/>
      <c r="N234" s="74"/>
    </row>
    <row r="235" spans="1:14" hidden="1" x14ac:dyDescent="0.25">
      <c r="A235" s="315" t="e">
        <f t="shared" si="4"/>
        <v>#N/A</v>
      </c>
      <c r="B235" s="518"/>
      <c r="C235" s="518"/>
      <c r="D235" s="590"/>
      <c r="E235" s="590"/>
      <c r="F235" s="590"/>
      <c r="G235" s="590"/>
      <c r="H235" s="597"/>
      <c r="I235" s="597"/>
      <c r="J235" s="590"/>
      <c r="K235" s="74"/>
      <c r="L235" s="74"/>
      <c r="M235" s="74"/>
      <c r="N235" s="74"/>
    </row>
    <row r="236" spans="1:14" hidden="1" x14ac:dyDescent="0.25">
      <c r="A236" s="315" t="e">
        <f t="shared" si="4"/>
        <v>#N/A</v>
      </c>
      <c r="B236" s="518"/>
      <c r="C236" s="518"/>
      <c r="D236" s="590"/>
      <c r="E236" s="590"/>
      <c r="F236" s="590"/>
      <c r="G236" s="590"/>
      <c r="H236" s="597"/>
      <c r="I236" s="597"/>
      <c r="J236" s="590"/>
      <c r="K236" s="74"/>
      <c r="L236" s="74"/>
      <c r="M236" s="74"/>
      <c r="N236" s="74"/>
    </row>
    <row r="237" spans="1:14" hidden="1" x14ac:dyDescent="0.25">
      <c r="A237" s="315" t="e">
        <f t="shared" si="4"/>
        <v>#N/A</v>
      </c>
      <c r="B237" s="518"/>
      <c r="C237" s="518"/>
      <c r="D237" s="590"/>
      <c r="E237" s="590"/>
      <c r="F237" s="590"/>
      <c r="G237" s="590"/>
      <c r="H237" s="597"/>
      <c r="I237" s="597"/>
      <c r="J237" s="590"/>
      <c r="K237" s="74"/>
      <c r="L237" s="74"/>
      <c r="M237" s="74"/>
      <c r="N237" s="74"/>
    </row>
    <row r="238" spans="1:14" hidden="1" x14ac:dyDescent="0.25">
      <c r="A238" s="315" t="e">
        <f t="shared" si="4"/>
        <v>#N/A</v>
      </c>
      <c r="B238" s="518"/>
      <c r="C238" s="518"/>
      <c r="D238" s="590"/>
      <c r="E238" s="590"/>
      <c r="F238" s="590"/>
      <c r="G238" s="590"/>
      <c r="H238" s="597"/>
      <c r="I238" s="597"/>
      <c r="J238" s="590"/>
      <c r="K238" s="74"/>
      <c r="L238" s="74"/>
      <c r="M238" s="74"/>
      <c r="N238" s="74"/>
    </row>
    <row r="239" spans="1:14" hidden="1" x14ac:dyDescent="0.25">
      <c r="A239" s="315" t="e">
        <f t="shared" si="4"/>
        <v>#N/A</v>
      </c>
      <c r="B239" s="518"/>
      <c r="C239" s="518"/>
      <c r="D239" s="590"/>
      <c r="E239" s="590"/>
      <c r="F239" s="590"/>
      <c r="G239" s="590"/>
      <c r="H239" s="597"/>
      <c r="I239" s="597"/>
      <c r="J239" s="590"/>
      <c r="K239" s="74"/>
      <c r="L239" s="74"/>
      <c r="M239" s="74"/>
      <c r="N239" s="74"/>
    </row>
    <row r="240" spans="1:14" hidden="1" x14ac:dyDescent="0.25">
      <c r="A240" s="315" t="e">
        <f t="shared" si="4"/>
        <v>#N/A</v>
      </c>
      <c r="B240" s="518"/>
      <c r="C240" s="518"/>
      <c r="D240" s="590"/>
      <c r="E240" s="590"/>
      <c r="F240" s="590"/>
      <c r="G240" s="590"/>
      <c r="H240" s="597"/>
      <c r="I240" s="597"/>
      <c r="J240" s="590"/>
      <c r="K240" s="74"/>
      <c r="L240" s="74"/>
      <c r="M240" s="74"/>
      <c r="N240" s="74"/>
    </row>
    <row r="241" spans="1:14" hidden="1" x14ac:dyDescent="0.25">
      <c r="A241" s="315" t="e">
        <f t="shared" si="4"/>
        <v>#N/A</v>
      </c>
      <c r="B241" s="518"/>
      <c r="C241" s="518"/>
      <c r="D241" s="590"/>
      <c r="E241" s="590"/>
      <c r="F241" s="590"/>
      <c r="G241" s="590"/>
      <c r="H241" s="597"/>
      <c r="I241" s="597"/>
      <c r="J241" s="590"/>
      <c r="K241" s="74"/>
      <c r="L241" s="74"/>
      <c r="M241" s="74"/>
      <c r="N241" s="74"/>
    </row>
    <row r="242" spans="1:14" hidden="1" x14ac:dyDescent="0.25">
      <c r="A242" s="315" t="e">
        <f t="shared" si="4"/>
        <v>#N/A</v>
      </c>
      <c r="B242" s="518"/>
      <c r="C242" s="518"/>
      <c r="D242" s="590"/>
      <c r="E242" s="590"/>
      <c r="F242" s="590"/>
      <c r="G242" s="590"/>
      <c r="H242" s="597"/>
      <c r="I242" s="597"/>
      <c r="J242" s="590"/>
      <c r="K242" s="74"/>
      <c r="L242" s="74"/>
      <c r="M242" s="74"/>
      <c r="N242" s="74"/>
    </row>
    <row r="243" spans="1:14" hidden="1" x14ac:dyDescent="0.25">
      <c r="A243" s="315" t="e">
        <f t="shared" si="4"/>
        <v>#N/A</v>
      </c>
      <c r="B243" s="518"/>
      <c r="C243" s="518"/>
      <c r="D243" s="590"/>
      <c r="E243" s="590"/>
      <c r="F243" s="590"/>
      <c r="G243" s="590"/>
      <c r="H243" s="597"/>
      <c r="I243" s="597"/>
      <c r="J243" s="590"/>
      <c r="K243" s="74"/>
      <c r="L243" s="74"/>
      <c r="M243" s="74"/>
      <c r="N243" s="74"/>
    </row>
    <row r="244" spans="1:14" hidden="1" x14ac:dyDescent="0.25">
      <c r="A244" s="315" t="e">
        <f t="shared" si="4"/>
        <v>#N/A</v>
      </c>
      <c r="B244" s="518"/>
      <c r="C244" s="518"/>
      <c r="D244" s="590"/>
      <c r="E244" s="590"/>
      <c r="F244" s="590"/>
      <c r="G244" s="590"/>
      <c r="H244" s="597"/>
      <c r="I244" s="597"/>
      <c r="J244" s="590"/>
      <c r="K244" s="74"/>
      <c r="L244" s="74"/>
      <c r="M244" s="74"/>
      <c r="N244" s="74"/>
    </row>
    <row r="245" spans="1:14" hidden="1" x14ac:dyDescent="0.25">
      <c r="A245" s="315" t="e">
        <f t="shared" si="4"/>
        <v>#N/A</v>
      </c>
      <c r="B245" s="518"/>
      <c r="C245" s="518"/>
      <c r="D245" s="590"/>
      <c r="E245" s="590"/>
      <c r="F245" s="590"/>
      <c r="G245" s="590"/>
      <c r="H245" s="597"/>
      <c r="I245" s="597"/>
      <c r="J245" s="590"/>
      <c r="K245" s="74"/>
      <c r="L245" s="74"/>
      <c r="M245" s="74"/>
      <c r="N245" s="74"/>
    </row>
    <row r="246" spans="1:14" hidden="1" x14ac:dyDescent="0.25">
      <c r="A246" s="315" t="e">
        <f t="shared" si="4"/>
        <v>#N/A</v>
      </c>
      <c r="B246" s="518"/>
      <c r="C246" s="518"/>
      <c r="D246" s="590"/>
      <c r="E246" s="590"/>
      <c r="F246" s="590"/>
      <c r="G246" s="590"/>
      <c r="H246" s="597"/>
      <c r="I246" s="597"/>
      <c r="J246" s="590"/>
      <c r="K246" s="74"/>
      <c r="L246" s="74"/>
      <c r="M246" s="74"/>
      <c r="N246" s="74"/>
    </row>
    <row r="247" spans="1:14" hidden="1" x14ac:dyDescent="0.25">
      <c r="A247" s="315" t="e">
        <f t="shared" si="4"/>
        <v>#N/A</v>
      </c>
      <c r="B247" s="518"/>
      <c r="C247" s="518"/>
      <c r="D247" s="590"/>
      <c r="E247" s="590"/>
      <c r="F247" s="590"/>
      <c r="G247" s="590"/>
      <c r="H247" s="597"/>
      <c r="I247" s="597"/>
      <c r="J247" s="590"/>
      <c r="K247" s="74"/>
      <c r="L247" s="74"/>
      <c r="M247" s="74"/>
      <c r="N247" s="74"/>
    </row>
    <row r="248" spans="1:14" hidden="1" x14ac:dyDescent="0.25">
      <c r="A248" s="315" t="e">
        <f t="shared" si="4"/>
        <v>#N/A</v>
      </c>
      <c r="B248" s="518"/>
      <c r="C248" s="518"/>
      <c r="D248" s="590"/>
      <c r="E248" s="590"/>
      <c r="F248" s="590"/>
      <c r="G248" s="590"/>
      <c r="H248" s="597"/>
      <c r="I248" s="597"/>
      <c r="J248" s="590"/>
      <c r="K248" s="74"/>
      <c r="L248" s="74"/>
      <c r="M248" s="74"/>
      <c r="N248" s="74"/>
    </row>
    <row r="249" spans="1:14" hidden="1" x14ac:dyDescent="0.25">
      <c r="A249" s="315" t="e">
        <f t="shared" si="4"/>
        <v>#N/A</v>
      </c>
      <c r="B249" s="518"/>
      <c r="C249" s="518"/>
      <c r="D249" s="590"/>
      <c r="E249" s="590"/>
      <c r="F249" s="590"/>
      <c r="G249" s="590"/>
      <c r="H249" s="597"/>
      <c r="I249" s="597"/>
      <c r="J249" s="590"/>
      <c r="K249" s="74"/>
      <c r="L249" s="74"/>
      <c r="M249" s="74"/>
      <c r="N249" s="74"/>
    </row>
    <row r="250" spans="1:14" hidden="1" x14ac:dyDescent="0.25">
      <c r="A250" s="315" t="e">
        <f t="shared" si="4"/>
        <v>#N/A</v>
      </c>
      <c r="B250" s="518"/>
      <c r="C250" s="518"/>
      <c r="D250" s="590"/>
      <c r="E250" s="590"/>
      <c r="F250" s="590"/>
      <c r="G250" s="590"/>
      <c r="H250" s="597"/>
      <c r="I250" s="597"/>
      <c r="J250" s="590"/>
      <c r="K250" s="74"/>
      <c r="L250" s="74"/>
      <c r="M250" s="74"/>
      <c r="N250" s="74"/>
    </row>
    <row r="251" spans="1:14" hidden="1" x14ac:dyDescent="0.25">
      <c r="A251" s="315" t="e">
        <f t="shared" si="4"/>
        <v>#N/A</v>
      </c>
      <c r="B251" s="518"/>
      <c r="C251" s="518"/>
      <c r="D251" s="590"/>
      <c r="E251" s="590"/>
      <c r="F251" s="590"/>
      <c r="G251" s="590"/>
      <c r="H251" s="597"/>
      <c r="I251" s="597"/>
      <c r="J251" s="590"/>
      <c r="K251" s="74"/>
      <c r="L251" s="74"/>
      <c r="M251" s="74"/>
      <c r="N251" s="74"/>
    </row>
    <row r="252" spans="1:14" hidden="1" x14ac:dyDescent="0.25">
      <c r="A252" s="315" t="e">
        <f t="shared" si="4"/>
        <v>#N/A</v>
      </c>
      <c r="B252" s="518"/>
      <c r="C252" s="518"/>
      <c r="D252" s="590"/>
      <c r="E252" s="590"/>
      <c r="F252" s="590"/>
      <c r="G252" s="590"/>
      <c r="H252" s="597"/>
      <c r="I252" s="597"/>
      <c r="J252" s="590"/>
      <c r="K252" s="74"/>
      <c r="L252" s="74"/>
      <c r="M252" s="74"/>
      <c r="N252" s="74"/>
    </row>
    <row r="253" spans="1:14" hidden="1" x14ac:dyDescent="0.25">
      <c r="A253" s="315" t="e">
        <f t="shared" si="4"/>
        <v>#N/A</v>
      </c>
      <c r="B253" s="518"/>
      <c r="C253" s="518"/>
      <c r="D253" s="590"/>
      <c r="E253" s="590"/>
      <c r="F253" s="590"/>
      <c r="G253" s="590"/>
      <c r="H253" s="597"/>
      <c r="I253" s="597"/>
      <c r="J253" s="590"/>
      <c r="K253" s="74"/>
      <c r="L253" s="74"/>
      <c r="M253" s="74"/>
      <c r="N253" s="74"/>
    </row>
    <row r="254" spans="1:14" hidden="1" x14ac:dyDescent="0.25">
      <c r="A254" s="315" t="e">
        <f t="shared" si="4"/>
        <v>#N/A</v>
      </c>
      <c r="B254" s="518"/>
      <c r="C254" s="518"/>
      <c r="D254" s="590"/>
      <c r="E254" s="590"/>
      <c r="F254" s="590"/>
      <c r="G254" s="590"/>
      <c r="H254" s="597"/>
      <c r="I254" s="597"/>
      <c r="J254" s="590"/>
      <c r="K254" s="74"/>
      <c r="L254" s="74"/>
      <c r="M254" s="74"/>
      <c r="N254" s="74"/>
    </row>
    <row r="255" spans="1:14" hidden="1" x14ac:dyDescent="0.25">
      <c r="A255" s="315" t="e">
        <f t="shared" si="4"/>
        <v>#N/A</v>
      </c>
      <c r="B255" s="518"/>
      <c r="C255" s="518"/>
      <c r="D255" s="590"/>
      <c r="E255" s="590"/>
      <c r="F255" s="590"/>
      <c r="G255" s="590"/>
      <c r="H255" s="597"/>
      <c r="I255" s="597"/>
      <c r="J255" s="590"/>
      <c r="K255" s="74"/>
      <c r="L255" s="74"/>
      <c r="M255" s="74"/>
      <c r="N255" s="74"/>
    </row>
    <row r="256" spans="1:14" hidden="1" x14ac:dyDescent="0.25">
      <c r="A256" s="315" t="e">
        <f t="shared" si="4"/>
        <v>#N/A</v>
      </c>
      <c r="B256" s="518"/>
      <c r="C256" s="518"/>
      <c r="D256" s="590"/>
      <c r="E256" s="590"/>
      <c r="F256" s="590"/>
      <c r="G256" s="590"/>
      <c r="H256" s="597"/>
      <c r="I256" s="597"/>
      <c r="J256" s="590"/>
      <c r="K256" s="74"/>
      <c r="L256" s="74"/>
      <c r="M256" s="74"/>
      <c r="N256" s="74"/>
    </row>
    <row r="257" spans="1:14" hidden="1" x14ac:dyDescent="0.25">
      <c r="A257" s="315" t="e">
        <f t="shared" si="4"/>
        <v>#N/A</v>
      </c>
      <c r="B257" s="518"/>
      <c r="C257" s="518"/>
      <c r="D257" s="590"/>
      <c r="E257" s="590"/>
      <c r="F257" s="590"/>
      <c r="G257" s="590"/>
      <c r="H257" s="597"/>
      <c r="I257" s="597"/>
      <c r="J257" s="590"/>
      <c r="K257" s="74"/>
      <c r="L257" s="74"/>
      <c r="M257" s="74"/>
      <c r="N257" s="74"/>
    </row>
    <row r="258" spans="1:14" hidden="1" x14ac:dyDescent="0.25">
      <c r="A258" s="315" t="e">
        <f t="shared" si="4"/>
        <v>#N/A</v>
      </c>
      <c r="B258" s="518"/>
      <c r="C258" s="518"/>
      <c r="D258" s="590"/>
      <c r="E258" s="590"/>
      <c r="F258" s="590"/>
      <c r="G258" s="590"/>
      <c r="H258" s="597"/>
      <c r="I258" s="597"/>
      <c r="J258" s="590"/>
      <c r="K258" s="74"/>
      <c r="L258" s="74"/>
      <c r="M258" s="74"/>
      <c r="N258" s="74"/>
    </row>
    <row r="259" spans="1:14" hidden="1" x14ac:dyDescent="0.25">
      <c r="A259" s="315" t="e">
        <f t="shared" si="4"/>
        <v>#N/A</v>
      </c>
      <c r="B259" s="518"/>
      <c r="C259" s="518"/>
      <c r="D259" s="590"/>
      <c r="E259" s="590"/>
      <c r="F259" s="590"/>
      <c r="G259" s="590"/>
      <c r="H259" s="597"/>
      <c r="I259" s="597"/>
      <c r="J259" s="590"/>
      <c r="K259" s="74"/>
      <c r="L259" s="74"/>
      <c r="M259" s="74"/>
      <c r="N259" s="74"/>
    </row>
    <row r="260" spans="1:14" hidden="1" x14ac:dyDescent="0.25">
      <c r="A260" s="315" t="e">
        <f t="shared" si="4"/>
        <v>#N/A</v>
      </c>
      <c r="B260" s="518"/>
      <c r="C260" s="518"/>
      <c r="D260" s="590"/>
      <c r="E260" s="590"/>
      <c r="F260" s="590"/>
      <c r="G260" s="590"/>
      <c r="H260" s="597"/>
      <c r="I260" s="597"/>
      <c r="J260" s="590"/>
      <c r="K260" s="74"/>
      <c r="L260" s="74"/>
      <c r="M260" s="74"/>
      <c r="N260" s="74"/>
    </row>
    <row r="261" spans="1:14" hidden="1" x14ac:dyDescent="0.25">
      <c r="A261" s="315" t="e">
        <f t="shared" si="4"/>
        <v>#N/A</v>
      </c>
      <c r="B261" s="518"/>
      <c r="C261" s="518"/>
      <c r="D261" s="590"/>
      <c r="E261" s="590"/>
      <c r="F261" s="590"/>
      <c r="G261" s="590"/>
      <c r="H261" s="597"/>
      <c r="I261" s="597"/>
      <c r="J261" s="590"/>
      <c r="K261" s="74"/>
      <c r="L261" s="74"/>
      <c r="M261" s="74"/>
      <c r="N261" s="74"/>
    </row>
    <row r="262" spans="1:14" hidden="1" x14ac:dyDescent="0.25">
      <c r="A262" s="315" t="e">
        <f t="shared" si="4"/>
        <v>#N/A</v>
      </c>
      <c r="B262" s="518"/>
      <c r="C262" s="518"/>
      <c r="D262" s="590"/>
      <c r="E262" s="590"/>
      <c r="F262" s="590"/>
      <c r="G262" s="590"/>
      <c r="H262" s="597"/>
      <c r="I262" s="597"/>
      <c r="J262" s="590"/>
      <c r="K262" s="74"/>
      <c r="L262" s="74"/>
      <c r="M262" s="74"/>
      <c r="N262" s="74"/>
    </row>
    <row r="263" spans="1:14" hidden="1" x14ac:dyDescent="0.25">
      <c r="A263" s="315" t="e">
        <f t="shared" si="4"/>
        <v>#N/A</v>
      </c>
      <c r="B263" s="518"/>
      <c r="C263" s="518"/>
      <c r="D263" s="590"/>
      <c r="E263" s="590"/>
      <c r="F263" s="590"/>
      <c r="G263" s="590"/>
      <c r="H263" s="597"/>
      <c r="I263" s="597"/>
      <c r="J263" s="590"/>
      <c r="K263" s="74"/>
      <c r="L263" s="74"/>
      <c r="M263" s="74"/>
      <c r="N263" s="74"/>
    </row>
    <row r="264" spans="1:14" hidden="1" x14ac:dyDescent="0.25">
      <c r="A264" s="315" t="e">
        <f t="shared" si="4"/>
        <v>#N/A</v>
      </c>
      <c r="B264" s="518"/>
      <c r="C264" s="518"/>
      <c r="D264" s="590"/>
      <c r="E264" s="590"/>
      <c r="F264" s="590"/>
      <c r="G264" s="590"/>
      <c r="H264" s="597"/>
      <c r="I264" s="597"/>
      <c r="J264" s="590"/>
      <c r="K264" s="74"/>
      <c r="L264" s="74"/>
      <c r="M264" s="74"/>
      <c r="N264" s="74"/>
    </row>
    <row r="265" spans="1:14" hidden="1" x14ac:dyDescent="0.25">
      <c r="A265" s="315" t="e">
        <f t="shared" si="4"/>
        <v>#N/A</v>
      </c>
      <c r="B265" s="518"/>
      <c r="C265" s="518"/>
      <c r="D265" s="590"/>
      <c r="E265" s="590"/>
      <c r="F265" s="590"/>
      <c r="G265" s="590"/>
      <c r="H265" s="597"/>
      <c r="I265" s="597"/>
      <c r="J265" s="590"/>
      <c r="K265" s="74"/>
      <c r="L265" s="74"/>
      <c r="M265" s="74"/>
      <c r="N265" s="74"/>
    </row>
    <row r="266" spans="1:14" hidden="1" x14ac:dyDescent="0.25">
      <c r="A266" s="315" t="e">
        <f t="shared" si="4"/>
        <v>#N/A</v>
      </c>
      <c r="B266" s="518"/>
      <c r="C266" s="518"/>
      <c r="D266" s="590"/>
      <c r="E266" s="590"/>
      <c r="F266" s="590"/>
      <c r="G266" s="590"/>
      <c r="H266" s="597"/>
      <c r="I266" s="597"/>
      <c r="J266" s="590"/>
      <c r="K266" s="74"/>
      <c r="L266" s="74"/>
      <c r="M266" s="74"/>
      <c r="N266" s="74"/>
    </row>
    <row r="267" spans="1:14" hidden="1" x14ac:dyDescent="0.25">
      <c r="A267" s="315" t="e">
        <f t="shared" si="4"/>
        <v>#N/A</v>
      </c>
      <c r="B267" s="518"/>
      <c r="C267" s="518"/>
      <c r="D267" s="590"/>
      <c r="E267" s="590"/>
      <c r="F267" s="590"/>
      <c r="G267" s="590"/>
      <c r="H267" s="597"/>
      <c r="I267" s="597"/>
      <c r="J267" s="590"/>
      <c r="K267" s="74"/>
      <c r="L267" s="74"/>
      <c r="M267" s="74"/>
      <c r="N267" s="74"/>
    </row>
    <row r="268" spans="1:14" hidden="1" x14ac:dyDescent="0.25">
      <c r="A268" s="315" t="e">
        <f t="shared" si="4"/>
        <v>#N/A</v>
      </c>
      <c r="B268" s="518"/>
      <c r="C268" s="518"/>
      <c r="D268" s="590"/>
      <c r="E268" s="590"/>
      <c r="F268" s="590"/>
      <c r="G268" s="590"/>
      <c r="H268" s="597"/>
      <c r="I268" s="597"/>
      <c r="J268" s="590"/>
      <c r="K268" s="74"/>
      <c r="L268" s="74"/>
      <c r="M268" s="74"/>
      <c r="N268" s="74"/>
    </row>
    <row r="269" spans="1:14" hidden="1" x14ac:dyDescent="0.25">
      <c r="A269" s="315" t="e">
        <f t="shared" si="4"/>
        <v>#N/A</v>
      </c>
      <c r="B269" s="518"/>
      <c r="C269" s="518"/>
      <c r="D269" s="590"/>
      <c r="E269" s="590"/>
      <c r="F269" s="590"/>
      <c r="G269" s="590"/>
      <c r="H269" s="597"/>
      <c r="I269" s="597"/>
      <c r="J269" s="590"/>
      <c r="K269" s="74"/>
      <c r="L269" s="74"/>
      <c r="M269" s="74"/>
      <c r="N269" s="74"/>
    </row>
    <row r="270" spans="1:14" hidden="1" x14ac:dyDescent="0.25">
      <c r="A270" s="315" t="e">
        <f t="shared" si="4"/>
        <v>#N/A</v>
      </c>
      <c r="B270" s="518"/>
      <c r="C270" s="518"/>
      <c r="D270" s="590"/>
      <c r="E270" s="590"/>
      <c r="F270" s="590"/>
      <c r="G270" s="590"/>
      <c r="H270" s="597"/>
      <c r="I270" s="597"/>
      <c r="J270" s="590"/>
      <c r="K270" s="74"/>
      <c r="L270" s="74"/>
      <c r="M270" s="74"/>
      <c r="N270" s="74"/>
    </row>
    <row r="271" spans="1:14" hidden="1" x14ac:dyDescent="0.25">
      <c r="A271" s="315" t="e">
        <f t="shared" si="4"/>
        <v>#N/A</v>
      </c>
      <c r="B271" s="518"/>
      <c r="C271" s="518"/>
      <c r="D271" s="590"/>
      <c r="E271" s="590"/>
      <c r="F271" s="590"/>
      <c r="G271" s="590"/>
      <c r="H271" s="597"/>
      <c r="I271" s="597"/>
      <c r="J271" s="590"/>
      <c r="K271" s="74"/>
      <c r="L271" s="74"/>
      <c r="M271" s="74"/>
      <c r="N271" s="74"/>
    </row>
    <row r="272" spans="1:14" hidden="1" x14ac:dyDescent="0.25">
      <c r="A272" s="315" t="e">
        <f t="shared" si="4"/>
        <v>#N/A</v>
      </c>
      <c r="B272" s="518"/>
      <c r="C272" s="518"/>
      <c r="D272" s="590"/>
      <c r="E272" s="590"/>
      <c r="F272" s="590"/>
      <c r="G272" s="590"/>
      <c r="H272" s="597"/>
      <c r="I272" s="597"/>
      <c r="J272" s="590"/>
      <c r="K272" s="74"/>
      <c r="L272" s="74"/>
      <c r="M272" s="74"/>
      <c r="N272" s="74"/>
    </row>
    <row r="273" spans="1:14" hidden="1" x14ac:dyDescent="0.25">
      <c r="A273" s="315" t="e">
        <f t="shared" si="4"/>
        <v>#N/A</v>
      </c>
      <c r="B273" s="518"/>
      <c r="C273" s="518"/>
      <c r="D273" s="590"/>
      <c r="E273" s="590"/>
      <c r="F273" s="590"/>
      <c r="G273" s="590"/>
      <c r="H273" s="597"/>
      <c r="I273" s="597"/>
      <c r="J273" s="590"/>
      <c r="K273" s="74"/>
      <c r="L273" s="74"/>
      <c r="M273" s="74"/>
      <c r="N273" s="74"/>
    </row>
    <row r="274" spans="1:14" hidden="1" x14ac:dyDescent="0.25">
      <c r="A274" s="315" t="e">
        <f t="shared" si="4"/>
        <v>#N/A</v>
      </c>
      <c r="B274" s="518"/>
      <c r="C274" s="518"/>
      <c r="D274" s="590"/>
      <c r="E274" s="590"/>
      <c r="F274" s="590"/>
      <c r="G274" s="590"/>
      <c r="H274" s="597"/>
      <c r="I274" s="597"/>
      <c r="J274" s="590"/>
      <c r="K274" s="74"/>
      <c r="L274" s="74"/>
      <c r="M274" s="74"/>
      <c r="N274" s="74"/>
    </row>
    <row r="275" spans="1:14" hidden="1" x14ac:dyDescent="0.25">
      <c r="A275" s="315" t="e">
        <f t="shared" si="4"/>
        <v>#N/A</v>
      </c>
      <c r="B275" s="518"/>
      <c r="C275" s="518"/>
      <c r="D275" s="590"/>
      <c r="E275" s="590"/>
      <c r="F275" s="590"/>
      <c r="G275" s="590"/>
      <c r="H275" s="597"/>
      <c r="I275" s="597"/>
      <c r="J275" s="590"/>
      <c r="K275" s="74"/>
      <c r="L275" s="74"/>
      <c r="M275" s="74"/>
      <c r="N275" s="74"/>
    </row>
    <row r="276" spans="1:14" hidden="1" x14ac:dyDescent="0.25">
      <c r="A276" s="315" t="e">
        <f t="shared" si="4"/>
        <v>#N/A</v>
      </c>
      <c r="B276" s="518"/>
      <c r="C276" s="518"/>
      <c r="D276" s="590"/>
      <c r="E276" s="590"/>
      <c r="F276" s="590"/>
      <c r="G276" s="590"/>
      <c r="H276" s="597"/>
      <c r="I276" s="597"/>
      <c r="J276" s="590"/>
      <c r="K276" s="74"/>
      <c r="L276" s="74"/>
      <c r="M276" s="74"/>
      <c r="N276" s="74"/>
    </row>
    <row r="277" spans="1:14" hidden="1" x14ac:dyDescent="0.25">
      <c r="A277" s="315" t="e">
        <f t="shared" si="4"/>
        <v>#N/A</v>
      </c>
      <c r="B277" s="518"/>
      <c r="C277" s="518"/>
      <c r="D277" s="590"/>
      <c r="E277" s="590"/>
      <c r="F277" s="590"/>
      <c r="G277" s="590"/>
      <c r="H277" s="597"/>
      <c r="I277" s="597"/>
      <c r="J277" s="590"/>
      <c r="K277" s="74"/>
      <c r="L277" s="74"/>
      <c r="M277" s="74"/>
      <c r="N277" s="74"/>
    </row>
    <row r="278" spans="1:14" hidden="1" x14ac:dyDescent="0.25">
      <c r="A278" s="315" t="e">
        <f t="shared" si="4"/>
        <v>#N/A</v>
      </c>
      <c r="B278" s="518"/>
      <c r="C278" s="518"/>
      <c r="D278" s="590"/>
      <c r="E278" s="590"/>
      <c r="F278" s="590"/>
      <c r="G278" s="590"/>
      <c r="H278" s="597"/>
      <c r="I278" s="597"/>
      <c r="J278" s="590"/>
      <c r="K278" s="74"/>
      <c r="L278" s="74"/>
      <c r="M278" s="74"/>
      <c r="N278" s="74"/>
    </row>
    <row r="279" spans="1:14" hidden="1" x14ac:dyDescent="0.25">
      <c r="A279" s="315" t="e">
        <f t="shared" si="4"/>
        <v>#N/A</v>
      </c>
      <c r="B279" s="518"/>
      <c r="C279" s="518"/>
      <c r="D279" s="590"/>
      <c r="E279" s="590"/>
      <c r="F279" s="590"/>
      <c r="G279" s="590"/>
      <c r="H279" s="597"/>
      <c r="I279" s="597"/>
      <c r="J279" s="590"/>
      <c r="K279" s="74"/>
      <c r="L279" s="74"/>
      <c r="M279" s="74"/>
      <c r="N279" s="74"/>
    </row>
    <row r="280" spans="1:14" ht="15.75" hidden="1" thickBot="1" x14ac:dyDescent="0.3">
      <c r="A280" s="192" t="e">
        <f t="shared" si="4"/>
        <v>#N/A</v>
      </c>
      <c r="B280" s="518"/>
      <c r="C280" s="518"/>
      <c r="D280" s="598"/>
      <c r="E280" s="598"/>
      <c r="F280" s="598"/>
      <c r="G280" s="598"/>
      <c r="H280" s="599"/>
      <c r="I280" s="599"/>
      <c r="J280" s="598"/>
      <c r="K280" s="600"/>
      <c r="L280" s="600"/>
      <c r="M280" s="600"/>
      <c r="N280" s="600"/>
    </row>
    <row r="281" spans="1:14" ht="15.75" thickBot="1" x14ac:dyDescent="0.3">
      <c r="A281" s="109"/>
      <c r="B281" s="110"/>
      <c r="C281" s="110"/>
      <c r="D281" s="111">
        <f>COUNTA(D29:D280)</f>
        <v>173</v>
      </c>
      <c r="E281" s="112"/>
      <c r="F281" s="112"/>
      <c r="G281" s="113"/>
      <c r="H281" s="113"/>
      <c r="I281" s="112"/>
      <c r="J281" s="114"/>
      <c r="K281" s="114">
        <f>SUM(K28:K280)</f>
        <v>916290.87000000011</v>
      </c>
      <c r="L281" s="114">
        <f>SUM(L28:L280)</f>
        <v>363807.14</v>
      </c>
      <c r="M281" s="114">
        <f>SUM(M28:M280)</f>
        <v>576363.30000000005</v>
      </c>
      <c r="N281" s="114">
        <f>SUM(N28:N280)</f>
        <v>1254026.21</v>
      </c>
    </row>
    <row r="282" spans="1:14" x14ac:dyDescent="0.25">
      <c r="A282" s="231"/>
      <c r="B282" s="119" t="s">
        <v>28</v>
      </c>
      <c r="C282" s="120"/>
      <c r="D282" s="352">
        <f t="shared" ref="D282:D299" si="5">D300+D318+D336+D354+D372+D390+D408+D426+D462+D498+D516+D534+D552+D570+D588+D606+D624</f>
        <v>37</v>
      </c>
      <c r="E282" s="121"/>
      <c r="F282" s="121"/>
      <c r="G282" s="121"/>
      <c r="H282" s="121"/>
      <c r="I282" s="121"/>
      <c r="J282" s="121"/>
      <c r="K282" s="355">
        <f>K300+K318+K336+K354+K372+K390+K408+K426+K444+K462+K480+K498+K516+K534+K552+K570+K588+K606+K624</f>
        <v>12278.7</v>
      </c>
      <c r="L282" s="355">
        <f t="shared" ref="L282:N282" si="6">L300+L318+L336+L354+L372+L390+L408+L426+L444+L462+L480+L498+L516+L534+L552+L570+L588+L606+L624</f>
        <v>11313.960000000001</v>
      </c>
      <c r="M282" s="355">
        <f t="shared" si="6"/>
        <v>11508.7</v>
      </c>
      <c r="N282" s="355">
        <f t="shared" si="6"/>
        <v>74376.639999999999</v>
      </c>
    </row>
    <row r="283" spans="1:14" x14ac:dyDescent="0.25">
      <c r="A283" s="232"/>
      <c r="B283" s="108" t="s">
        <v>27</v>
      </c>
      <c r="C283" s="123"/>
      <c r="D283" s="363">
        <f t="shared" si="5"/>
        <v>0</v>
      </c>
      <c r="E283" s="124"/>
      <c r="F283" s="124"/>
      <c r="G283" s="124"/>
      <c r="H283" s="124"/>
      <c r="I283" s="124"/>
      <c r="J283" s="124"/>
      <c r="K283" s="354">
        <f t="shared" ref="K283:N283" si="7">K301+K319+K337+K355+K373+K391+K409+K427+K445+K463+K481+K499+K517+K535+K553+K571+K589+K607+K625</f>
        <v>0</v>
      </c>
      <c r="L283" s="354">
        <f t="shared" si="7"/>
        <v>0</v>
      </c>
      <c r="M283" s="354">
        <f t="shared" si="7"/>
        <v>0</v>
      </c>
      <c r="N283" s="354">
        <f t="shared" si="7"/>
        <v>0</v>
      </c>
    </row>
    <row r="284" spans="1:14" x14ac:dyDescent="0.25">
      <c r="A284" s="232"/>
      <c r="B284" s="108" t="s">
        <v>32</v>
      </c>
      <c r="C284" s="123"/>
      <c r="D284" s="363">
        <f t="shared" si="5"/>
        <v>5</v>
      </c>
      <c r="E284" s="124"/>
      <c r="F284" s="124"/>
      <c r="G284" s="124"/>
      <c r="H284" s="124"/>
      <c r="I284" s="124"/>
      <c r="J284" s="124"/>
      <c r="K284" s="354">
        <f t="shared" ref="K284:N284" si="8">K302+K320+K338+K356+K374+K392+K410+K428+K446+K464+K482+K500+K518+K536+K554+K572+K590+K608+K626</f>
        <v>0</v>
      </c>
      <c r="L284" s="354">
        <f t="shared" si="8"/>
        <v>0</v>
      </c>
      <c r="M284" s="354">
        <f t="shared" si="8"/>
        <v>1275</v>
      </c>
      <c r="N284" s="354">
        <f t="shared" si="8"/>
        <v>1275</v>
      </c>
    </row>
    <row r="285" spans="1:14" x14ac:dyDescent="0.25">
      <c r="A285" s="232"/>
      <c r="B285" s="108" t="s">
        <v>685</v>
      </c>
      <c r="C285" s="123"/>
      <c r="D285" s="363">
        <f t="shared" si="5"/>
        <v>17</v>
      </c>
      <c r="E285" s="124"/>
      <c r="F285" s="124"/>
      <c r="G285" s="124"/>
      <c r="H285" s="124"/>
      <c r="I285" s="124"/>
      <c r="J285" s="124"/>
      <c r="K285" s="354">
        <f t="shared" ref="K285:N285" si="9">K303+K321+K339+K357+K375+K393+K411+K429+K447+K465+K483+K501+K519+K537+K555+K573+K591+K609+K627</f>
        <v>9112</v>
      </c>
      <c r="L285" s="354">
        <f t="shared" si="9"/>
        <v>0</v>
      </c>
      <c r="M285" s="354">
        <f t="shared" si="9"/>
        <v>2237.44</v>
      </c>
      <c r="N285" s="354">
        <f t="shared" si="9"/>
        <v>9112</v>
      </c>
    </row>
    <row r="286" spans="1:14" x14ac:dyDescent="0.25">
      <c r="A286" s="232"/>
      <c r="B286" s="108" t="s">
        <v>41</v>
      </c>
      <c r="C286" s="123"/>
      <c r="D286" s="363">
        <f t="shared" si="5"/>
        <v>4</v>
      </c>
      <c r="E286" s="124"/>
      <c r="F286" s="124"/>
      <c r="G286" s="124"/>
      <c r="H286" s="124"/>
      <c r="I286" s="124"/>
      <c r="J286" s="124"/>
      <c r="K286" s="354">
        <f t="shared" ref="K286:N286" si="10">K304+K322+K340+K358+K376+K394+K412+K430+K448+K466+K484+K502+K520+K538+K556+K574+K592+K610+K628</f>
        <v>3900</v>
      </c>
      <c r="L286" s="354">
        <f t="shared" si="10"/>
        <v>260.37</v>
      </c>
      <c r="M286" s="354">
        <f t="shared" si="10"/>
        <v>0</v>
      </c>
      <c r="N286" s="354">
        <f t="shared" si="10"/>
        <v>3900</v>
      </c>
    </row>
    <row r="287" spans="1:14" x14ac:dyDescent="0.25">
      <c r="A287" s="232"/>
      <c r="B287" s="108" t="s">
        <v>775</v>
      </c>
      <c r="C287" s="123"/>
      <c r="D287" s="363">
        <f t="shared" si="5"/>
        <v>8</v>
      </c>
      <c r="E287" s="124"/>
      <c r="F287" s="124"/>
      <c r="G287" s="124"/>
      <c r="H287" s="124"/>
      <c r="I287" s="124"/>
      <c r="J287" s="124"/>
      <c r="K287" s="354">
        <f t="shared" ref="K287:N287" si="11">K305+K323+K341+K359+K377+K395+K413+K431+K449+K467+K485+K503+K521+K539+K557+K575+K593+K611+K629</f>
        <v>3761</v>
      </c>
      <c r="L287" s="354">
        <f t="shared" si="11"/>
        <v>0</v>
      </c>
      <c r="M287" s="354">
        <f t="shared" si="11"/>
        <v>0</v>
      </c>
      <c r="N287" s="354">
        <f t="shared" si="11"/>
        <v>17896</v>
      </c>
    </row>
    <row r="288" spans="1:14" x14ac:dyDescent="0.25">
      <c r="A288" s="232"/>
      <c r="B288" s="108" t="s">
        <v>37</v>
      </c>
      <c r="C288" s="123"/>
      <c r="D288" s="363">
        <f t="shared" si="5"/>
        <v>3</v>
      </c>
      <c r="E288" s="124"/>
      <c r="F288" s="124"/>
      <c r="G288" s="124"/>
      <c r="H288" s="124"/>
      <c r="I288" s="124"/>
      <c r="J288" s="124"/>
      <c r="K288" s="354">
        <f t="shared" ref="K288:N288" si="12">K306+K324+K342+K360+K378+K396+K414+K432+K450+K468+K486+K504+K522+K540+K558+K576+K594+K612+K630</f>
        <v>0</v>
      </c>
      <c r="L288" s="354">
        <f t="shared" si="12"/>
        <v>0</v>
      </c>
      <c r="M288" s="354">
        <f t="shared" si="12"/>
        <v>0</v>
      </c>
      <c r="N288" s="354">
        <f t="shared" si="12"/>
        <v>6440</v>
      </c>
    </row>
    <row r="289" spans="1:14" x14ac:dyDescent="0.25">
      <c r="A289" s="232"/>
      <c r="B289" s="108" t="s">
        <v>29</v>
      </c>
      <c r="C289" s="123"/>
      <c r="D289" s="363">
        <f t="shared" si="5"/>
        <v>11</v>
      </c>
      <c r="E289" s="124"/>
      <c r="F289" s="124"/>
      <c r="G289" s="124"/>
      <c r="H289" s="124"/>
      <c r="I289" s="124"/>
      <c r="J289" s="124"/>
      <c r="K289" s="354">
        <f t="shared" ref="K289:N289" si="13">K307+K325+K343+K361+K379+K397+K415+K433+K451+K469+K487+K505+K523+K541+K559+K577+K595+K613+K631</f>
        <v>31049</v>
      </c>
      <c r="L289" s="354">
        <f t="shared" si="13"/>
        <v>50339.18</v>
      </c>
      <c r="M289" s="354">
        <f t="shared" si="13"/>
        <v>51666.5</v>
      </c>
      <c r="N289" s="354">
        <f t="shared" si="13"/>
        <v>58300</v>
      </c>
    </row>
    <row r="290" spans="1:14" x14ac:dyDescent="0.25">
      <c r="A290" s="232"/>
      <c r="B290" s="108" t="s">
        <v>536</v>
      </c>
      <c r="C290" s="123"/>
      <c r="D290" s="363">
        <f t="shared" si="5"/>
        <v>2</v>
      </c>
      <c r="E290" s="124"/>
      <c r="F290" s="124"/>
      <c r="G290" s="124"/>
      <c r="H290" s="124"/>
      <c r="I290" s="124"/>
      <c r="J290" s="124"/>
      <c r="K290" s="354">
        <f t="shared" ref="K290:N290" si="14">K308+K326+K344+K362+K380+K398+K416+K434+K452+K470+K488+K506+K524+K542+K560+K578+K596+K614+K632</f>
        <v>1000</v>
      </c>
      <c r="L290" s="354">
        <f t="shared" si="14"/>
        <v>0</v>
      </c>
      <c r="M290" s="354">
        <f t="shared" si="14"/>
        <v>0</v>
      </c>
      <c r="N290" s="354">
        <f t="shared" si="14"/>
        <v>1000</v>
      </c>
    </row>
    <row r="291" spans="1:14" x14ac:dyDescent="0.25">
      <c r="A291" s="232"/>
      <c r="B291" s="108" t="s">
        <v>36</v>
      </c>
      <c r="C291" s="123"/>
      <c r="D291" s="363">
        <f t="shared" si="5"/>
        <v>35</v>
      </c>
      <c r="E291" s="124"/>
      <c r="F291" s="124"/>
      <c r="G291" s="124"/>
      <c r="H291" s="124"/>
      <c r="I291" s="124"/>
      <c r="J291" s="124"/>
      <c r="K291" s="354">
        <f t="shared" ref="K291:N291" si="15">K309+K327+K345+K363+K381+K399+K417+K435+K453+K471+K489+K507+K525+K543+K561+K579+K597+K615+K633</f>
        <v>601739.83000000007</v>
      </c>
      <c r="L291" s="354">
        <f t="shared" si="15"/>
        <v>151850.5</v>
      </c>
      <c r="M291" s="354">
        <f t="shared" si="15"/>
        <v>364350</v>
      </c>
      <c r="N291" s="354">
        <f t="shared" si="15"/>
        <v>765961.57000000007</v>
      </c>
    </row>
    <row r="292" spans="1:14" x14ac:dyDescent="0.25">
      <c r="A292" s="232"/>
      <c r="B292" s="85" t="s">
        <v>31</v>
      </c>
      <c r="C292" s="123"/>
      <c r="D292" s="363">
        <f t="shared" si="5"/>
        <v>9</v>
      </c>
      <c r="E292" s="124"/>
      <c r="F292" s="124"/>
      <c r="G292" s="124"/>
      <c r="H292" s="124"/>
      <c r="I292" s="124"/>
      <c r="J292" s="124"/>
      <c r="K292" s="354">
        <f t="shared" ref="K292:N292" si="16">K310+K328+K346+K364+K382+K400+K418+K436+K454+K472+K490+K508+K526+K544+K562+K580+K598+K616+K634</f>
        <v>0</v>
      </c>
      <c r="L292" s="354">
        <f t="shared" si="16"/>
        <v>0</v>
      </c>
      <c r="M292" s="354">
        <f t="shared" si="16"/>
        <v>0</v>
      </c>
      <c r="N292" s="354">
        <f t="shared" si="16"/>
        <v>10560</v>
      </c>
    </row>
    <row r="293" spans="1:14" x14ac:dyDescent="0.25">
      <c r="A293" s="232"/>
      <c r="B293" s="85" t="s">
        <v>30</v>
      </c>
      <c r="C293" s="123"/>
      <c r="D293" s="363">
        <f t="shared" si="5"/>
        <v>6</v>
      </c>
      <c r="E293" s="124"/>
      <c r="F293" s="124"/>
      <c r="G293" s="124"/>
      <c r="H293" s="124"/>
      <c r="I293" s="124"/>
      <c r="J293" s="124"/>
      <c r="K293" s="354">
        <f t="shared" ref="K293:N293" si="17">K311+K329+K347+K365+K383+K401+K419+K437+K455+K473+K491+K509+K527+K545+K563+K581+K599+K617+K635</f>
        <v>108571</v>
      </c>
      <c r="L293" s="354">
        <f t="shared" si="17"/>
        <v>0</v>
      </c>
      <c r="M293" s="354">
        <f t="shared" si="17"/>
        <v>0</v>
      </c>
      <c r="N293" s="354">
        <f t="shared" si="17"/>
        <v>108571</v>
      </c>
    </row>
    <row r="294" spans="1:14" x14ac:dyDescent="0.25">
      <c r="A294" s="232"/>
      <c r="B294" s="85" t="s">
        <v>38</v>
      </c>
      <c r="C294" s="123"/>
      <c r="D294" s="363">
        <f t="shared" si="5"/>
        <v>14</v>
      </c>
      <c r="E294" s="124"/>
      <c r="F294" s="124"/>
      <c r="G294" s="124"/>
      <c r="H294" s="124"/>
      <c r="I294" s="124"/>
      <c r="J294" s="124"/>
      <c r="K294" s="354">
        <f t="shared" ref="K294:N294" si="18">K312+K330+K348+K366+K384+K402+K420+K438+K456+K474+K492+K510+K528+K546+K564+K582+K600+K618+K636</f>
        <v>71284</v>
      </c>
      <c r="L294" s="354">
        <f t="shared" si="18"/>
        <v>46422.35</v>
      </c>
      <c r="M294" s="354">
        <f t="shared" si="18"/>
        <v>54171.67</v>
      </c>
      <c r="N294" s="354">
        <f t="shared" si="18"/>
        <v>75384</v>
      </c>
    </row>
    <row r="295" spans="1:14" x14ac:dyDescent="0.25">
      <c r="A295" s="232"/>
      <c r="B295" s="85" t="s">
        <v>684</v>
      </c>
      <c r="C295" s="123"/>
      <c r="D295" s="363">
        <f t="shared" si="5"/>
        <v>9</v>
      </c>
      <c r="E295" s="124"/>
      <c r="F295" s="124"/>
      <c r="G295" s="124"/>
      <c r="H295" s="124"/>
      <c r="I295" s="124"/>
      <c r="J295" s="124"/>
      <c r="K295" s="354">
        <f t="shared" ref="K295:N295" si="19">K313+K331+K349+K367+K385+K403+K421+K439+K457+K475+K493+K511+K529+K547+K565+K583+K601+K619+K637</f>
        <v>65944</v>
      </c>
      <c r="L295" s="354">
        <f t="shared" si="19"/>
        <v>94858.150000000009</v>
      </c>
      <c r="M295" s="354">
        <f t="shared" si="19"/>
        <v>80592.649999999994</v>
      </c>
      <c r="N295" s="354">
        <f t="shared" si="19"/>
        <v>109765</v>
      </c>
    </row>
    <row r="296" spans="1:14" x14ac:dyDescent="0.25">
      <c r="A296" s="232"/>
      <c r="B296" s="85" t="s">
        <v>33</v>
      </c>
      <c r="C296" s="123"/>
      <c r="D296" s="363">
        <f t="shared" si="5"/>
        <v>3</v>
      </c>
      <c r="E296" s="124"/>
      <c r="F296" s="124"/>
      <c r="G296" s="124"/>
      <c r="H296" s="124"/>
      <c r="I296" s="124"/>
      <c r="J296" s="124"/>
      <c r="K296" s="354">
        <f t="shared" ref="K296:N296" si="20">K314+K332+K350+K368+K386+K404+K422+K440+K458+K476+K494+K512+K530+K548+K566+K584+K602+K620+K638</f>
        <v>0</v>
      </c>
      <c r="L296" s="354">
        <f t="shared" si="20"/>
        <v>0</v>
      </c>
      <c r="M296" s="354">
        <f t="shared" si="20"/>
        <v>0</v>
      </c>
      <c r="N296" s="354">
        <f t="shared" si="20"/>
        <v>915</v>
      </c>
    </row>
    <row r="297" spans="1:14" x14ac:dyDescent="0.25">
      <c r="A297" s="232"/>
      <c r="B297" s="85" t="s">
        <v>35</v>
      </c>
      <c r="C297" s="123"/>
      <c r="D297" s="363">
        <f t="shared" si="5"/>
        <v>0</v>
      </c>
      <c r="E297" s="124"/>
      <c r="F297" s="124"/>
      <c r="G297" s="124"/>
      <c r="H297" s="124"/>
      <c r="I297" s="124"/>
      <c r="J297" s="124"/>
      <c r="K297" s="354">
        <f t="shared" ref="K297:N297" si="21">K315+K333+K351+K369+K387+K405+K423+K441+K459+K477+K495+K513+K531+K549+K567+K585+K603+K621+K639</f>
        <v>0</v>
      </c>
      <c r="L297" s="354">
        <f t="shared" si="21"/>
        <v>0</v>
      </c>
      <c r="M297" s="354">
        <f t="shared" si="21"/>
        <v>0</v>
      </c>
      <c r="N297" s="354">
        <f t="shared" si="21"/>
        <v>0</v>
      </c>
    </row>
    <row r="298" spans="1:14" x14ac:dyDescent="0.25">
      <c r="A298" s="232"/>
      <c r="B298" s="108" t="s">
        <v>39</v>
      </c>
      <c r="C298" s="123"/>
      <c r="D298" s="363">
        <f t="shared" si="5"/>
        <v>2</v>
      </c>
      <c r="E298" s="124"/>
      <c r="F298" s="124"/>
      <c r="G298" s="124"/>
      <c r="H298" s="124"/>
      <c r="I298" s="124"/>
      <c r="J298" s="124"/>
      <c r="K298" s="354">
        <f t="shared" ref="K298:N298" si="22">K316+K334+K352+K370+K388+K406+K424+K442+K460+K478+K496+K514+K532+K550+K568+K586+K604+K622+K640</f>
        <v>0</v>
      </c>
      <c r="L298" s="354">
        <f t="shared" si="22"/>
        <v>1106.5500000000002</v>
      </c>
      <c r="M298" s="354">
        <f t="shared" si="22"/>
        <v>1400</v>
      </c>
      <c r="N298" s="354">
        <f t="shared" si="22"/>
        <v>1700</v>
      </c>
    </row>
    <row r="299" spans="1:14" ht="15.75" thickBot="1" x14ac:dyDescent="0.3">
      <c r="A299" s="232"/>
      <c r="B299" s="108" t="s">
        <v>34</v>
      </c>
      <c r="C299" s="123"/>
      <c r="D299" s="363">
        <f t="shared" si="5"/>
        <v>3</v>
      </c>
      <c r="E299" s="124"/>
      <c r="F299" s="124"/>
      <c r="G299" s="124"/>
      <c r="H299" s="124"/>
      <c r="I299" s="124"/>
      <c r="J299" s="124"/>
      <c r="K299" s="354">
        <f t="shared" ref="K299:N299" si="23">K317+K335+K353+K371+K389+K407+K425+K443+K461+K479+K497+K515+K533+K551+K569+K587+K605+K623+K641</f>
        <v>7651.34</v>
      </c>
      <c r="L299" s="354">
        <f t="shared" si="23"/>
        <v>7656.08</v>
      </c>
      <c r="M299" s="354">
        <f t="shared" si="23"/>
        <v>9161.34</v>
      </c>
      <c r="N299" s="354">
        <f t="shared" si="23"/>
        <v>8870</v>
      </c>
    </row>
    <row r="300" spans="1:14" x14ac:dyDescent="0.25">
      <c r="A300" s="231">
        <v>6450</v>
      </c>
      <c r="B300" s="119" t="s">
        <v>28</v>
      </c>
      <c r="C300" s="120"/>
      <c r="D300" s="121">
        <f t="shared" ref="D300:D363" si="24">COUNTIFS($A$28:$A$280,$A300,$B$28:$B$280,$B300)</f>
        <v>25</v>
      </c>
      <c r="E300" s="121"/>
      <c r="F300" s="121"/>
      <c r="G300" s="121"/>
      <c r="H300" s="121"/>
      <c r="I300" s="121"/>
      <c r="J300" s="121"/>
      <c r="K300" s="236">
        <f t="shared" ref="K300:N319" si="25">SUMIFS(K$28:K$280,$A$28:$A$280,$A300,$B$28:$B$280,$B300)</f>
        <v>1000</v>
      </c>
      <c r="L300" s="236">
        <f t="shared" si="25"/>
        <v>0</v>
      </c>
      <c r="M300" s="236">
        <f t="shared" si="25"/>
        <v>0</v>
      </c>
      <c r="N300" s="236">
        <f t="shared" si="25"/>
        <v>55711.64</v>
      </c>
    </row>
    <row r="301" spans="1:14" x14ac:dyDescent="0.25">
      <c r="A301" s="232">
        <v>6450</v>
      </c>
      <c r="B301" s="108" t="s">
        <v>27</v>
      </c>
      <c r="C301" s="123"/>
      <c r="D301" s="363">
        <f t="shared" si="24"/>
        <v>0</v>
      </c>
      <c r="E301" s="124"/>
      <c r="F301" s="124"/>
      <c r="G301" s="124"/>
      <c r="H301" s="124"/>
      <c r="I301" s="124"/>
      <c r="J301" s="124"/>
      <c r="K301" s="234">
        <f t="shared" si="25"/>
        <v>0</v>
      </c>
      <c r="L301" s="234">
        <f t="shared" si="25"/>
        <v>0</v>
      </c>
      <c r="M301" s="234">
        <f t="shared" si="25"/>
        <v>0</v>
      </c>
      <c r="N301" s="234">
        <f t="shared" si="25"/>
        <v>0</v>
      </c>
    </row>
    <row r="302" spans="1:14" x14ac:dyDescent="0.25">
      <c r="A302" s="232">
        <v>6450</v>
      </c>
      <c r="B302" s="108" t="s">
        <v>32</v>
      </c>
      <c r="C302" s="123"/>
      <c r="D302" s="363">
        <f t="shared" si="24"/>
        <v>0</v>
      </c>
      <c r="E302" s="124"/>
      <c r="F302" s="124"/>
      <c r="G302" s="124"/>
      <c r="H302" s="124"/>
      <c r="I302" s="124"/>
      <c r="J302" s="124"/>
      <c r="K302" s="234">
        <f t="shared" si="25"/>
        <v>0</v>
      </c>
      <c r="L302" s="234">
        <f t="shared" si="25"/>
        <v>0</v>
      </c>
      <c r="M302" s="234">
        <f t="shared" si="25"/>
        <v>0</v>
      </c>
      <c r="N302" s="234">
        <f t="shared" si="25"/>
        <v>0</v>
      </c>
    </row>
    <row r="303" spans="1:14" x14ac:dyDescent="0.25">
      <c r="A303" s="232">
        <v>6450</v>
      </c>
      <c r="B303" s="108" t="s">
        <v>685</v>
      </c>
      <c r="C303" s="123"/>
      <c r="D303" s="363">
        <f t="shared" si="24"/>
        <v>0</v>
      </c>
      <c r="E303" s="124"/>
      <c r="F303" s="124"/>
      <c r="G303" s="124"/>
      <c r="H303" s="124"/>
      <c r="I303" s="124"/>
      <c r="J303" s="124"/>
      <c r="K303" s="234">
        <f t="shared" si="25"/>
        <v>0</v>
      </c>
      <c r="L303" s="234">
        <f t="shared" si="25"/>
        <v>0</v>
      </c>
      <c r="M303" s="234">
        <f t="shared" si="25"/>
        <v>0</v>
      </c>
      <c r="N303" s="234">
        <f t="shared" si="25"/>
        <v>0</v>
      </c>
    </row>
    <row r="304" spans="1:14" x14ac:dyDescent="0.25">
      <c r="A304" s="232">
        <v>6450</v>
      </c>
      <c r="B304" s="108" t="s">
        <v>41</v>
      </c>
      <c r="C304" s="123"/>
      <c r="D304" s="363">
        <f t="shared" si="24"/>
        <v>0</v>
      </c>
      <c r="E304" s="124"/>
      <c r="F304" s="124"/>
      <c r="G304" s="124"/>
      <c r="H304" s="124"/>
      <c r="I304" s="124"/>
      <c r="J304" s="124"/>
      <c r="K304" s="234">
        <f t="shared" si="25"/>
        <v>0</v>
      </c>
      <c r="L304" s="234">
        <f t="shared" si="25"/>
        <v>0</v>
      </c>
      <c r="M304" s="234">
        <f t="shared" si="25"/>
        <v>0</v>
      </c>
      <c r="N304" s="234">
        <f t="shared" si="25"/>
        <v>0</v>
      </c>
    </row>
    <row r="305" spans="1:14" x14ac:dyDescent="0.25">
      <c r="A305" s="232">
        <v>6450</v>
      </c>
      <c r="B305" s="108" t="s">
        <v>775</v>
      </c>
      <c r="C305" s="123"/>
      <c r="D305" s="363">
        <f t="shared" si="24"/>
        <v>0</v>
      </c>
      <c r="E305" s="124"/>
      <c r="F305" s="124"/>
      <c r="G305" s="124"/>
      <c r="H305" s="124"/>
      <c r="I305" s="124"/>
      <c r="J305" s="124"/>
      <c r="K305" s="234">
        <f t="shared" si="25"/>
        <v>0</v>
      </c>
      <c r="L305" s="234">
        <f t="shared" si="25"/>
        <v>0</v>
      </c>
      <c r="M305" s="234">
        <f t="shared" si="25"/>
        <v>0</v>
      </c>
      <c r="N305" s="234">
        <f t="shared" si="25"/>
        <v>0</v>
      </c>
    </row>
    <row r="306" spans="1:14" x14ac:dyDescent="0.25">
      <c r="A306" s="232">
        <v>6450</v>
      </c>
      <c r="B306" s="108" t="s">
        <v>37</v>
      </c>
      <c r="C306" s="123"/>
      <c r="D306" s="363">
        <f t="shared" si="24"/>
        <v>0</v>
      </c>
      <c r="E306" s="124"/>
      <c r="F306" s="124"/>
      <c r="G306" s="124"/>
      <c r="H306" s="124"/>
      <c r="I306" s="124"/>
      <c r="J306" s="124"/>
      <c r="K306" s="234">
        <f t="shared" si="25"/>
        <v>0</v>
      </c>
      <c r="L306" s="234">
        <f t="shared" si="25"/>
        <v>0</v>
      </c>
      <c r="M306" s="234">
        <f t="shared" si="25"/>
        <v>0</v>
      </c>
      <c r="N306" s="234">
        <f t="shared" si="25"/>
        <v>0</v>
      </c>
    </row>
    <row r="307" spans="1:14" x14ac:dyDescent="0.25">
      <c r="A307" s="232">
        <v>6450</v>
      </c>
      <c r="B307" s="108" t="s">
        <v>29</v>
      </c>
      <c r="C307" s="123"/>
      <c r="D307" s="363">
        <f t="shared" si="24"/>
        <v>0</v>
      </c>
      <c r="E307" s="124"/>
      <c r="F307" s="124"/>
      <c r="G307" s="124"/>
      <c r="H307" s="124"/>
      <c r="I307" s="124"/>
      <c r="J307" s="124"/>
      <c r="K307" s="234">
        <f t="shared" si="25"/>
        <v>0</v>
      </c>
      <c r="L307" s="234">
        <f t="shared" si="25"/>
        <v>0</v>
      </c>
      <c r="M307" s="234">
        <f t="shared" si="25"/>
        <v>0</v>
      </c>
      <c r="N307" s="234">
        <f t="shared" si="25"/>
        <v>0</v>
      </c>
    </row>
    <row r="308" spans="1:14" x14ac:dyDescent="0.25">
      <c r="A308" s="232">
        <v>6450</v>
      </c>
      <c r="B308" s="108" t="s">
        <v>536</v>
      </c>
      <c r="C308" s="123"/>
      <c r="D308" s="363">
        <f t="shared" si="24"/>
        <v>0</v>
      </c>
      <c r="E308" s="124"/>
      <c r="F308" s="124"/>
      <c r="G308" s="124"/>
      <c r="H308" s="124"/>
      <c r="I308" s="124"/>
      <c r="J308" s="124"/>
      <c r="K308" s="234">
        <f t="shared" si="25"/>
        <v>0</v>
      </c>
      <c r="L308" s="234">
        <f t="shared" si="25"/>
        <v>0</v>
      </c>
      <c r="M308" s="234">
        <f t="shared" si="25"/>
        <v>0</v>
      </c>
      <c r="N308" s="234">
        <f t="shared" si="25"/>
        <v>0</v>
      </c>
    </row>
    <row r="309" spans="1:14" x14ac:dyDescent="0.25">
      <c r="A309" s="232">
        <v>6450</v>
      </c>
      <c r="B309" s="108" t="s">
        <v>36</v>
      </c>
      <c r="C309" s="123"/>
      <c r="D309" s="363">
        <f t="shared" si="24"/>
        <v>0</v>
      </c>
      <c r="E309" s="124"/>
      <c r="F309" s="124"/>
      <c r="G309" s="124"/>
      <c r="H309" s="124"/>
      <c r="I309" s="124"/>
      <c r="J309" s="124"/>
      <c r="K309" s="234">
        <f t="shared" si="25"/>
        <v>0</v>
      </c>
      <c r="L309" s="234">
        <f t="shared" si="25"/>
        <v>0</v>
      </c>
      <c r="M309" s="234">
        <f t="shared" si="25"/>
        <v>0</v>
      </c>
      <c r="N309" s="234">
        <f t="shared" si="25"/>
        <v>0</v>
      </c>
    </row>
    <row r="310" spans="1:14" x14ac:dyDescent="0.25">
      <c r="A310" s="232">
        <v>6450</v>
      </c>
      <c r="B310" s="85" t="s">
        <v>31</v>
      </c>
      <c r="C310" s="123"/>
      <c r="D310" s="363">
        <f t="shared" si="24"/>
        <v>0</v>
      </c>
      <c r="E310" s="124"/>
      <c r="F310" s="124"/>
      <c r="G310" s="124"/>
      <c r="H310" s="124"/>
      <c r="I310" s="124"/>
      <c r="J310" s="124"/>
      <c r="K310" s="234">
        <f t="shared" si="25"/>
        <v>0</v>
      </c>
      <c r="L310" s="234">
        <f t="shared" si="25"/>
        <v>0</v>
      </c>
      <c r="M310" s="234">
        <f t="shared" si="25"/>
        <v>0</v>
      </c>
      <c r="N310" s="234">
        <f t="shared" si="25"/>
        <v>0</v>
      </c>
    </row>
    <row r="311" spans="1:14" x14ac:dyDescent="0.25">
      <c r="A311" s="232">
        <v>6450</v>
      </c>
      <c r="B311" s="85" t="s">
        <v>30</v>
      </c>
      <c r="C311" s="123"/>
      <c r="D311" s="363">
        <f t="shared" si="24"/>
        <v>0</v>
      </c>
      <c r="E311" s="124"/>
      <c r="F311" s="124"/>
      <c r="G311" s="124"/>
      <c r="H311" s="124"/>
      <c r="I311" s="124"/>
      <c r="J311" s="124"/>
      <c r="K311" s="234">
        <f t="shared" si="25"/>
        <v>0</v>
      </c>
      <c r="L311" s="234">
        <f t="shared" si="25"/>
        <v>0</v>
      </c>
      <c r="M311" s="234">
        <f t="shared" si="25"/>
        <v>0</v>
      </c>
      <c r="N311" s="234">
        <f t="shared" si="25"/>
        <v>0</v>
      </c>
    </row>
    <row r="312" spans="1:14" x14ac:dyDescent="0.25">
      <c r="A312" s="232">
        <v>6450</v>
      </c>
      <c r="B312" s="85" t="s">
        <v>38</v>
      </c>
      <c r="C312" s="123"/>
      <c r="D312" s="363">
        <f t="shared" si="24"/>
        <v>1</v>
      </c>
      <c r="E312" s="124"/>
      <c r="F312" s="124"/>
      <c r="G312" s="124"/>
      <c r="H312" s="124"/>
      <c r="I312" s="124"/>
      <c r="J312" s="124"/>
      <c r="K312" s="234">
        <f t="shared" si="25"/>
        <v>1000</v>
      </c>
      <c r="L312" s="234">
        <f t="shared" si="25"/>
        <v>0</v>
      </c>
      <c r="M312" s="234">
        <f t="shared" si="25"/>
        <v>0</v>
      </c>
      <c r="N312" s="234">
        <f t="shared" si="25"/>
        <v>1000</v>
      </c>
    </row>
    <row r="313" spans="1:14" x14ac:dyDescent="0.25">
      <c r="A313" s="232">
        <v>6450</v>
      </c>
      <c r="B313" s="85" t="s">
        <v>684</v>
      </c>
      <c r="C313" s="123"/>
      <c r="D313" s="363">
        <f t="shared" si="24"/>
        <v>0</v>
      </c>
      <c r="E313" s="124"/>
      <c r="F313" s="124"/>
      <c r="G313" s="124"/>
      <c r="H313" s="124"/>
      <c r="I313" s="124"/>
      <c r="J313" s="124"/>
      <c r="K313" s="234">
        <f t="shared" si="25"/>
        <v>0</v>
      </c>
      <c r="L313" s="234">
        <f t="shared" si="25"/>
        <v>0</v>
      </c>
      <c r="M313" s="234">
        <f t="shared" si="25"/>
        <v>0</v>
      </c>
      <c r="N313" s="234">
        <f t="shared" si="25"/>
        <v>0</v>
      </c>
    </row>
    <row r="314" spans="1:14" x14ac:dyDescent="0.25">
      <c r="A314" s="232">
        <v>6450</v>
      </c>
      <c r="B314" s="85" t="s">
        <v>33</v>
      </c>
      <c r="C314" s="123"/>
      <c r="D314" s="363">
        <f t="shared" si="24"/>
        <v>0</v>
      </c>
      <c r="E314" s="124"/>
      <c r="F314" s="124"/>
      <c r="G314" s="124"/>
      <c r="H314" s="124"/>
      <c r="I314" s="124"/>
      <c r="J314" s="124"/>
      <c r="K314" s="234">
        <f t="shared" si="25"/>
        <v>0</v>
      </c>
      <c r="L314" s="234">
        <f t="shared" si="25"/>
        <v>0</v>
      </c>
      <c r="M314" s="234">
        <f t="shared" si="25"/>
        <v>0</v>
      </c>
      <c r="N314" s="234">
        <f t="shared" si="25"/>
        <v>0</v>
      </c>
    </row>
    <row r="315" spans="1:14" x14ac:dyDescent="0.25">
      <c r="A315" s="232">
        <v>6450</v>
      </c>
      <c r="B315" s="85" t="s">
        <v>35</v>
      </c>
      <c r="C315" s="123"/>
      <c r="D315" s="363">
        <f t="shared" si="24"/>
        <v>0</v>
      </c>
      <c r="E315" s="124"/>
      <c r="F315" s="124"/>
      <c r="G315" s="124"/>
      <c r="H315" s="124"/>
      <c r="I315" s="124"/>
      <c r="J315" s="124"/>
      <c r="K315" s="234">
        <f t="shared" si="25"/>
        <v>0</v>
      </c>
      <c r="L315" s="234">
        <f t="shared" si="25"/>
        <v>0</v>
      </c>
      <c r="M315" s="234">
        <f t="shared" si="25"/>
        <v>0</v>
      </c>
      <c r="N315" s="234">
        <f t="shared" si="25"/>
        <v>0</v>
      </c>
    </row>
    <row r="316" spans="1:14" x14ac:dyDescent="0.25">
      <c r="A316" s="232">
        <v>6450</v>
      </c>
      <c r="B316" s="108" t="s">
        <v>39</v>
      </c>
      <c r="C316" s="123"/>
      <c r="D316" s="363">
        <f t="shared" si="24"/>
        <v>0</v>
      </c>
      <c r="E316" s="124"/>
      <c r="F316" s="124"/>
      <c r="G316" s="124"/>
      <c r="H316" s="124"/>
      <c r="I316" s="124"/>
      <c r="J316" s="124"/>
      <c r="K316" s="234">
        <f t="shared" si="25"/>
        <v>0</v>
      </c>
      <c r="L316" s="234">
        <f t="shared" si="25"/>
        <v>0</v>
      </c>
      <c r="M316" s="234">
        <f t="shared" si="25"/>
        <v>0</v>
      </c>
      <c r="N316" s="234">
        <f t="shared" si="25"/>
        <v>0</v>
      </c>
    </row>
    <row r="317" spans="1:14" ht="15.75" thickBot="1" x14ac:dyDescent="0.3">
      <c r="A317" s="232">
        <v>6450</v>
      </c>
      <c r="B317" s="108" t="s">
        <v>34</v>
      </c>
      <c r="C317" s="123"/>
      <c r="D317" s="363">
        <f t="shared" si="24"/>
        <v>0</v>
      </c>
      <c r="E317" s="124"/>
      <c r="F317" s="124"/>
      <c r="G317" s="124"/>
      <c r="H317" s="124"/>
      <c r="I317" s="124"/>
      <c r="J317" s="124"/>
      <c r="K317" s="234">
        <f t="shared" si="25"/>
        <v>0</v>
      </c>
      <c r="L317" s="234">
        <f t="shared" si="25"/>
        <v>0</v>
      </c>
      <c r="M317" s="234">
        <f t="shared" si="25"/>
        <v>0</v>
      </c>
      <c r="N317" s="234">
        <f t="shared" si="25"/>
        <v>0</v>
      </c>
    </row>
    <row r="318" spans="1:14" x14ac:dyDescent="0.25">
      <c r="A318" s="231">
        <v>6362</v>
      </c>
      <c r="B318" s="119" t="s">
        <v>28</v>
      </c>
      <c r="C318" s="120"/>
      <c r="D318" s="352">
        <f t="shared" si="24"/>
        <v>0</v>
      </c>
      <c r="E318" s="121"/>
      <c r="F318" s="121"/>
      <c r="G318" s="121"/>
      <c r="H318" s="121"/>
      <c r="I318" s="121"/>
      <c r="J318" s="121"/>
      <c r="K318" s="236">
        <f t="shared" si="25"/>
        <v>0</v>
      </c>
      <c r="L318" s="236">
        <f t="shared" si="25"/>
        <v>0</v>
      </c>
      <c r="M318" s="236">
        <f t="shared" si="25"/>
        <v>0</v>
      </c>
      <c r="N318" s="236">
        <f t="shared" si="25"/>
        <v>0</v>
      </c>
    </row>
    <row r="319" spans="1:14" x14ac:dyDescent="0.25">
      <c r="A319" s="232">
        <v>6362</v>
      </c>
      <c r="B319" s="108" t="s">
        <v>27</v>
      </c>
      <c r="C319" s="123"/>
      <c r="D319" s="363">
        <f t="shared" si="24"/>
        <v>0</v>
      </c>
      <c r="E319" s="124"/>
      <c r="F319" s="124"/>
      <c r="G319" s="124"/>
      <c r="H319" s="124"/>
      <c r="I319" s="124"/>
      <c r="J319" s="124"/>
      <c r="K319" s="234">
        <f t="shared" si="25"/>
        <v>0</v>
      </c>
      <c r="L319" s="234">
        <f t="shared" si="25"/>
        <v>0</v>
      </c>
      <c r="M319" s="234">
        <f t="shared" si="25"/>
        <v>0</v>
      </c>
      <c r="N319" s="234">
        <f t="shared" si="25"/>
        <v>0</v>
      </c>
    </row>
    <row r="320" spans="1:14" x14ac:dyDescent="0.25">
      <c r="A320" s="232">
        <v>6362</v>
      </c>
      <c r="B320" s="108" t="s">
        <v>32</v>
      </c>
      <c r="C320" s="123"/>
      <c r="D320" s="363">
        <f t="shared" si="24"/>
        <v>0</v>
      </c>
      <c r="E320" s="124"/>
      <c r="F320" s="124"/>
      <c r="G320" s="124"/>
      <c r="H320" s="124"/>
      <c r="I320" s="124"/>
      <c r="J320" s="124"/>
      <c r="K320" s="234">
        <f t="shared" ref="K320:N339" si="26">SUMIFS(K$28:K$280,$A$28:$A$280,$A320,$B$28:$B$280,$B320)</f>
        <v>0</v>
      </c>
      <c r="L320" s="234">
        <f t="shared" si="26"/>
        <v>0</v>
      </c>
      <c r="M320" s="234">
        <f t="shared" si="26"/>
        <v>0</v>
      </c>
      <c r="N320" s="234">
        <f t="shared" si="26"/>
        <v>0</v>
      </c>
    </row>
    <row r="321" spans="1:14" x14ac:dyDescent="0.25">
      <c r="A321" s="232">
        <v>6362</v>
      </c>
      <c r="B321" s="108" t="s">
        <v>685</v>
      </c>
      <c r="C321" s="123"/>
      <c r="D321" s="363">
        <f t="shared" si="24"/>
        <v>0</v>
      </c>
      <c r="E321" s="124"/>
      <c r="F321" s="124"/>
      <c r="G321" s="124"/>
      <c r="H321" s="124"/>
      <c r="I321" s="124"/>
      <c r="J321" s="124"/>
      <c r="K321" s="234">
        <f t="shared" si="26"/>
        <v>0</v>
      </c>
      <c r="L321" s="234">
        <f t="shared" si="26"/>
        <v>0</v>
      </c>
      <c r="M321" s="234">
        <f t="shared" si="26"/>
        <v>0</v>
      </c>
      <c r="N321" s="234">
        <f t="shared" si="26"/>
        <v>0</v>
      </c>
    </row>
    <row r="322" spans="1:14" x14ac:dyDescent="0.25">
      <c r="A322" s="232">
        <v>6362</v>
      </c>
      <c r="B322" s="108" t="s">
        <v>41</v>
      </c>
      <c r="C322" s="123"/>
      <c r="D322" s="363">
        <f t="shared" si="24"/>
        <v>0</v>
      </c>
      <c r="E322" s="124"/>
      <c r="F322" s="124"/>
      <c r="G322" s="124"/>
      <c r="H322" s="124"/>
      <c r="I322" s="124"/>
      <c r="J322" s="124"/>
      <c r="K322" s="234">
        <f t="shared" si="26"/>
        <v>0</v>
      </c>
      <c r="L322" s="234">
        <f t="shared" si="26"/>
        <v>0</v>
      </c>
      <c r="M322" s="234">
        <f t="shared" si="26"/>
        <v>0</v>
      </c>
      <c r="N322" s="234">
        <f t="shared" si="26"/>
        <v>0</v>
      </c>
    </row>
    <row r="323" spans="1:14" x14ac:dyDescent="0.25">
      <c r="A323" s="232">
        <v>6362</v>
      </c>
      <c r="B323" s="108" t="s">
        <v>775</v>
      </c>
      <c r="C323" s="123"/>
      <c r="D323" s="363">
        <f t="shared" si="24"/>
        <v>0</v>
      </c>
      <c r="E323" s="124"/>
      <c r="F323" s="124"/>
      <c r="G323" s="124"/>
      <c r="H323" s="124"/>
      <c r="I323" s="124"/>
      <c r="J323" s="124"/>
      <c r="K323" s="234">
        <f t="shared" si="26"/>
        <v>0</v>
      </c>
      <c r="L323" s="234">
        <f t="shared" si="26"/>
        <v>0</v>
      </c>
      <c r="M323" s="234">
        <f t="shared" si="26"/>
        <v>0</v>
      </c>
      <c r="N323" s="234">
        <f t="shared" si="26"/>
        <v>0</v>
      </c>
    </row>
    <row r="324" spans="1:14" x14ac:dyDescent="0.25">
      <c r="A324" s="232">
        <v>6362</v>
      </c>
      <c r="B324" s="108" t="s">
        <v>37</v>
      </c>
      <c r="C324" s="123"/>
      <c r="D324" s="363">
        <f t="shared" si="24"/>
        <v>0</v>
      </c>
      <c r="E324" s="124"/>
      <c r="F324" s="124"/>
      <c r="G324" s="124"/>
      <c r="H324" s="124"/>
      <c r="I324" s="124"/>
      <c r="J324" s="124"/>
      <c r="K324" s="234">
        <f t="shared" si="26"/>
        <v>0</v>
      </c>
      <c r="L324" s="234">
        <f t="shared" si="26"/>
        <v>0</v>
      </c>
      <c r="M324" s="234">
        <f t="shared" si="26"/>
        <v>0</v>
      </c>
      <c r="N324" s="234">
        <f t="shared" si="26"/>
        <v>0</v>
      </c>
    </row>
    <row r="325" spans="1:14" x14ac:dyDescent="0.25">
      <c r="A325" s="232">
        <v>6362</v>
      </c>
      <c r="B325" s="108" t="s">
        <v>29</v>
      </c>
      <c r="C325" s="123"/>
      <c r="D325" s="363">
        <f t="shared" si="24"/>
        <v>0</v>
      </c>
      <c r="E325" s="124"/>
      <c r="F325" s="124"/>
      <c r="G325" s="124"/>
      <c r="H325" s="124"/>
      <c r="I325" s="124"/>
      <c r="J325" s="124"/>
      <c r="K325" s="234">
        <f t="shared" si="26"/>
        <v>0</v>
      </c>
      <c r="L325" s="234">
        <f t="shared" si="26"/>
        <v>0</v>
      </c>
      <c r="M325" s="234">
        <f t="shared" si="26"/>
        <v>0</v>
      </c>
      <c r="N325" s="234">
        <f t="shared" si="26"/>
        <v>0</v>
      </c>
    </row>
    <row r="326" spans="1:14" x14ac:dyDescent="0.25">
      <c r="A326" s="232">
        <v>6362</v>
      </c>
      <c r="B326" s="108" t="s">
        <v>536</v>
      </c>
      <c r="C326" s="123"/>
      <c r="D326" s="363">
        <f t="shared" si="24"/>
        <v>0</v>
      </c>
      <c r="E326" s="124"/>
      <c r="F326" s="124"/>
      <c r="G326" s="124"/>
      <c r="H326" s="124"/>
      <c r="I326" s="124"/>
      <c r="J326" s="124"/>
      <c r="K326" s="234">
        <f t="shared" si="26"/>
        <v>0</v>
      </c>
      <c r="L326" s="234">
        <f t="shared" si="26"/>
        <v>0</v>
      </c>
      <c r="M326" s="234">
        <f t="shared" si="26"/>
        <v>0</v>
      </c>
      <c r="N326" s="234">
        <f t="shared" si="26"/>
        <v>0</v>
      </c>
    </row>
    <row r="327" spans="1:14" x14ac:dyDescent="0.25">
      <c r="A327" s="232">
        <v>6362</v>
      </c>
      <c r="B327" s="108" t="s">
        <v>36</v>
      </c>
      <c r="C327" s="123"/>
      <c r="D327" s="363">
        <f t="shared" si="24"/>
        <v>2</v>
      </c>
      <c r="E327" s="124"/>
      <c r="F327" s="124"/>
      <c r="G327" s="124"/>
      <c r="H327" s="124"/>
      <c r="I327" s="124"/>
      <c r="J327" s="124"/>
      <c r="K327" s="234">
        <f t="shared" si="26"/>
        <v>63600</v>
      </c>
      <c r="L327" s="234">
        <f t="shared" si="26"/>
        <v>0</v>
      </c>
      <c r="M327" s="234">
        <f t="shared" si="26"/>
        <v>40000</v>
      </c>
      <c r="N327" s="234">
        <f t="shared" si="26"/>
        <v>64600</v>
      </c>
    </row>
    <row r="328" spans="1:14" x14ac:dyDescent="0.25">
      <c r="A328" s="232">
        <v>6362</v>
      </c>
      <c r="B328" s="85" t="s">
        <v>31</v>
      </c>
      <c r="C328" s="123"/>
      <c r="D328" s="363">
        <f t="shared" si="24"/>
        <v>1</v>
      </c>
      <c r="E328" s="124"/>
      <c r="F328" s="124"/>
      <c r="G328" s="124"/>
      <c r="H328" s="124"/>
      <c r="I328" s="124"/>
      <c r="J328" s="124"/>
      <c r="K328" s="234">
        <f t="shared" si="26"/>
        <v>0</v>
      </c>
      <c r="L328" s="234">
        <f t="shared" si="26"/>
        <v>0</v>
      </c>
      <c r="M328" s="234">
        <f t="shared" si="26"/>
        <v>0</v>
      </c>
      <c r="N328" s="234">
        <f t="shared" si="26"/>
        <v>0</v>
      </c>
    </row>
    <row r="329" spans="1:14" x14ac:dyDescent="0.25">
      <c r="A329" s="232">
        <v>6362</v>
      </c>
      <c r="B329" s="85" t="s">
        <v>30</v>
      </c>
      <c r="C329" s="123"/>
      <c r="D329" s="363">
        <f t="shared" si="24"/>
        <v>0</v>
      </c>
      <c r="E329" s="124"/>
      <c r="F329" s="124"/>
      <c r="G329" s="124"/>
      <c r="H329" s="124"/>
      <c r="I329" s="124"/>
      <c r="J329" s="124"/>
      <c r="K329" s="234">
        <f t="shared" si="26"/>
        <v>0</v>
      </c>
      <c r="L329" s="234">
        <f t="shared" si="26"/>
        <v>0</v>
      </c>
      <c r="M329" s="234">
        <f t="shared" si="26"/>
        <v>0</v>
      </c>
      <c r="N329" s="234">
        <f t="shared" si="26"/>
        <v>0</v>
      </c>
    </row>
    <row r="330" spans="1:14" x14ac:dyDescent="0.25">
      <c r="A330" s="232">
        <v>6362</v>
      </c>
      <c r="B330" s="85" t="s">
        <v>38</v>
      </c>
      <c r="C330" s="123"/>
      <c r="D330" s="363">
        <f t="shared" si="24"/>
        <v>0</v>
      </c>
      <c r="E330" s="124"/>
      <c r="F330" s="124"/>
      <c r="G330" s="124"/>
      <c r="H330" s="124"/>
      <c r="I330" s="124"/>
      <c r="J330" s="124"/>
      <c r="K330" s="234">
        <f t="shared" si="26"/>
        <v>0</v>
      </c>
      <c r="L330" s="234">
        <f t="shared" si="26"/>
        <v>0</v>
      </c>
      <c r="M330" s="234">
        <f t="shared" si="26"/>
        <v>0</v>
      </c>
      <c r="N330" s="234">
        <f t="shared" si="26"/>
        <v>0</v>
      </c>
    </row>
    <row r="331" spans="1:14" x14ac:dyDescent="0.25">
      <c r="A331" s="232">
        <v>6362</v>
      </c>
      <c r="B331" s="85" t="s">
        <v>684</v>
      </c>
      <c r="C331" s="123"/>
      <c r="D331" s="363">
        <f t="shared" si="24"/>
        <v>0</v>
      </c>
      <c r="E331" s="124"/>
      <c r="F331" s="124"/>
      <c r="G331" s="124"/>
      <c r="H331" s="124"/>
      <c r="I331" s="124"/>
      <c r="J331" s="124"/>
      <c r="K331" s="234">
        <f t="shared" si="26"/>
        <v>0</v>
      </c>
      <c r="L331" s="234">
        <f t="shared" si="26"/>
        <v>0</v>
      </c>
      <c r="M331" s="234">
        <f t="shared" si="26"/>
        <v>0</v>
      </c>
      <c r="N331" s="234">
        <f t="shared" si="26"/>
        <v>0</v>
      </c>
    </row>
    <row r="332" spans="1:14" x14ac:dyDescent="0.25">
      <c r="A332" s="232">
        <v>6362</v>
      </c>
      <c r="B332" s="85" t="s">
        <v>33</v>
      </c>
      <c r="C332" s="123"/>
      <c r="D332" s="363">
        <f t="shared" si="24"/>
        <v>1</v>
      </c>
      <c r="E332" s="124"/>
      <c r="F332" s="124"/>
      <c r="G332" s="124"/>
      <c r="H332" s="124"/>
      <c r="I332" s="124"/>
      <c r="J332" s="124"/>
      <c r="K332" s="234">
        <f t="shared" si="26"/>
        <v>0</v>
      </c>
      <c r="L332" s="234">
        <f t="shared" si="26"/>
        <v>0</v>
      </c>
      <c r="M332" s="234">
        <f t="shared" si="26"/>
        <v>0</v>
      </c>
      <c r="N332" s="234">
        <f t="shared" si="26"/>
        <v>0</v>
      </c>
    </row>
    <row r="333" spans="1:14" x14ac:dyDescent="0.25">
      <c r="A333" s="232">
        <v>6362</v>
      </c>
      <c r="B333" s="85" t="s">
        <v>35</v>
      </c>
      <c r="C333" s="123"/>
      <c r="D333" s="363">
        <f t="shared" si="24"/>
        <v>0</v>
      </c>
      <c r="E333" s="124"/>
      <c r="F333" s="124"/>
      <c r="G333" s="124"/>
      <c r="H333" s="124"/>
      <c r="I333" s="124"/>
      <c r="J333" s="124"/>
      <c r="K333" s="234">
        <f t="shared" si="26"/>
        <v>0</v>
      </c>
      <c r="L333" s="234">
        <f t="shared" si="26"/>
        <v>0</v>
      </c>
      <c r="M333" s="234">
        <f t="shared" si="26"/>
        <v>0</v>
      </c>
      <c r="N333" s="234">
        <f t="shared" si="26"/>
        <v>0</v>
      </c>
    </row>
    <row r="334" spans="1:14" x14ac:dyDescent="0.25">
      <c r="A334" s="232">
        <v>6362</v>
      </c>
      <c r="B334" s="108" t="s">
        <v>39</v>
      </c>
      <c r="C334" s="123"/>
      <c r="D334" s="363">
        <f t="shared" si="24"/>
        <v>0</v>
      </c>
      <c r="E334" s="124"/>
      <c r="F334" s="124"/>
      <c r="G334" s="124"/>
      <c r="H334" s="124"/>
      <c r="I334" s="124"/>
      <c r="J334" s="124"/>
      <c r="K334" s="234">
        <f t="shared" si="26"/>
        <v>0</v>
      </c>
      <c r="L334" s="234">
        <f t="shared" si="26"/>
        <v>0</v>
      </c>
      <c r="M334" s="234">
        <f t="shared" si="26"/>
        <v>0</v>
      </c>
      <c r="N334" s="234">
        <f t="shared" si="26"/>
        <v>0</v>
      </c>
    </row>
    <row r="335" spans="1:14" ht="15.75" thickBot="1" x14ac:dyDescent="0.3">
      <c r="A335" s="232">
        <v>6362</v>
      </c>
      <c r="B335" s="108" t="s">
        <v>34</v>
      </c>
      <c r="C335" s="123"/>
      <c r="D335" s="363">
        <f t="shared" si="24"/>
        <v>0</v>
      </c>
      <c r="E335" s="124"/>
      <c r="F335" s="124"/>
      <c r="G335" s="124"/>
      <c r="H335" s="124"/>
      <c r="I335" s="124"/>
      <c r="J335" s="124"/>
      <c r="K335" s="234">
        <f t="shared" si="26"/>
        <v>0</v>
      </c>
      <c r="L335" s="234">
        <f t="shared" si="26"/>
        <v>0</v>
      </c>
      <c r="M335" s="234">
        <f t="shared" si="26"/>
        <v>0</v>
      </c>
      <c r="N335" s="234">
        <f t="shared" si="26"/>
        <v>0</v>
      </c>
    </row>
    <row r="336" spans="1:14" x14ac:dyDescent="0.25">
      <c r="A336" s="231">
        <v>6380</v>
      </c>
      <c r="B336" s="119" t="s">
        <v>28</v>
      </c>
      <c r="C336" s="120"/>
      <c r="D336" s="352">
        <f t="shared" si="24"/>
        <v>0</v>
      </c>
      <c r="E336" s="121"/>
      <c r="F336" s="121"/>
      <c r="G336" s="121"/>
      <c r="H336" s="121"/>
      <c r="I336" s="121"/>
      <c r="J336" s="121"/>
      <c r="K336" s="236">
        <f t="shared" si="26"/>
        <v>0</v>
      </c>
      <c r="L336" s="236">
        <f t="shared" si="26"/>
        <v>0</v>
      </c>
      <c r="M336" s="236">
        <f t="shared" si="26"/>
        <v>0</v>
      </c>
      <c r="N336" s="236">
        <f t="shared" si="26"/>
        <v>0</v>
      </c>
    </row>
    <row r="337" spans="1:14" x14ac:dyDescent="0.25">
      <c r="A337" s="232">
        <v>6380</v>
      </c>
      <c r="B337" s="108" t="s">
        <v>27</v>
      </c>
      <c r="C337" s="123"/>
      <c r="D337" s="363">
        <f t="shared" si="24"/>
        <v>0</v>
      </c>
      <c r="E337" s="124"/>
      <c r="F337" s="124"/>
      <c r="G337" s="124"/>
      <c r="H337" s="124"/>
      <c r="I337" s="124"/>
      <c r="J337" s="124"/>
      <c r="K337" s="234">
        <f t="shared" si="26"/>
        <v>0</v>
      </c>
      <c r="L337" s="234">
        <f t="shared" si="26"/>
        <v>0</v>
      </c>
      <c r="M337" s="234">
        <f t="shared" si="26"/>
        <v>0</v>
      </c>
      <c r="N337" s="234">
        <f t="shared" si="26"/>
        <v>0</v>
      </c>
    </row>
    <row r="338" spans="1:14" x14ac:dyDescent="0.25">
      <c r="A338" s="232">
        <v>6380</v>
      </c>
      <c r="B338" s="108" t="s">
        <v>32</v>
      </c>
      <c r="C338" s="123"/>
      <c r="D338" s="363">
        <f t="shared" si="24"/>
        <v>0</v>
      </c>
      <c r="E338" s="124"/>
      <c r="F338" s="124"/>
      <c r="G338" s="124"/>
      <c r="H338" s="124"/>
      <c r="I338" s="124"/>
      <c r="J338" s="124"/>
      <c r="K338" s="234">
        <f t="shared" si="26"/>
        <v>0</v>
      </c>
      <c r="L338" s="234">
        <f t="shared" si="26"/>
        <v>0</v>
      </c>
      <c r="M338" s="234">
        <f t="shared" si="26"/>
        <v>0</v>
      </c>
      <c r="N338" s="234">
        <f t="shared" si="26"/>
        <v>0</v>
      </c>
    </row>
    <row r="339" spans="1:14" x14ac:dyDescent="0.25">
      <c r="A339" s="232">
        <v>6380</v>
      </c>
      <c r="B339" s="108" t="s">
        <v>685</v>
      </c>
      <c r="C339" s="123"/>
      <c r="D339" s="363">
        <f t="shared" si="24"/>
        <v>1</v>
      </c>
      <c r="E339" s="124"/>
      <c r="F339" s="124"/>
      <c r="G339" s="124"/>
      <c r="H339" s="124"/>
      <c r="I339" s="124"/>
      <c r="J339" s="124"/>
      <c r="K339" s="234">
        <f t="shared" si="26"/>
        <v>300</v>
      </c>
      <c r="L339" s="234">
        <f t="shared" si="26"/>
        <v>0</v>
      </c>
      <c r="M339" s="234">
        <f t="shared" si="26"/>
        <v>79.989999999999995</v>
      </c>
      <c r="N339" s="234">
        <f t="shared" si="26"/>
        <v>300</v>
      </c>
    </row>
    <row r="340" spans="1:14" x14ac:dyDescent="0.25">
      <c r="A340" s="232">
        <v>6380</v>
      </c>
      <c r="B340" s="108" t="s">
        <v>41</v>
      </c>
      <c r="C340" s="123"/>
      <c r="D340" s="363">
        <f t="shared" si="24"/>
        <v>0</v>
      </c>
      <c r="E340" s="124"/>
      <c r="F340" s="124"/>
      <c r="G340" s="124"/>
      <c r="H340" s="124"/>
      <c r="I340" s="124"/>
      <c r="J340" s="124"/>
      <c r="K340" s="234">
        <f t="shared" ref="K340:N359" si="27">SUMIFS(K$28:K$280,$A$28:$A$280,$A340,$B$28:$B$280,$B340)</f>
        <v>0</v>
      </c>
      <c r="L340" s="234">
        <f t="shared" si="27"/>
        <v>0</v>
      </c>
      <c r="M340" s="234">
        <f t="shared" si="27"/>
        <v>0</v>
      </c>
      <c r="N340" s="234">
        <f t="shared" si="27"/>
        <v>0</v>
      </c>
    </row>
    <row r="341" spans="1:14" x14ac:dyDescent="0.25">
      <c r="A341" s="232">
        <v>6380</v>
      </c>
      <c r="B341" s="108" t="s">
        <v>775</v>
      </c>
      <c r="C341" s="123"/>
      <c r="D341" s="363">
        <f t="shared" si="24"/>
        <v>0</v>
      </c>
      <c r="E341" s="124"/>
      <c r="F341" s="124"/>
      <c r="G341" s="124"/>
      <c r="H341" s="124"/>
      <c r="I341" s="124"/>
      <c r="J341" s="124"/>
      <c r="K341" s="234">
        <f t="shared" si="27"/>
        <v>0</v>
      </c>
      <c r="L341" s="234">
        <f t="shared" si="27"/>
        <v>0</v>
      </c>
      <c r="M341" s="234">
        <f t="shared" si="27"/>
        <v>0</v>
      </c>
      <c r="N341" s="234">
        <f t="shared" si="27"/>
        <v>0</v>
      </c>
    </row>
    <row r="342" spans="1:14" x14ac:dyDescent="0.25">
      <c r="A342" s="232">
        <v>6380</v>
      </c>
      <c r="B342" s="108" t="s">
        <v>37</v>
      </c>
      <c r="C342" s="123"/>
      <c r="D342" s="363">
        <f t="shared" si="24"/>
        <v>0</v>
      </c>
      <c r="E342" s="124"/>
      <c r="F342" s="124"/>
      <c r="G342" s="124"/>
      <c r="H342" s="124"/>
      <c r="I342" s="124"/>
      <c r="J342" s="124"/>
      <c r="K342" s="234">
        <f t="shared" si="27"/>
        <v>0</v>
      </c>
      <c r="L342" s="234">
        <f t="shared" si="27"/>
        <v>0</v>
      </c>
      <c r="M342" s="234">
        <f t="shared" si="27"/>
        <v>0</v>
      </c>
      <c r="N342" s="234">
        <f t="shared" si="27"/>
        <v>0</v>
      </c>
    </row>
    <row r="343" spans="1:14" x14ac:dyDescent="0.25">
      <c r="A343" s="232">
        <v>6380</v>
      </c>
      <c r="B343" s="108" t="s">
        <v>29</v>
      </c>
      <c r="C343" s="123"/>
      <c r="D343" s="363">
        <f t="shared" si="24"/>
        <v>0</v>
      </c>
      <c r="E343" s="124"/>
      <c r="F343" s="124"/>
      <c r="G343" s="124"/>
      <c r="H343" s="124"/>
      <c r="I343" s="124"/>
      <c r="J343" s="124"/>
      <c r="K343" s="234">
        <f t="shared" si="27"/>
        <v>0</v>
      </c>
      <c r="L343" s="234">
        <f t="shared" si="27"/>
        <v>0</v>
      </c>
      <c r="M343" s="234">
        <f t="shared" si="27"/>
        <v>0</v>
      </c>
      <c r="N343" s="234">
        <f t="shared" si="27"/>
        <v>0</v>
      </c>
    </row>
    <row r="344" spans="1:14" x14ac:dyDescent="0.25">
      <c r="A344" s="232">
        <v>6380</v>
      </c>
      <c r="B344" s="108" t="s">
        <v>536</v>
      </c>
      <c r="C344" s="123"/>
      <c r="D344" s="363">
        <f t="shared" si="24"/>
        <v>1</v>
      </c>
      <c r="E344" s="124"/>
      <c r="F344" s="124"/>
      <c r="G344" s="124"/>
      <c r="H344" s="124"/>
      <c r="I344" s="124"/>
      <c r="J344" s="124"/>
      <c r="K344" s="234">
        <f t="shared" si="27"/>
        <v>500</v>
      </c>
      <c r="L344" s="234">
        <f t="shared" si="27"/>
        <v>0</v>
      </c>
      <c r="M344" s="234">
        <f t="shared" si="27"/>
        <v>0</v>
      </c>
      <c r="N344" s="234">
        <f t="shared" si="27"/>
        <v>500</v>
      </c>
    </row>
    <row r="345" spans="1:14" x14ac:dyDescent="0.25">
      <c r="A345" s="232">
        <v>6380</v>
      </c>
      <c r="B345" s="108" t="s">
        <v>36</v>
      </c>
      <c r="C345" s="123"/>
      <c r="D345" s="363">
        <f t="shared" si="24"/>
        <v>4</v>
      </c>
      <c r="E345" s="124"/>
      <c r="F345" s="124"/>
      <c r="G345" s="124"/>
      <c r="H345" s="124"/>
      <c r="I345" s="124"/>
      <c r="J345" s="124"/>
      <c r="K345" s="234">
        <f t="shared" si="27"/>
        <v>12808.04</v>
      </c>
      <c r="L345" s="234">
        <f t="shared" si="27"/>
        <v>0</v>
      </c>
      <c r="M345" s="234">
        <f t="shared" si="27"/>
        <v>5500</v>
      </c>
      <c r="N345" s="234">
        <f t="shared" si="27"/>
        <v>14400</v>
      </c>
    </row>
    <row r="346" spans="1:14" x14ac:dyDescent="0.25">
      <c r="A346" s="232">
        <v>6380</v>
      </c>
      <c r="B346" s="85" t="s">
        <v>31</v>
      </c>
      <c r="C346" s="123"/>
      <c r="D346" s="363">
        <f t="shared" si="24"/>
        <v>1</v>
      </c>
      <c r="E346" s="124"/>
      <c r="F346" s="124"/>
      <c r="G346" s="124"/>
      <c r="H346" s="124"/>
      <c r="I346" s="124"/>
      <c r="J346" s="124"/>
      <c r="K346" s="234">
        <f t="shared" si="27"/>
        <v>0</v>
      </c>
      <c r="L346" s="234">
        <f t="shared" si="27"/>
        <v>0</v>
      </c>
      <c r="M346" s="234">
        <f t="shared" si="27"/>
        <v>0</v>
      </c>
      <c r="N346" s="234">
        <f t="shared" si="27"/>
        <v>1200</v>
      </c>
    </row>
    <row r="347" spans="1:14" x14ac:dyDescent="0.25">
      <c r="A347" s="232">
        <v>6380</v>
      </c>
      <c r="B347" s="85" t="s">
        <v>30</v>
      </c>
      <c r="C347" s="123"/>
      <c r="D347" s="363">
        <f t="shared" si="24"/>
        <v>1</v>
      </c>
      <c r="E347" s="124"/>
      <c r="F347" s="124"/>
      <c r="G347" s="124"/>
      <c r="H347" s="124"/>
      <c r="I347" s="124"/>
      <c r="J347" s="124"/>
      <c r="K347" s="234">
        <f t="shared" si="27"/>
        <v>1000</v>
      </c>
      <c r="L347" s="234">
        <f t="shared" si="27"/>
        <v>0</v>
      </c>
      <c r="M347" s="234">
        <f t="shared" si="27"/>
        <v>0</v>
      </c>
      <c r="N347" s="234">
        <f t="shared" si="27"/>
        <v>1000</v>
      </c>
    </row>
    <row r="348" spans="1:14" x14ac:dyDescent="0.25">
      <c r="A348" s="232">
        <v>6380</v>
      </c>
      <c r="B348" s="85" t="s">
        <v>38</v>
      </c>
      <c r="C348" s="123"/>
      <c r="D348" s="363">
        <f t="shared" si="24"/>
        <v>0</v>
      </c>
      <c r="E348" s="124"/>
      <c r="F348" s="124"/>
      <c r="G348" s="124"/>
      <c r="H348" s="124"/>
      <c r="I348" s="124"/>
      <c r="J348" s="124"/>
      <c r="K348" s="234">
        <f t="shared" si="27"/>
        <v>0</v>
      </c>
      <c r="L348" s="234">
        <f t="shared" si="27"/>
        <v>0</v>
      </c>
      <c r="M348" s="234">
        <f t="shared" si="27"/>
        <v>0</v>
      </c>
      <c r="N348" s="234">
        <f t="shared" si="27"/>
        <v>0</v>
      </c>
    </row>
    <row r="349" spans="1:14" x14ac:dyDescent="0.25">
      <c r="A349" s="232">
        <v>6380</v>
      </c>
      <c r="B349" s="85" t="s">
        <v>684</v>
      </c>
      <c r="C349" s="123"/>
      <c r="D349" s="363">
        <f t="shared" si="24"/>
        <v>0</v>
      </c>
      <c r="E349" s="124"/>
      <c r="F349" s="124"/>
      <c r="G349" s="124"/>
      <c r="H349" s="124"/>
      <c r="I349" s="124"/>
      <c r="J349" s="124"/>
      <c r="K349" s="234">
        <f t="shared" si="27"/>
        <v>0</v>
      </c>
      <c r="L349" s="234">
        <f t="shared" si="27"/>
        <v>0</v>
      </c>
      <c r="M349" s="234">
        <f t="shared" si="27"/>
        <v>0</v>
      </c>
      <c r="N349" s="234">
        <f t="shared" si="27"/>
        <v>0</v>
      </c>
    </row>
    <row r="350" spans="1:14" x14ac:dyDescent="0.25">
      <c r="A350" s="232">
        <v>6380</v>
      </c>
      <c r="B350" s="85" t="s">
        <v>33</v>
      </c>
      <c r="C350" s="123"/>
      <c r="D350" s="363">
        <f t="shared" si="24"/>
        <v>0</v>
      </c>
      <c r="E350" s="124"/>
      <c r="F350" s="124"/>
      <c r="G350" s="124"/>
      <c r="H350" s="124"/>
      <c r="I350" s="124"/>
      <c r="J350" s="124"/>
      <c r="K350" s="234">
        <f t="shared" si="27"/>
        <v>0</v>
      </c>
      <c r="L350" s="234">
        <f t="shared" si="27"/>
        <v>0</v>
      </c>
      <c r="M350" s="234">
        <f t="shared" si="27"/>
        <v>0</v>
      </c>
      <c r="N350" s="234">
        <f t="shared" si="27"/>
        <v>0</v>
      </c>
    </row>
    <row r="351" spans="1:14" x14ac:dyDescent="0.25">
      <c r="A351" s="232">
        <v>6380</v>
      </c>
      <c r="B351" s="85" t="s">
        <v>35</v>
      </c>
      <c r="C351" s="123"/>
      <c r="D351" s="363">
        <f t="shared" si="24"/>
        <v>0</v>
      </c>
      <c r="E351" s="124"/>
      <c r="F351" s="124"/>
      <c r="G351" s="124"/>
      <c r="H351" s="124"/>
      <c r="I351" s="124"/>
      <c r="J351" s="124"/>
      <c r="K351" s="234">
        <f t="shared" si="27"/>
        <v>0</v>
      </c>
      <c r="L351" s="234">
        <f t="shared" si="27"/>
        <v>0</v>
      </c>
      <c r="M351" s="234">
        <f t="shared" si="27"/>
        <v>0</v>
      </c>
      <c r="N351" s="234">
        <f t="shared" si="27"/>
        <v>0</v>
      </c>
    </row>
    <row r="352" spans="1:14" x14ac:dyDescent="0.25">
      <c r="A352" s="232">
        <v>6380</v>
      </c>
      <c r="B352" s="108" t="s">
        <v>39</v>
      </c>
      <c r="C352" s="123"/>
      <c r="D352" s="363">
        <f t="shared" si="24"/>
        <v>0</v>
      </c>
      <c r="E352" s="124"/>
      <c r="F352" s="124"/>
      <c r="G352" s="124"/>
      <c r="H352" s="124"/>
      <c r="I352" s="124"/>
      <c r="J352" s="124"/>
      <c r="K352" s="234">
        <f t="shared" si="27"/>
        <v>0</v>
      </c>
      <c r="L352" s="234">
        <f t="shared" si="27"/>
        <v>0</v>
      </c>
      <c r="M352" s="234">
        <f t="shared" si="27"/>
        <v>0</v>
      </c>
      <c r="N352" s="234">
        <f t="shared" si="27"/>
        <v>0</v>
      </c>
    </row>
    <row r="353" spans="1:14" ht="15.75" thickBot="1" x14ac:dyDescent="0.3">
      <c r="A353" s="232">
        <v>6380</v>
      </c>
      <c r="B353" s="108" t="s">
        <v>34</v>
      </c>
      <c r="C353" s="123"/>
      <c r="D353" s="363">
        <f t="shared" si="24"/>
        <v>0</v>
      </c>
      <c r="E353" s="124"/>
      <c r="F353" s="124"/>
      <c r="G353" s="124"/>
      <c r="H353" s="124"/>
      <c r="I353" s="124"/>
      <c r="J353" s="124"/>
      <c r="K353" s="234">
        <f t="shared" si="27"/>
        <v>0</v>
      </c>
      <c r="L353" s="234">
        <f t="shared" si="27"/>
        <v>0</v>
      </c>
      <c r="M353" s="234">
        <f t="shared" si="27"/>
        <v>0</v>
      </c>
      <c r="N353" s="234">
        <f t="shared" si="27"/>
        <v>0</v>
      </c>
    </row>
    <row r="354" spans="1:14" x14ac:dyDescent="0.25">
      <c r="A354" s="231">
        <v>6364</v>
      </c>
      <c r="B354" s="119" t="s">
        <v>28</v>
      </c>
      <c r="C354" s="120"/>
      <c r="D354" s="352">
        <f t="shared" si="24"/>
        <v>0</v>
      </c>
      <c r="E354" s="121"/>
      <c r="F354" s="121"/>
      <c r="G354" s="121"/>
      <c r="H354" s="121"/>
      <c r="I354" s="121"/>
      <c r="J354" s="121"/>
      <c r="K354" s="236">
        <f t="shared" si="27"/>
        <v>0</v>
      </c>
      <c r="L354" s="236">
        <f t="shared" si="27"/>
        <v>0</v>
      </c>
      <c r="M354" s="236">
        <f t="shared" si="27"/>
        <v>0</v>
      </c>
      <c r="N354" s="236">
        <f t="shared" si="27"/>
        <v>0</v>
      </c>
    </row>
    <row r="355" spans="1:14" x14ac:dyDescent="0.25">
      <c r="A355" s="232">
        <v>6364</v>
      </c>
      <c r="B355" s="108" t="s">
        <v>27</v>
      </c>
      <c r="C355" s="123"/>
      <c r="D355" s="363">
        <f t="shared" si="24"/>
        <v>0</v>
      </c>
      <c r="E355" s="124"/>
      <c r="F355" s="124"/>
      <c r="G355" s="124"/>
      <c r="H355" s="124"/>
      <c r="I355" s="124"/>
      <c r="J355" s="124"/>
      <c r="K355" s="234">
        <f t="shared" si="27"/>
        <v>0</v>
      </c>
      <c r="L355" s="234">
        <f t="shared" si="27"/>
        <v>0</v>
      </c>
      <c r="M355" s="234">
        <f t="shared" si="27"/>
        <v>0</v>
      </c>
      <c r="N355" s="234">
        <f t="shared" si="27"/>
        <v>0</v>
      </c>
    </row>
    <row r="356" spans="1:14" x14ac:dyDescent="0.25">
      <c r="A356" s="232">
        <v>6364</v>
      </c>
      <c r="B356" s="108" t="s">
        <v>32</v>
      </c>
      <c r="C356" s="123"/>
      <c r="D356" s="363">
        <f t="shared" si="24"/>
        <v>0</v>
      </c>
      <c r="E356" s="124"/>
      <c r="F356" s="124"/>
      <c r="G356" s="124"/>
      <c r="H356" s="124"/>
      <c r="I356" s="124"/>
      <c r="J356" s="124"/>
      <c r="K356" s="234">
        <f t="shared" si="27"/>
        <v>0</v>
      </c>
      <c r="L356" s="234">
        <f t="shared" si="27"/>
        <v>0</v>
      </c>
      <c r="M356" s="234">
        <f t="shared" si="27"/>
        <v>0</v>
      </c>
      <c r="N356" s="234">
        <f t="shared" si="27"/>
        <v>0</v>
      </c>
    </row>
    <row r="357" spans="1:14" x14ac:dyDescent="0.25">
      <c r="A357" s="232">
        <v>6364</v>
      </c>
      <c r="B357" s="108" t="s">
        <v>685</v>
      </c>
      <c r="C357" s="123"/>
      <c r="D357" s="363">
        <f t="shared" si="24"/>
        <v>0</v>
      </c>
      <c r="E357" s="124"/>
      <c r="F357" s="124"/>
      <c r="G357" s="124"/>
      <c r="H357" s="124"/>
      <c r="I357" s="124"/>
      <c r="J357" s="124"/>
      <c r="K357" s="234">
        <f t="shared" si="27"/>
        <v>0</v>
      </c>
      <c r="L357" s="234">
        <f t="shared" si="27"/>
        <v>0</v>
      </c>
      <c r="M357" s="234">
        <f t="shared" si="27"/>
        <v>0</v>
      </c>
      <c r="N357" s="234">
        <f t="shared" si="27"/>
        <v>0</v>
      </c>
    </row>
    <row r="358" spans="1:14" x14ac:dyDescent="0.25">
      <c r="A358" s="232">
        <v>6364</v>
      </c>
      <c r="B358" s="108" t="s">
        <v>41</v>
      </c>
      <c r="C358" s="123"/>
      <c r="D358" s="363">
        <f t="shared" si="24"/>
        <v>0</v>
      </c>
      <c r="E358" s="124"/>
      <c r="F358" s="124"/>
      <c r="G358" s="124"/>
      <c r="H358" s="124"/>
      <c r="I358" s="124"/>
      <c r="J358" s="124"/>
      <c r="K358" s="234">
        <f t="shared" si="27"/>
        <v>0</v>
      </c>
      <c r="L358" s="234">
        <f t="shared" si="27"/>
        <v>0</v>
      </c>
      <c r="M358" s="234">
        <f t="shared" si="27"/>
        <v>0</v>
      </c>
      <c r="N358" s="234">
        <f t="shared" si="27"/>
        <v>0</v>
      </c>
    </row>
    <row r="359" spans="1:14" x14ac:dyDescent="0.25">
      <c r="A359" s="232">
        <v>6364</v>
      </c>
      <c r="B359" s="108" t="s">
        <v>775</v>
      </c>
      <c r="C359" s="123"/>
      <c r="D359" s="363">
        <f t="shared" si="24"/>
        <v>0</v>
      </c>
      <c r="E359" s="124"/>
      <c r="F359" s="124"/>
      <c r="G359" s="124"/>
      <c r="H359" s="124"/>
      <c r="I359" s="124"/>
      <c r="J359" s="124"/>
      <c r="K359" s="234">
        <f t="shared" si="27"/>
        <v>0</v>
      </c>
      <c r="L359" s="234">
        <f t="shared" si="27"/>
        <v>0</v>
      </c>
      <c r="M359" s="234">
        <f t="shared" si="27"/>
        <v>0</v>
      </c>
      <c r="N359" s="234">
        <f t="shared" si="27"/>
        <v>0</v>
      </c>
    </row>
    <row r="360" spans="1:14" x14ac:dyDescent="0.25">
      <c r="A360" s="232">
        <v>6364</v>
      </c>
      <c r="B360" s="108" t="s">
        <v>37</v>
      </c>
      <c r="C360" s="123"/>
      <c r="D360" s="363">
        <f t="shared" si="24"/>
        <v>0</v>
      </c>
      <c r="E360" s="124"/>
      <c r="F360" s="124"/>
      <c r="G360" s="124"/>
      <c r="H360" s="124"/>
      <c r="I360" s="124"/>
      <c r="J360" s="124"/>
      <c r="K360" s="234">
        <f t="shared" ref="K360:N379" si="28">SUMIFS(K$28:K$280,$A$28:$A$280,$A360,$B$28:$B$280,$B360)</f>
        <v>0</v>
      </c>
      <c r="L360" s="234">
        <f t="shared" si="28"/>
        <v>0</v>
      </c>
      <c r="M360" s="234">
        <f t="shared" si="28"/>
        <v>0</v>
      </c>
      <c r="N360" s="234">
        <f t="shared" si="28"/>
        <v>0</v>
      </c>
    </row>
    <row r="361" spans="1:14" x14ac:dyDescent="0.25">
      <c r="A361" s="232">
        <v>6364</v>
      </c>
      <c r="B361" s="108" t="s">
        <v>29</v>
      </c>
      <c r="C361" s="123"/>
      <c r="D361" s="363">
        <f t="shared" si="24"/>
        <v>0</v>
      </c>
      <c r="E361" s="124"/>
      <c r="F361" s="124"/>
      <c r="G361" s="124"/>
      <c r="H361" s="124"/>
      <c r="I361" s="124"/>
      <c r="J361" s="124"/>
      <c r="K361" s="234">
        <f t="shared" si="28"/>
        <v>0</v>
      </c>
      <c r="L361" s="234">
        <f t="shared" si="28"/>
        <v>0</v>
      </c>
      <c r="M361" s="234">
        <f t="shared" si="28"/>
        <v>0</v>
      </c>
      <c r="N361" s="234">
        <f t="shared" si="28"/>
        <v>0</v>
      </c>
    </row>
    <row r="362" spans="1:14" x14ac:dyDescent="0.25">
      <c r="A362" s="232">
        <v>6364</v>
      </c>
      <c r="B362" s="108" t="s">
        <v>536</v>
      </c>
      <c r="C362" s="123"/>
      <c r="D362" s="363">
        <f t="shared" si="24"/>
        <v>0</v>
      </c>
      <c r="E362" s="124"/>
      <c r="F362" s="124"/>
      <c r="G362" s="124"/>
      <c r="H362" s="124"/>
      <c r="I362" s="124"/>
      <c r="J362" s="124"/>
      <c r="K362" s="234">
        <f t="shared" si="28"/>
        <v>0</v>
      </c>
      <c r="L362" s="234">
        <f t="shared" si="28"/>
        <v>0</v>
      </c>
      <c r="M362" s="234">
        <f t="shared" si="28"/>
        <v>0</v>
      </c>
      <c r="N362" s="234">
        <f t="shared" si="28"/>
        <v>0</v>
      </c>
    </row>
    <row r="363" spans="1:14" x14ac:dyDescent="0.25">
      <c r="A363" s="232">
        <v>6364</v>
      </c>
      <c r="B363" s="108" t="s">
        <v>36</v>
      </c>
      <c r="C363" s="123"/>
      <c r="D363" s="363">
        <f t="shared" si="24"/>
        <v>2</v>
      </c>
      <c r="E363" s="124"/>
      <c r="F363" s="124"/>
      <c r="G363" s="124"/>
      <c r="H363" s="124"/>
      <c r="I363" s="124"/>
      <c r="J363" s="124"/>
      <c r="K363" s="234">
        <f t="shared" si="28"/>
        <v>5896.9</v>
      </c>
      <c r="L363" s="234">
        <f t="shared" si="28"/>
        <v>0</v>
      </c>
      <c r="M363" s="234">
        <f t="shared" si="28"/>
        <v>0</v>
      </c>
      <c r="N363" s="234">
        <f t="shared" si="28"/>
        <v>6000</v>
      </c>
    </row>
    <row r="364" spans="1:14" x14ac:dyDescent="0.25">
      <c r="A364" s="232">
        <v>6364</v>
      </c>
      <c r="B364" s="85" t="s">
        <v>31</v>
      </c>
      <c r="C364" s="123"/>
      <c r="D364" s="363">
        <f t="shared" ref="D364:D427" si="29">COUNTIFS($A$28:$A$280,$A364,$B$28:$B$280,$B364)</f>
        <v>0</v>
      </c>
      <c r="E364" s="124"/>
      <c r="F364" s="124"/>
      <c r="G364" s="124"/>
      <c r="H364" s="124"/>
      <c r="I364" s="124"/>
      <c r="J364" s="124"/>
      <c r="K364" s="234">
        <f t="shared" si="28"/>
        <v>0</v>
      </c>
      <c r="L364" s="234">
        <f t="shared" si="28"/>
        <v>0</v>
      </c>
      <c r="M364" s="234">
        <f t="shared" si="28"/>
        <v>0</v>
      </c>
      <c r="N364" s="234">
        <f t="shared" si="28"/>
        <v>0</v>
      </c>
    </row>
    <row r="365" spans="1:14" x14ac:dyDescent="0.25">
      <c r="A365" s="232">
        <v>6364</v>
      </c>
      <c r="B365" s="85" t="s">
        <v>30</v>
      </c>
      <c r="C365" s="123"/>
      <c r="D365" s="363">
        <f t="shared" si="29"/>
        <v>0</v>
      </c>
      <c r="E365" s="124"/>
      <c r="F365" s="124"/>
      <c r="G365" s="124"/>
      <c r="H365" s="124"/>
      <c r="I365" s="124"/>
      <c r="J365" s="124"/>
      <c r="K365" s="234">
        <f t="shared" si="28"/>
        <v>0</v>
      </c>
      <c r="L365" s="234">
        <f t="shared" si="28"/>
        <v>0</v>
      </c>
      <c r="M365" s="234">
        <f t="shared" si="28"/>
        <v>0</v>
      </c>
      <c r="N365" s="234">
        <f t="shared" si="28"/>
        <v>0</v>
      </c>
    </row>
    <row r="366" spans="1:14" x14ac:dyDescent="0.25">
      <c r="A366" s="232">
        <v>6364</v>
      </c>
      <c r="B366" s="85" t="s">
        <v>38</v>
      </c>
      <c r="C366" s="123"/>
      <c r="D366" s="363">
        <f t="shared" si="29"/>
        <v>0</v>
      </c>
      <c r="E366" s="124"/>
      <c r="F366" s="124"/>
      <c r="G366" s="124"/>
      <c r="H366" s="124"/>
      <c r="I366" s="124"/>
      <c r="J366" s="124"/>
      <c r="K366" s="234">
        <f t="shared" si="28"/>
        <v>0</v>
      </c>
      <c r="L366" s="234">
        <f t="shared" si="28"/>
        <v>0</v>
      </c>
      <c r="M366" s="234">
        <f t="shared" si="28"/>
        <v>0</v>
      </c>
      <c r="N366" s="234">
        <f t="shared" si="28"/>
        <v>0</v>
      </c>
    </row>
    <row r="367" spans="1:14" x14ac:dyDescent="0.25">
      <c r="A367" s="232">
        <v>6364</v>
      </c>
      <c r="B367" s="85" t="s">
        <v>684</v>
      </c>
      <c r="C367" s="123"/>
      <c r="D367" s="363">
        <f t="shared" si="29"/>
        <v>0</v>
      </c>
      <c r="E367" s="124"/>
      <c r="F367" s="124"/>
      <c r="G367" s="124"/>
      <c r="H367" s="124"/>
      <c r="I367" s="124"/>
      <c r="J367" s="124"/>
      <c r="K367" s="234">
        <f t="shared" si="28"/>
        <v>0</v>
      </c>
      <c r="L367" s="234">
        <f t="shared" si="28"/>
        <v>0</v>
      </c>
      <c r="M367" s="234">
        <f t="shared" si="28"/>
        <v>0</v>
      </c>
      <c r="N367" s="234">
        <f t="shared" si="28"/>
        <v>0</v>
      </c>
    </row>
    <row r="368" spans="1:14" x14ac:dyDescent="0.25">
      <c r="A368" s="232">
        <v>6364</v>
      </c>
      <c r="B368" s="85" t="s">
        <v>33</v>
      </c>
      <c r="C368" s="123"/>
      <c r="D368" s="363">
        <f t="shared" si="29"/>
        <v>0</v>
      </c>
      <c r="E368" s="124"/>
      <c r="F368" s="124"/>
      <c r="G368" s="124"/>
      <c r="H368" s="124"/>
      <c r="I368" s="124"/>
      <c r="J368" s="124"/>
      <c r="K368" s="234">
        <f t="shared" si="28"/>
        <v>0</v>
      </c>
      <c r="L368" s="234">
        <f t="shared" si="28"/>
        <v>0</v>
      </c>
      <c r="M368" s="234">
        <f t="shared" si="28"/>
        <v>0</v>
      </c>
      <c r="N368" s="234">
        <f t="shared" si="28"/>
        <v>0</v>
      </c>
    </row>
    <row r="369" spans="1:14" x14ac:dyDescent="0.25">
      <c r="A369" s="232">
        <v>6364</v>
      </c>
      <c r="B369" s="85" t="s">
        <v>35</v>
      </c>
      <c r="C369" s="123"/>
      <c r="D369" s="363">
        <f t="shared" si="29"/>
        <v>0</v>
      </c>
      <c r="E369" s="124"/>
      <c r="F369" s="124"/>
      <c r="G369" s="124"/>
      <c r="H369" s="124"/>
      <c r="I369" s="124"/>
      <c r="J369" s="124"/>
      <c r="K369" s="234">
        <f t="shared" si="28"/>
        <v>0</v>
      </c>
      <c r="L369" s="234">
        <f t="shared" si="28"/>
        <v>0</v>
      </c>
      <c r="M369" s="234">
        <f t="shared" si="28"/>
        <v>0</v>
      </c>
      <c r="N369" s="234">
        <f t="shared" si="28"/>
        <v>0</v>
      </c>
    </row>
    <row r="370" spans="1:14" x14ac:dyDescent="0.25">
      <c r="A370" s="232">
        <v>6364</v>
      </c>
      <c r="B370" s="108" t="s">
        <v>39</v>
      </c>
      <c r="C370" s="123"/>
      <c r="D370" s="363">
        <f t="shared" si="29"/>
        <v>0</v>
      </c>
      <c r="E370" s="124"/>
      <c r="F370" s="124"/>
      <c r="G370" s="124"/>
      <c r="H370" s="124"/>
      <c r="I370" s="124"/>
      <c r="J370" s="124"/>
      <c r="K370" s="234">
        <f t="shared" si="28"/>
        <v>0</v>
      </c>
      <c r="L370" s="234">
        <f t="shared" si="28"/>
        <v>0</v>
      </c>
      <c r="M370" s="234">
        <f t="shared" si="28"/>
        <v>0</v>
      </c>
      <c r="N370" s="234">
        <f t="shared" si="28"/>
        <v>0</v>
      </c>
    </row>
    <row r="371" spans="1:14" ht="15.75" thickBot="1" x14ac:dyDescent="0.3">
      <c r="A371" s="232">
        <v>6364</v>
      </c>
      <c r="B371" s="108" t="s">
        <v>34</v>
      </c>
      <c r="C371" s="123"/>
      <c r="D371" s="363">
        <f t="shared" si="29"/>
        <v>0</v>
      </c>
      <c r="E371" s="124"/>
      <c r="F371" s="124"/>
      <c r="G371" s="124"/>
      <c r="H371" s="124"/>
      <c r="I371" s="124"/>
      <c r="J371" s="124"/>
      <c r="K371" s="234">
        <f t="shared" si="28"/>
        <v>0</v>
      </c>
      <c r="L371" s="234">
        <f t="shared" si="28"/>
        <v>0</v>
      </c>
      <c r="M371" s="234">
        <f t="shared" si="28"/>
        <v>0</v>
      </c>
      <c r="N371" s="234">
        <f t="shared" si="28"/>
        <v>0</v>
      </c>
    </row>
    <row r="372" spans="1:14" x14ac:dyDescent="0.25">
      <c r="A372" s="231">
        <v>6245</v>
      </c>
      <c r="B372" s="119" t="s">
        <v>28</v>
      </c>
      <c r="C372" s="120"/>
      <c r="D372" s="352">
        <f t="shared" si="29"/>
        <v>4</v>
      </c>
      <c r="E372" s="121"/>
      <c r="F372" s="121"/>
      <c r="G372" s="121"/>
      <c r="H372" s="121"/>
      <c r="I372" s="121"/>
      <c r="J372" s="121"/>
      <c r="K372" s="236">
        <f t="shared" si="28"/>
        <v>0</v>
      </c>
      <c r="L372" s="236">
        <f t="shared" si="28"/>
        <v>0</v>
      </c>
      <c r="M372" s="236">
        <f t="shared" si="28"/>
        <v>0</v>
      </c>
      <c r="N372" s="236">
        <f t="shared" si="28"/>
        <v>1175</v>
      </c>
    </row>
    <row r="373" spans="1:14" x14ac:dyDescent="0.25">
      <c r="A373" s="232">
        <v>6245</v>
      </c>
      <c r="B373" s="108" t="s">
        <v>27</v>
      </c>
      <c r="C373" s="123"/>
      <c r="D373" s="363">
        <f t="shared" si="29"/>
        <v>0</v>
      </c>
      <c r="E373" s="124"/>
      <c r="F373" s="124"/>
      <c r="G373" s="124"/>
      <c r="H373" s="124"/>
      <c r="I373" s="124"/>
      <c r="J373" s="124"/>
      <c r="K373" s="234">
        <f t="shared" si="28"/>
        <v>0</v>
      </c>
      <c r="L373" s="234">
        <f t="shared" si="28"/>
        <v>0</v>
      </c>
      <c r="M373" s="234">
        <f t="shared" si="28"/>
        <v>0</v>
      </c>
      <c r="N373" s="234">
        <f t="shared" si="28"/>
        <v>0</v>
      </c>
    </row>
    <row r="374" spans="1:14" x14ac:dyDescent="0.25">
      <c r="A374" s="232">
        <v>6245</v>
      </c>
      <c r="B374" s="108" t="s">
        <v>32</v>
      </c>
      <c r="C374" s="123"/>
      <c r="D374" s="363">
        <f t="shared" si="29"/>
        <v>0</v>
      </c>
      <c r="E374" s="124"/>
      <c r="F374" s="124"/>
      <c r="G374" s="124"/>
      <c r="H374" s="124"/>
      <c r="I374" s="124"/>
      <c r="J374" s="124"/>
      <c r="K374" s="234">
        <f t="shared" si="28"/>
        <v>0</v>
      </c>
      <c r="L374" s="234">
        <f t="shared" si="28"/>
        <v>0</v>
      </c>
      <c r="M374" s="234">
        <f t="shared" si="28"/>
        <v>0</v>
      </c>
      <c r="N374" s="234">
        <f t="shared" si="28"/>
        <v>0</v>
      </c>
    </row>
    <row r="375" spans="1:14" x14ac:dyDescent="0.25">
      <c r="A375" s="232">
        <v>6245</v>
      </c>
      <c r="B375" s="108" t="s">
        <v>685</v>
      </c>
      <c r="C375" s="123"/>
      <c r="D375" s="363">
        <f t="shared" si="29"/>
        <v>1</v>
      </c>
      <c r="E375" s="124"/>
      <c r="F375" s="124"/>
      <c r="G375" s="124"/>
      <c r="H375" s="124"/>
      <c r="I375" s="124"/>
      <c r="J375" s="124"/>
      <c r="K375" s="234">
        <f t="shared" si="28"/>
        <v>235</v>
      </c>
      <c r="L375" s="234">
        <f t="shared" si="28"/>
        <v>0</v>
      </c>
      <c r="M375" s="234">
        <f t="shared" si="28"/>
        <v>215</v>
      </c>
      <c r="N375" s="234">
        <f t="shared" si="28"/>
        <v>235</v>
      </c>
    </row>
    <row r="376" spans="1:14" x14ac:dyDescent="0.25">
      <c r="A376" s="232">
        <v>6245</v>
      </c>
      <c r="B376" s="108" t="s">
        <v>41</v>
      </c>
      <c r="C376" s="123"/>
      <c r="D376" s="363">
        <f t="shared" si="29"/>
        <v>1</v>
      </c>
      <c r="E376" s="124"/>
      <c r="F376" s="124"/>
      <c r="G376" s="124"/>
      <c r="H376" s="124"/>
      <c r="I376" s="124"/>
      <c r="J376" s="124"/>
      <c r="K376" s="234">
        <f t="shared" si="28"/>
        <v>190</v>
      </c>
      <c r="L376" s="234">
        <f t="shared" si="28"/>
        <v>0</v>
      </c>
      <c r="M376" s="234">
        <f t="shared" si="28"/>
        <v>0</v>
      </c>
      <c r="N376" s="234">
        <f t="shared" si="28"/>
        <v>190</v>
      </c>
    </row>
    <row r="377" spans="1:14" x14ac:dyDescent="0.25">
      <c r="A377" s="232">
        <v>6245</v>
      </c>
      <c r="B377" s="108" t="s">
        <v>775</v>
      </c>
      <c r="C377" s="123"/>
      <c r="D377" s="363">
        <f t="shared" si="29"/>
        <v>0</v>
      </c>
      <c r="E377" s="124"/>
      <c r="F377" s="124"/>
      <c r="G377" s="124"/>
      <c r="H377" s="124"/>
      <c r="I377" s="124"/>
      <c r="J377" s="124"/>
      <c r="K377" s="234">
        <f t="shared" si="28"/>
        <v>0</v>
      </c>
      <c r="L377" s="234">
        <f t="shared" si="28"/>
        <v>0</v>
      </c>
      <c r="M377" s="234">
        <f t="shared" si="28"/>
        <v>0</v>
      </c>
      <c r="N377" s="234">
        <f t="shared" si="28"/>
        <v>0</v>
      </c>
    </row>
    <row r="378" spans="1:14" x14ac:dyDescent="0.25">
      <c r="A378" s="232">
        <v>6245</v>
      </c>
      <c r="B378" s="108" t="s">
        <v>37</v>
      </c>
      <c r="C378" s="123"/>
      <c r="D378" s="363">
        <f t="shared" si="29"/>
        <v>0</v>
      </c>
      <c r="E378" s="124"/>
      <c r="F378" s="124"/>
      <c r="G378" s="124"/>
      <c r="H378" s="124"/>
      <c r="I378" s="124"/>
      <c r="J378" s="124"/>
      <c r="K378" s="234">
        <f t="shared" si="28"/>
        <v>0</v>
      </c>
      <c r="L378" s="234">
        <f t="shared" si="28"/>
        <v>0</v>
      </c>
      <c r="M378" s="234">
        <f t="shared" si="28"/>
        <v>0</v>
      </c>
      <c r="N378" s="234">
        <f t="shared" si="28"/>
        <v>0</v>
      </c>
    </row>
    <row r="379" spans="1:14" x14ac:dyDescent="0.25">
      <c r="A379" s="232">
        <v>6245</v>
      </c>
      <c r="B379" s="108" t="s">
        <v>29</v>
      </c>
      <c r="C379" s="123"/>
      <c r="D379" s="363">
        <f t="shared" si="29"/>
        <v>0</v>
      </c>
      <c r="E379" s="124"/>
      <c r="F379" s="124"/>
      <c r="G379" s="124"/>
      <c r="H379" s="124"/>
      <c r="I379" s="124"/>
      <c r="J379" s="124"/>
      <c r="K379" s="234">
        <f t="shared" si="28"/>
        <v>0</v>
      </c>
      <c r="L379" s="234">
        <f t="shared" si="28"/>
        <v>0</v>
      </c>
      <c r="M379" s="234">
        <f t="shared" si="28"/>
        <v>0</v>
      </c>
      <c r="N379" s="234">
        <f t="shared" si="28"/>
        <v>0</v>
      </c>
    </row>
    <row r="380" spans="1:14" x14ac:dyDescent="0.25">
      <c r="A380" s="232">
        <v>6245</v>
      </c>
      <c r="B380" s="108" t="s">
        <v>536</v>
      </c>
      <c r="C380" s="123"/>
      <c r="D380" s="363">
        <f t="shared" si="29"/>
        <v>0</v>
      </c>
      <c r="E380" s="124"/>
      <c r="F380" s="124"/>
      <c r="G380" s="124"/>
      <c r="H380" s="124"/>
      <c r="I380" s="124"/>
      <c r="J380" s="124"/>
      <c r="K380" s="234">
        <f t="shared" ref="K380:N399" si="30">SUMIFS(K$28:K$280,$A$28:$A$280,$A380,$B$28:$B$280,$B380)</f>
        <v>0</v>
      </c>
      <c r="L380" s="234">
        <f t="shared" si="30"/>
        <v>0</v>
      </c>
      <c r="M380" s="234">
        <f t="shared" si="30"/>
        <v>0</v>
      </c>
      <c r="N380" s="234">
        <f t="shared" si="30"/>
        <v>0</v>
      </c>
    </row>
    <row r="381" spans="1:14" x14ac:dyDescent="0.25">
      <c r="A381" s="232">
        <v>6245</v>
      </c>
      <c r="B381" s="108" t="s">
        <v>36</v>
      </c>
      <c r="C381" s="123"/>
      <c r="D381" s="363">
        <f t="shared" si="29"/>
        <v>0</v>
      </c>
      <c r="E381" s="124"/>
      <c r="F381" s="124"/>
      <c r="G381" s="124"/>
      <c r="H381" s="124"/>
      <c r="I381" s="124"/>
      <c r="J381" s="124"/>
      <c r="K381" s="234">
        <f t="shared" si="30"/>
        <v>0</v>
      </c>
      <c r="L381" s="234">
        <f t="shared" si="30"/>
        <v>0</v>
      </c>
      <c r="M381" s="234">
        <f t="shared" si="30"/>
        <v>0</v>
      </c>
      <c r="N381" s="234">
        <f t="shared" si="30"/>
        <v>0</v>
      </c>
    </row>
    <row r="382" spans="1:14" x14ac:dyDescent="0.25">
      <c r="A382" s="232">
        <v>6245</v>
      </c>
      <c r="B382" s="85" t="s">
        <v>31</v>
      </c>
      <c r="C382" s="123"/>
      <c r="D382" s="363">
        <f t="shared" si="29"/>
        <v>4</v>
      </c>
      <c r="E382" s="124"/>
      <c r="F382" s="124"/>
      <c r="G382" s="124"/>
      <c r="H382" s="124"/>
      <c r="I382" s="124"/>
      <c r="J382" s="124"/>
      <c r="K382" s="234">
        <f t="shared" si="30"/>
        <v>0</v>
      </c>
      <c r="L382" s="234">
        <f t="shared" si="30"/>
        <v>0</v>
      </c>
      <c r="M382" s="234">
        <f t="shared" si="30"/>
        <v>0</v>
      </c>
      <c r="N382" s="234">
        <f t="shared" si="30"/>
        <v>7300</v>
      </c>
    </row>
    <row r="383" spans="1:14" x14ac:dyDescent="0.25">
      <c r="A383" s="232">
        <v>6245</v>
      </c>
      <c r="B383" s="85" t="s">
        <v>30</v>
      </c>
      <c r="C383" s="123"/>
      <c r="D383" s="363">
        <f t="shared" si="29"/>
        <v>1</v>
      </c>
      <c r="E383" s="124"/>
      <c r="F383" s="124"/>
      <c r="G383" s="124"/>
      <c r="H383" s="124"/>
      <c r="I383" s="124"/>
      <c r="J383" s="124"/>
      <c r="K383" s="234">
        <f t="shared" si="30"/>
        <v>1500</v>
      </c>
      <c r="L383" s="234">
        <f t="shared" si="30"/>
        <v>0</v>
      </c>
      <c r="M383" s="234">
        <f t="shared" si="30"/>
        <v>0</v>
      </c>
      <c r="N383" s="234">
        <f t="shared" si="30"/>
        <v>1500</v>
      </c>
    </row>
    <row r="384" spans="1:14" x14ac:dyDescent="0.25">
      <c r="A384" s="232">
        <v>6245</v>
      </c>
      <c r="B384" s="85" t="s">
        <v>38</v>
      </c>
      <c r="C384" s="123"/>
      <c r="D384" s="363">
        <f t="shared" si="29"/>
        <v>2</v>
      </c>
      <c r="E384" s="124"/>
      <c r="F384" s="124"/>
      <c r="G384" s="124"/>
      <c r="H384" s="124"/>
      <c r="I384" s="124"/>
      <c r="J384" s="124"/>
      <c r="K384" s="234">
        <f t="shared" si="30"/>
        <v>0</v>
      </c>
      <c r="L384" s="234">
        <f t="shared" si="30"/>
        <v>0</v>
      </c>
      <c r="M384" s="234">
        <f t="shared" si="30"/>
        <v>0</v>
      </c>
      <c r="N384" s="234">
        <f t="shared" si="30"/>
        <v>4100</v>
      </c>
    </row>
    <row r="385" spans="1:14" x14ac:dyDescent="0.25">
      <c r="A385" s="232">
        <v>6245</v>
      </c>
      <c r="B385" s="85" t="s">
        <v>684</v>
      </c>
      <c r="C385" s="123"/>
      <c r="D385" s="363">
        <f t="shared" si="29"/>
        <v>0</v>
      </c>
      <c r="E385" s="124"/>
      <c r="F385" s="124"/>
      <c r="G385" s="124"/>
      <c r="H385" s="124"/>
      <c r="I385" s="124"/>
      <c r="J385" s="124"/>
      <c r="K385" s="234">
        <f t="shared" si="30"/>
        <v>0</v>
      </c>
      <c r="L385" s="234">
        <f t="shared" si="30"/>
        <v>0</v>
      </c>
      <c r="M385" s="234">
        <f t="shared" si="30"/>
        <v>0</v>
      </c>
      <c r="N385" s="234">
        <f t="shared" si="30"/>
        <v>0</v>
      </c>
    </row>
    <row r="386" spans="1:14" x14ac:dyDescent="0.25">
      <c r="A386" s="232">
        <v>6245</v>
      </c>
      <c r="B386" s="85" t="s">
        <v>33</v>
      </c>
      <c r="C386" s="123"/>
      <c r="D386" s="363">
        <f t="shared" si="29"/>
        <v>0</v>
      </c>
      <c r="E386" s="124"/>
      <c r="F386" s="124"/>
      <c r="G386" s="124"/>
      <c r="H386" s="124"/>
      <c r="I386" s="124"/>
      <c r="J386" s="124"/>
      <c r="K386" s="234">
        <f t="shared" si="30"/>
        <v>0</v>
      </c>
      <c r="L386" s="234">
        <f t="shared" si="30"/>
        <v>0</v>
      </c>
      <c r="M386" s="234">
        <f t="shared" si="30"/>
        <v>0</v>
      </c>
      <c r="N386" s="234">
        <f t="shared" si="30"/>
        <v>0</v>
      </c>
    </row>
    <row r="387" spans="1:14" x14ac:dyDescent="0.25">
      <c r="A387" s="232">
        <v>6245</v>
      </c>
      <c r="B387" s="85" t="s">
        <v>35</v>
      </c>
      <c r="C387" s="123"/>
      <c r="D387" s="363">
        <f t="shared" si="29"/>
        <v>0</v>
      </c>
      <c r="E387" s="124"/>
      <c r="F387" s="124"/>
      <c r="G387" s="124"/>
      <c r="H387" s="124"/>
      <c r="I387" s="124"/>
      <c r="J387" s="124"/>
      <c r="K387" s="234">
        <f t="shared" si="30"/>
        <v>0</v>
      </c>
      <c r="L387" s="234">
        <f t="shared" si="30"/>
        <v>0</v>
      </c>
      <c r="M387" s="234">
        <f t="shared" si="30"/>
        <v>0</v>
      </c>
      <c r="N387" s="234">
        <f t="shared" si="30"/>
        <v>0</v>
      </c>
    </row>
    <row r="388" spans="1:14" x14ac:dyDescent="0.25">
      <c r="A388" s="232">
        <v>6245</v>
      </c>
      <c r="B388" s="108" t="s">
        <v>39</v>
      </c>
      <c r="C388" s="123"/>
      <c r="D388" s="363">
        <f t="shared" si="29"/>
        <v>0</v>
      </c>
      <c r="E388" s="124"/>
      <c r="F388" s="124"/>
      <c r="G388" s="124"/>
      <c r="H388" s="124"/>
      <c r="I388" s="124"/>
      <c r="J388" s="124"/>
      <c r="K388" s="234">
        <f t="shared" si="30"/>
        <v>0</v>
      </c>
      <c r="L388" s="234">
        <f t="shared" si="30"/>
        <v>0</v>
      </c>
      <c r="M388" s="234">
        <f t="shared" si="30"/>
        <v>0</v>
      </c>
      <c r="N388" s="234">
        <f t="shared" si="30"/>
        <v>0</v>
      </c>
    </row>
    <row r="389" spans="1:14" ht="15.75" thickBot="1" x14ac:dyDescent="0.3">
      <c r="A389" s="232">
        <v>6245</v>
      </c>
      <c r="B389" s="108" t="s">
        <v>34</v>
      </c>
      <c r="C389" s="123"/>
      <c r="D389" s="363">
        <f t="shared" si="29"/>
        <v>0</v>
      </c>
      <c r="E389" s="124"/>
      <c r="F389" s="124"/>
      <c r="G389" s="124"/>
      <c r="H389" s="124"/>
      <c r="I389" s="124"/>
      <c r="J389" s="124"/>
      <c r="K389" s="234">
        <f t="shared" si="30"/>
        <v>0</v>
      </c>
      <c r="L389" s="234">
        <f t="shared" si="30"/>
        <v>0</v>
      </c>
      <c r="M389" s="234">
        <f t="shared" si="30"/>
        <v>0</v>
      </c>
      <c r="N389" s="234">
        <f t="shared" si="30"/>
        <v>0</v>
      </c>
    </row>
    <row r="390" spans="1:14" x14ac:dyDescent="0.25">
      <c r="A390" s="231">
        <v>6350</v>
      </c>
      <c r="B390" s="119" t="s">
        <v>28</v>
      </c>
      <c r="C390" s="120"/>
      <c r="D390" s="352">
        <f t="shared" si="29"/>
        <v>4</v>
      </c>
      <c r="E390" s="121"/>
      <c r="F390" s="121"/>
      <c r="G390" s="121"/>
      <c r="H390" s="121"/>
      <c r="I390" s="121"/>
      <c r="J390" s="121"/>
      <c r="K390" s="236">
        <f t="shared" si="30"/>
        <v>290</v>
      </c>
      <c r="L390" s="236">
        <f t="shared" si="30"/>
        <v>290</v>
      </c>
      <c r="M390" s="236">
        <f t="shared" si="30"/>
        <v>520</v>
      </c>
      <c r="N390" s="236">
        <f t="shared" si="30"/>
        <v>1690</v>
      </c>
    </row>
    <row r="391" spans="1:14" x14ac:dyDescent="0.25">
      <c r="A391" s="232">
        <v>6350</v>
      </c>
      <c r="B391" s="108" t="s">
        <v>27</v>
      </c>
      <c r="C391" s="123"/>
      <c r="D391" s="363">
        <f t="shared" si="29"/>
        <v>0</v>
      </c>
      <c r="E391" s="124"/>
      <c r="F391" s="124"/>
      <c r="G391" s="124"/>
      <c r="H391" s="124"/>
      <c r="I391" s="124"/>
      <c r="J391" s="124"/>
      <c r="K391" s="234">
        <f t="shared" si="30"/>
        <v>0</v>
      </c>
      <c r="L391" s="234">
        <f t="shared" si="30"/>
        <v>0</v>
      </c>
      <c r="M391" s="234">
        <f t="shared" si="30"/>
        <v>0</v>
      </c>
      <c r="N391" s="234">
        <f t="shared" si="30"/>
        <v>0</v>
      </c>
    </row>
    <row r="392" spans="1:14" x14ac:dyDescent="0.25">
      <c r="A392" s="232">
        <v>6350</v>
      </c>
      <c r="B392" s="108" t="s">
        <v>32</v>
      </c>
      <c r="C392" s="123"/>
      <c r="D392" s="363">
        <f t="shared" si="29"/>
        <v>5</v>
      </c>
      <c r="E392" s="124"/>
      <c r="F392" s="124"/>
      <c r="G392" s="124"/>
      <c r="H392" s="124"/>
      <c r="I392" s="124"/>
      <c r="J392" s="124"/>
      <c r="K392" s="234">
        <f t="shared" si="30"/>
        <v>0</v>
      </c>
      <c r="L392" s="234">
        <f t="shared" si="30"/>
        <v>0</v>
      </c>
      <c r="M392" s="234">
        <f t="shared" si="30"/>
        <v>1275</v>
      </c>
      <c r="N392" s="234">
        <f t="shared" si="30"/>
        <v>1275</v>
      </c>
    </row>
    <row r="393" spans="1:14" x14ac:dyDescent="0.25">
      <c r="A393" s="232">
        <v>6350</v>
      </c>
      <c r="B393" s="108" t="s">
        <v>685</v>
      </c>
      <c r="C393" s="123"/>
      <c r="D393" s="363">
        <f t="shared" si="29"/>
        <v>4</v>
      </c>
      <c r="E393" s="124"/>
      <c r="F393" s="124"/>
      <c r="G393" s="124"/>
      <c r="H393" s="124"/>
      <c r="I393" s="124"/>
      <c r="J393" s="124"/>
      <c r="K393" s="234">
        <f t="shared" si="30"/>
        <v>380</v>
      </c>
      <c r="L393" s="234">
        <f t="shared" si="30"/>
        <v>0</v>
      </c>
      <c r="M393" s="234">
        <f t="shared" si="30"/>
        <v>380</v>
      </c>
      <c r="N393" s="234">
        <f t="shared" si="30"/>
        <v>380</v>
      </c>
    </row>
    <row r="394" spans="1:14" x14ac:dyDescent="0.25">
      <c r="A394" s="232">
        <v>6350</v>
      </c>
      <c r="B394" s="108" t="s">
        <v>41</v>
      </c>
      <c r="C394" s="123"/>
      <c r="D394" s="363">
        <f t="shared" si="29"/>
        <v>0</v>
      </c>
      <c r="E394" s="124"/>
      <c r="F394" s="124"/>
      <c r="G394" s="124"/>
      <c r="H394" s="124"/>
      <c r="I394" s="124"/>
      <c r="J394" s="124"/>
      <c r="K394" s="234">
        <f t="shared" si="30"/>
        <v>0</v>
      </c>
      <c r="L394" s="234">
        <f t="shared" si="30"/>
        <v>0</v>
      </c>
      <c r="M394" s="234">
        <f t="shared" si="30"/>
        <v>0</v>
      </c>
      <c r="N394" s="234">
        <f t="shared" si="30"/>
        <v>0</v>
      </c>
    </row>
    <row r="395" spans="1:14" x14ac:dyDescent="0.25">
      <c r="A395" s="232">
        <v>6350</v>
      </c>
      <c r="B395" s="108" t="s">
        <v>775</v>
      </c>
      <c r="C395" s="123"/>
      <c r="D395" s="363">
        <f t="shared" si="29"/>
        <v>0</v>
      </c>
      <c r="E395" s="124"/>
      <c r="F395" s="124"/>
      <c r="G395" s="124"/>
      <c r="H395" s="124"/>
      <c r="I395" s="124"/>
      <c r="J395" s="124"/>
      <c r="K395" s="234">
        <f t="shared" si="30"/>
        <v>0</v>
      </c>
      <c r="L395" s="234">
        <f t="shared" si="30"/>
        <v>0</v>
      </c>
      <c r="M395" s="234">
        <f t="shared" si="30"/>
        <v>0</v>
      </c>
      <c r="N395" s="234">
        <f t="shared" si="30"/>
        <v>0</v>
      </c>
    </row>
    <row r="396" spans="1:14" x14ac:dyDescent="0.25">
      <c r="A396" s="232">
        <v>6350</v>
      </c>
      <c r="B396" s="108" t="s">
        <v>37</v>
      </c>
      <c r="C396" s="123"/>
      <c r="D396" s="363">
        <f t="shared" si="29"/>
        <v>2</v>
      </c>
      <c r="E396" s="124"/>
      <c r="F396" s="124"/>
      <c r="G396" s="124"/>
      <c r="H396" s="124"/>
      <c r="I396" s="124"/>
      <c r="J396" s="124"/>
      <c r="K396" s="234">
        <f t="shared" si="30"/>
        <v>0</v>
      </c>
      <c r="L396" s="234">
        <f t="shared" si="30"/>
        <v>0</v>
      </c>
      <c r="M396" s="234">
        <f t="shared" si="30"/>
        <v>0</v>
      </c>
      <c r="N396" s="234">
        <f t="shared" si="30"/>
        <v>6440</v>
      </c>
    </row>
    <row r="397" spans="1:14" x14ac:dyDescent="0.25">
      <c r="A397" s="232">
        <v>6350</v>
      </c>
      <c r="B397" s="108" t="s">
        <v>29</v>
      </c>
      <c r="C397" s="123"/>
      <c r="D397" s="363">
        <f t="shared" si="29"/>
        <v>7</v>
      </c>
      <c r="E397" s="124"/>
      <c r="F397" s="124"/>
      <c r="G397" s="124"/>
      <c r="H397" s="124"/>
      <c r="I397" s="124"/>
      <c r="J397" s="124"/>
      <c r="K397" s="234">
        <f t="shared" si="30"/>
        <v>25609</v>
      </c>
      <c r="L397" s="234">
        <f t="shared" si="30"/>
        <v>25609</v>
      </c>
      <c r="M397" s="234">
        <f t="shared" si="30"/>
        <v>25609</v>
      </c>
      <c r="N397" s="234">
        <f t="shared" si="30"/>
        <v>32230</v>
      </c>
    </row>
    <row r="398" spans="1:14" x14ac:dyDescent="0.25">
      <c r="A398" s="232">
        <v>6350</v>
      </c>
      <c r="B398" s="108" t="s">
        <v>536</v>
      </c>
      <c r="C398" s="123"/>
      <c r="D398" s="363">
        <f t="shared" si="29"/>
        <v>0</v>
      </c>
      <c r="E398" s="124"/>
      <c r="F398" s="124"/>
      <c r="G398" s="124"/>
      <c r="H398" s="124"/>
      <c r="I398" s="124"/>
      <c r="J398" s="124"/>
      <c r="K398" s="234">
        <f t="shared" si="30"/>
        <v>0</v>
      </c>
      <c r="L398" s="234">
        <f t="shared" si="30"/>
        <v>0</v>
      </c>
      <c r="M398" s="234">
        <f t="shared" si="30"/>
        <v>0</v>
      </c>
      <c r="N398" s="234">
        <f t="shared" si="30"/>
        <v>0</v>
      </c>
    </row>
    <row r="399" spans="1:14" x14ac:dyDescent="0.25">
      <c r="A399" s="232">
        <v>6350</v>
      </c>
      <c r="B399" s="108" t="s">
        <v>36</v>
      </c>
      <c r="C399" s="123"/>
      <c r="D399" s="363">
        <f t="shared" si="29"/>
        <v>1</v>
      </c>
      <c r="E399" s="124"/>
      <c r="F399" s="124"/>
      <c r="G399" s="124"/>
      <c r="H399" s="124"/>
      <c r="I399" s="124"/>
      <c r="J399" s="124"/>
      <c r="K399" s="234">
        <f t="shared" si="30"/>
        <v>3422</v>
      </c>
      <c r="L399" s="234">
        <f t="shared" si="30"/>
        <v>0</v>
      </c>
      <c r="M399" s="234">
        <f t="shared" si="30"/>
        <v>0</v>
      </c>
      <c r="N399" s="234">
        <f t="shared" si="30"/>
        <v>3500</v>
      </c>
    </row>
    <row r="400" spans="1:14" x14ac:dyDescent="0.25">
      <c r="A400" s="232">
        <v>6350</v>
      </c>
      <c r="B400" s="85" t="s">
        <v>31</v>
      </c>
      <c r="C400" s="123"/>
      <c r="D400" s="363">
        <f t="shared" si="29"/>
        <v>1</v>
      </c>
      <c r="E400" s="124"/>
      <c r="F400" s="124"/>
      <c r="G400" s="124"/>
      <c r="H400" s="124"/>
      <c r="I400" s="124"/>
      <c r="J400" s="124"/>
      <c r="K400" s="234">
        <f t="shared" ref="K400:N419" si="31">SUMIFS(K$28:K$280,$A$28:$A$280,$A400,$B$28:$B$280,$B400)</f>
        <v>0</v>
      </c>
      <c r="L400" s="234">
        <f t="shared" si="31"/>
        <v>0</v>
      </c>
      <c r="M400" s="234">
        <f t="shared" si="31"/>
        <v>0</v>
      </c>
      <c r="N400" s="234">
        <f t="shared" si="31"/>
        <v>560</v>
      </c>
    </row>
    <row r="401" spans="1:14" x14ac:dyDescent="0.25">
      <c r="A401" s="232">
        <v>6350</v>
      </c>
      <c r="B401" s="85" t="s">
        <v>30</v>
      </c>
      <c r="C401" s="123"/>
      <c r="D401" s="363">
        <f t="shared" si="29"/>
        <v>1</v>
      </c>
      <c r="E401" s="124"/>
      <c r="F401" s="124"/>
      <c r="G401" s="124"/>
      <c r="H401" s="124"/>
      <c r="I401" s="124"/>
      <c r="J401" s="124"/>
      <c r="K401" s="234">
        <f t="shared" si="31"/>
        <v>9800</v>
      </c>
      <c r="L401" s="234">
        <f t="shared" si="31"/>
        <v>0</v>
      </c>
      <c r="M401" s="234">
        <f t="shared" si="31"/>
        <v>0</v>
      </c>
      <c r="N401" s="234">
        <f t="shared" si="31"/>
        <v>9800</v>
      </c>
    </row>
    <row r="402" spans="1:14" x14ac:dyDescent="0.25">
      <c r="A402" s="232">
        <v>6350</v>
      </c>
      <c r="B402" s="85" t="s">
        <v>38</v>
      </c>
      <c r="C402" s="123"/>
      <c r="D402" s="363">
        <f t="shared" si="29"/>
        <v>4</v>
      </c>
      <c r="E402" s="124"/>
      <c r="F402" s="124"/>
      <c r="G402" s="124"/>
      <c r="H402" s="124"/>
      <c r="I402" s="124"/>
      <c r="J402" s="124"/>
      <c r="K402" s="234">
        <f t="shared" si="31"/>
        <v>3565</v>
      </c>
      <c r="L402" s="234">
        <f t="shared" si="31"/>
        <v>0</v>
      </c>
      <c r="M402" s="234">
        <f t="shared" si="31"/>
        <v>2745</v>
      </c>
      <c r="N402" s="234">
        <f t="shared" si="31"/>
        <v>3565</v>
      </c>
    </row>
    <row r="403" spans="1:14" x14ac:dyDescent="0.25">
      <c r="A403" s="232">
        <v>6350</v>
      </c>
      <c r="B403" s="85" t="s">
        <v>684</v>
      </c>
      <c r="C403" s="123"/>
      <c r="D403" s="363">
        <f t="shared" si="29"/>
        <v>0</v>
      </c>
      <c r="E403" s="124"/>
      <c r="F403" s="124"/>
      <c r="G403" s="124"/>
      <c r="H403" s="124"/>
      <c r="I403" s="124"/>
      <c r="J403" s="124"/>
      <c r="K403" s="234">
        <f t="shared" si="31"/>
        <v>0</v>
      </c>
      <c r="L403" s="234">
        <f t="shared" si="31"/>
        <v>0</v>
      </c>
      <c r="M403" s="234">
        <f t="shared" si="31"/>
        <v>0</v>
      </c>
      <c r="N403" s="234">
        <f t="shared" si="31"/>
        <v>0</v>
      </c>
    </row>
    <row r="404" spans="1:14" x14ac:dyDescent="0.25">
      <c r="A404" s="232">
        <v>6350</v>
      </c>
      <c r="B404" s="85" t="s">
        <v>33</v>
      </c>
      <c r="C404" s="123"/>
      <c r="D404" s="363">
        <f t="shared" si="29"/>
        <v>1</v>
      </c>
      <c r="E404" s="124"/>
      <c r="F404" s="124"/>
      <c r="G404" s="124"/>
      <c r="H404" s="124"/>
      <c r="I404" s="124"/>
      <c r="J404" s="124"/>
      <c r="K404" s="234">
        <f t="shared" si="31"/>
        <v>0</v>
      </c>
      <c r="L404" s="234">
        <f t="shared" si="31"/>
        <v>0</v>
      </c>
      <c r="M404" s="234">
        <f t="shared" si="31"/>
        <v>0</v>
      </c>
      <c r="N404" s="234">
        <f t="shared" si="31"/>
        <v>665</v>
      </c>
    </row>
    <row r="405" spans="1:14" x14ac:dyDescent="0.25">
      <c r="A405" s="232">
        <v>6350</v>
      </c>
      <c r="B405" s="85" t="s">
        <v>35</v>
      </c>
      <c r="C405" s="123"/>
      <c r="D405" s="363">
        <f t="shared" si="29"/>
        <v>0</v>
      </c>
      <c r="E405" s="124"/>
      <c r="F405" s="124"/>
      <c r="G405" s="124"/>
      <c r="H405" s="124"/>
      <c r="I405" s="124"/>
      <c r="J405" s="124"/>
      <c r="K405" s="234">
        <f t="shared" si="31"/>
        <v>0</v>
      </c>
      <c r="L405" s="234">
        <f t="shared" si="31"/>
        <v>0</v>
      </c>
      <c r="M405" s="234">
        <f t="shared" si="31"/>
        <v>0</v>
      </c>
      <c r="N405" s="234">
        <f t="shared" si="31"/>
        <v>0</v>
      </c>
    </row>
    <row r="406" spans="1:14" x14ac:dyDescent="0.25">
      <c r="A406" s="232">
        <v>6350</v>
      </c>
      <c r="B406" s="108" t="s">
        <v>39</v>
      </c>
      <c r="C406" s="123"/>
      <c r="D406" s="363">
        <f t="shared" si="29"/>
        <v>0</v>
      </c>
      <c r="E406" s="124"/>
      <c r="F406" s="124"/>
      <c r="G406" s="124"/>
      <c r="H406" s="124"/>
      <c r="I406" s="124"/>
      <c r="J406" s="124"/>
      <c r="K406" s="234">
        <f t="shared" si="31"/>
        <v>0</v>
      </c>
      <c r="L406" s="234">
        <f t="shared" si="31"/>
        <v>0</v>
      </c>
      <c r="M406" s="234">
        <f t="shared" si="31"/>
        <v>0</v>
      </c>
      <c r="N406" s="234">
        <f t="shared" si="31"/>
        <v>0</v>
      </c>
    </row>
    <row r="407" spans="1:14" ht="15.75" thickBot="1" x14ac:dyDescent="0.3">
      <c r="A407" s="232">
        <v>6350</v>
      </c>
      <c r="B407" s="108" t="s">
        <v>34</v>
      </c>
      <c r="C407" s="123"/>
      <c r="D407" s="363">
        <f t="shared" si="29"/>
        <v>1</v>
      </c>
      <c r="E407" s="124"/>
      <c r="F407" s="124"/>
      <c r="G407" s="124"/>
      <c r="H407" s="124"/>
      <c r="I407" s="124"/>
      <c r="J407" s="124"/>
      <c r="K407" s="234">
        <f t="shared" si="31"/>
        <v>0</v>
      </c>
      <c r="L407" s="234">
        <f t="shared" si="31"/>
        <v>0</v>
      </c>
      <c r="M407" s="234">
        <f t="shared" si="31"/>
        <v>0</v>
      </c>
      <c r="N407" s="234">
        <f t="shared" si="31"/>
        <v>350</v>
      </c>
    </row>
    <row r="408" spans="1:14" x14ac:dyDescent="0.25">
      <c r="A408" s="231">
        <v>6333</v>
      </c>
      <c r="B408" s="119" t="s">
        <v>28</v>
      </c>
      <c r="C408" s="120"/>
      <c r="D408" s="352">
        <f t="shared" si="29"/>
        <v>0</v>
      </c>
      <c r="E408" s="121"/>
      <c r="F408" s="121"/>
      <c r="G408" s="121"/>
      <c r="H408" s="121"/>
      <c r="I408" s="121"/>
      <c r="J408" s="121"/>
      <c r="K408" s="236">
        <f t="shared" si="31"/>
        <v>0</v>
      </c>
      <c r="L408" s="236">
        <f t="shared" si="31"/>
        <v>0</v>
      </c>
      <c r="M408" s="236">
        <f t="shared" si="31"/>
        <v>0</v>
      </c>
      <c r="N408" s="236">
        <f t="shared" si="31"/>
        <v>0</v>
      </c>
    </row>
    <row r="409" spans="1:14" x14ac:dyDescent="0.25">
      <c r="A409" s="232">
        <v>6333</v>
      </c>
      <c r="B409" s="108" t="s">
        <v>27</v>
      </c>
      <c r="C409" s="123"/>
      <c r="D409" s="363">
        <f t="shared" si="29"/>
        <v>0</v>
      </c>
      <c r="E409" s="124"/>
      <c r="F409" s="124"/>
      <c r="G409" s="124"/>
      <c r="H409" s="124"/>
      <c r="I409" s="124"/>
      <c r="J409" s="124"/>
      <c r="K409" s="234">
        <f t="shared" si="31"/>
        <v>0</v>
      </c>
      <c r="L409" s="234">
        <f t="shared" si="31"/>
        <v>0</v>
      </c>
      <c r="M409" s="234">
        <f t="shared" si="31"/>
        <v>0</v>
      </c>
      <c r="N409" s="234">
        <f t="shared" si="31"/>
        <v>0</v>
      </c>
    </row>
    <row r="410" spans="1:14" x14ac:dyDescent="0.25">
      <c r="A410" s="232">
        <v>6333</v>
      </c>
      <c r="B410" s="108" t="s">
        <v>32</v>
      </c>
      <c r="C410" s="123"/>
      <c r="D410" s="363">
        <f t="shared" si="29"/>
        <v>0</v>
      </c>
      <c r="E410" s="124"/>
      <c r="F410" s="124"/>
      <c r="G410" s="124"/>
      <c r="H410" s="124"/>
      <c r="I410" s="124"/>
      <c r="J410" s="124"/>
      <c r="K410" s="234">
        <f t="shared" si="31"/>
        <v>0</v>
      </c>
      <c r="L410" s="234">
        <f t="shared" si="31"/>
        <v>0</v>
      </c>
      <c r="M410" s="234">
        <f t="shared" si="31"/>
        <v>0</v>
      </c>
      <c r="N410" s="234">
        <f t="shared" si="31"/>
        <v>0</v>
      </c>
    </row>
    <row r="411" spans="1:14" x14ac:dyDescent="0.25">
      <c r="A411" s="232">
        <v>6333</v>
      </c>
      <c r="B411" s="108" t="s">
        <v>685</v>
      </c>
      <c r="C411" s="123"/>
      <c r="D411" s="363">
        <f t="shared" si="29"/>
        <v>0</v>
      </c>
      <c r="E411" s="124"/>
      <c r="F411" s="124"/>
      <c r="G411" s="124"/>
      <c r="H411" s="124"/>
      <c r="I411" s="124"/>
      <c r="J411" s="124"/>
      <c r="K411" s="234">
        <f t="shared" si="31"/>
        <v>0</v>
      </c>
      <c r="L411" s="234">
        <f t="shared" si="31"/>
        <v>0</v>
      </c>
      <c r="M411" s="234">
        <f t="shared" si="31"/>
        <v>0</v>
      </c>
      <c r="N411" s="234">
        <f t="shared" si="31"/>
        <v>0</v>
      </c>
    </row>
    <row r="412" spans="1:14" x14ac:dyDescent="0.25">
      <c r="A412" s="232">
        <v>6333</v>
      </c>
      <c r="B412" s="108" t="s">
        <v>41</v>
      </c>
      <c r="C412" s="123"/>
      <c r="D412" s="363">
        <f t="shared" si="29"/>
        <v>0</v>
      </c>
      <c r="E412" s="124"/>
      <c r="F412" s="124"/>
      <c r="G412" s="124"/>
      <c r="H412" s="124"/>
      <c r="I412" s="124"/>
      <c r="J412" s="124"/>
      <c r="K412" s="234">
        <f t="shared" si="31"/>
        <v>0</v>
      </c>
      <c r="L412" s="234">
        <f t="shared" si="31"/>
        <v>0</v>
      </c>
      <c r="M412" s="234">
        <f t="shared" si="31"/>
        <v>0</v>
      </c>
      <c r="N412" s="234">
        <f t="shared" si="31"/>
        <v>0</v>
      </c>
    </row>
    <row r="413" spans="1:14" x14ac:dyDescent="0.25">
      <c r="A413" s="232">
        <v>6333</v>
      </c>
      <c r="B413" s="108" t="s">
        <v>775</v>
      </c>
      <c r="C413" s="123"/>
      <c r="D413" s="363">
        <f t="shared" si="29"/>
        <v>0</v>
      </c>
      <c r="E413" s="124"/>
      <c r="F413" s="124"/>
      <c r="G413" s="124"/>
      <c r="H413" s="124"/>
      <c r="I413" s="124"/>
      <c r="J413" s="124"/>
      <c r="K413" s="234">
        <f t="shared" si="31"/>
        <v>0</v>
      </c>
      <c r="L413" s="234">
        <f t="shared" si="31"/>
        <v>0</v>
      </c>
      <c r="M413" s="234">
        <f t="shared" si="31"/>
        <v>0</v>
      </c>
      <c r="N413" s="234">
        <f t="shared" si="31"/>
        <v>0</v>
      </c>
    </row>
    <row r="414" spans="1:14" x14ac:dyDescent="0.25">
      <c r="A414" s="232">
        <v>6333</v>
      </c>
      <c r="B414" s="108" t="s">
        <v>37</v>
      </c>
      <c r="C414" s="123"/>
      <c r="D414" s="363">
        <f t="shared" si="29"/>
        <v>0</v>
      </c>
      <c r="E414" s="124"/>
      <c r="F414" s="124"/>
      <c r="G414" s="124"/>
      <c r="H414" s="124"/>
      <c r="I414" s="124"/>
      <c r="J414" s="124"/>
      <c r="K414" s="234">
        <f t="shared" si="31"/>
        <v>0</v>
      </c>
      <c r="L414" s="234">
        <f t="shared" si="31"/>
        <v>0</v>
      </c>
      <c r="M414" s="234">
        <f t="shared" si="31"/>
        <v>0</v>
      </c>
      <c r="N414" s="234">
        <f t="shared" si="31"/>
        <v>0</v>
      </c>
    </row>
    <row r="415" spans="1:14" x14ac:dyDescent="0.25">
      <c r="A415" s="232">
        <v>6333</v>
      </c>
      <c r="B415" s="108" t="s">
        <v>29</v>
      </c>
      <c r="C415" s="123"/>
      <c r="D415" s="363">
        <f t="shared" si="29"/>
        <v>0</v>
      </c>
      <c r="E415" s="124"/>
      <c r="F415" s="124"/>
      <c r="G415" s="124"/>
      <c r="H415" s="124"/>
      <c r="I415" s="124"/>
      <c r="J415" s="124"/>
      <c r="K415" s="234">
        <f t="shared" si="31"/>
        <v>0</v>
      </c>
      <c r="L415" s="234">
        <f t="shared" si="31"/>
        <v>0</v>
      </c>
      <c r="M415" s="234">
        <f t="shared" si="31"/>
        <v>0</v>
      </c>
      <c r="N415" s="234">
        <f t="shared" si="31"/>
        <v>0</v>
      </c>
    </row>
    <row r="416" spans="1:14" x14ac:dyDescent="0.25">
      <c r="A416" s="232">
        <v>6333</v>
      </c>
      <c r="B416" s="108" t="s">
        <v>536</v>
      </c>
      <c r="C416" s="123"/>
      <c r="D416" s="363">
        <f t="shared" si="29"/>
        <v>0</v>
      </c>
      <c r="E416" s="124"/>
      <c r="F416" s="124"/>
      <c r="G416" s="124"/>
      <c r="H416" s="124"/>
      <c r="I416" s="124"/>
      <c r="J416" s="124"/>
      <c r="K416" s="234">
        <f t="shared" si="31"/>
        <v>0</v>
      </c>
      <c r="L416" s="234">
        <f t="shared" si="31"/>
        <v>0</v>
      </c>
      <c r="M416" s="234">
        <f t="shared" si="31"/>
        <v>0</v>
      </c>
      <c r="N416" s="234">
        <f t="shared" si="31"/>
        <v>0</v>
      </c>
    </row>
    <row r="417" spans="1:14" x14ac:dyDescent="0.25">
      <c r="A417" s="232">
        <v>6333</v>
      </c>
      <c r="B417" s="108" t="s">
        <v>36</v>
      </c>
      <c r="C417" s="123"/>
      <c r="D417" s="363">
        <f t="shared" si="29"/>
        <v>0</v>
      </c>
      <c r="E417" s="124"/>
      <c r="F417" s="124"/>
      <c r="G417" s="124"/>
      <c r="H417" s="124"/>
      <c r="I417" s="124"/>
      <c r="J417" s="124"/>
      <c r="K417" s="234">
        <f t="shared" si="31"/>
        <v>0</v>
      </c>
      <c r="L417" s="234">
        <f t="shared" si="31"/>
        <v>0</v>
      </c>
      <c r="M417" s="234">
        <f t="shared" si="31"/>
        <v>0</v>
      </c>
      <c r="N417" s="234">
        <f t="shared" si="31"/>
        <v>0</v>
      </c>
    </row>
    <row r="418" spans="1:14" x14ac:dyDescent="0.25">
      <c r="A418" s="232">
        <v>6333</v>
      </c>
      <c r="B418" s="85" t="s">
        <v>31</v>
      </c>
      <c r="C418" s="123"/>
      <c r="D418" s="363">
        <f t="shared" si="29"/>
        <v>0</v>
      </c>
      <c r="E418" s="124"/>
      <c r="F418" s="124"/>
      <c r="G418" s="124"/>
      <c r="H418" s="124"/>
      <c r="I418" s="124"/>
      <c r="J418" s="124"/>
      <c r="K418" s="234">
        <f t="shared" si="31"/>
        <v>0</v>
      </c>
      <c r="L418" s="234">
        <f t="shared" si="31"/>
        <v>0</v>
      </c>
      <c r="M418" s="234">
        <f t="shared" si="31"/>
        <v>0</v>
      </c>
      <c r="N418" s="234">
        <f t="shared" si="31"/>
        <v>0</v>
      </c>
    </row>
    <row r="419" spans="1:14" x14ac:dyDescent="0.25">
      <c r="A419" s="232">
        <v>6333</v>
      </c>
      <c r="B419" s="85" t="s">
        <v>30</v>
      </c>
      <c r="C419" s="123"/>
      <c r="D419" s="363">
        <f t="shared" si="29"/>
        <v>0</v>
      </c>
      <c r="E419" s="124"/>
      <c r="F419" s="124"/>
      <c r="G419" s="124"/>
      <c r="H419" s="124"/>
      <c r="I419" s="124"/>
      <c r="J419" s="124"/>
      <c r="K419" s="234">
        <f t="shared" si="31"/>
        <v>0</v>
      </c>
      <c r="L419" s="234">
        <f t="shared" si="31"/>
        <v>0</v>
      </c>
      <c r="M419" s="234">
        <f t="shared" si="31"/>
        <v>0</v>
      </c>
      <c r="N419" s="234">
        <f t="shared" si="31"/>
        <v>0</v>
      </c>
    </row>
    <row r="420" spans="1:14" x14ac:dyDescent="0.25">
      <c r="A420" s="232">
        <v>6333</v>
      </c>
      <c r="B420" s="85" t="s">
        <v>38</v>
      </c>
      <c r="C420" s="123"/>
      <c r="D420" s="363">
        <f t="shared" si="29"/>
        <v>0</v>
      </c>
      <c r="E420" s="124"/>
      <c r="F420" s="124"/>
      <c r="G420" s="124"/>
      <c r="H420" s="124"/>
      <c r="I420" s="124"/>
      <c r="J420" s="124"/>
      <c r="K420" s="234">
        <f t="shared" ref="K420:N439" si="32">SUMIFS(K$28:K$280,$A$28:$A$280,$A420,$B$28:$B$280,$B420)</f>
        <v>0</v>
      </c>
      <c r="L420" s="234">
        <f t="shared" si="32"/>
        <v>0</v>
      </c>
      <c r="M420" s="234">
        <f t="shared" si="32"/>
        <v>0</v>
      </c>
      <c r="N420" s="234">
        <f t="shared" si="32"/>
        <v>0</v>
      </c>
    </row>
    <row r="421" spans="1:14" x14ac:dyDescent="0.25">
      <c r="A421" s="232">
        <v>6333</v>
      </c>
      <c r="B421" s="85" t="s">
        <v>684</v>
      </c>
      <c r="C421" s="123"/>
      <c r="D421" s="363">
        <f t="shared" si="29"/>
        <v>0</v>
      </c>
      <c r="E421" s="124"/>
      <c r="F421" s="124"/>
      <c r="G421" s="124"/>
      <c r="H421" s="124"/>
      <c r="I421" s="124"/>
      <c r="J421" s="124"/>
      <c r="K421" s="234">
        <f t="shared" si="32"/>
        <v>0</v>
      </c>
      <c r="L421" s="234">
        <f t="shared" si="32"/>
        <v>0</v>
      </c>
      <c r="M421" s="234">
        <f t="shared" si="32"/>
        <v>0</v>
      </c>
      <c r="N421" s="234">
        <f t="shared" si="32"/>
        <v>0</v>
      </c>
    </row>
    <row r="422" spans="1:14" x14ac:dyDescent="0.25">
      <c r="A422" s="232">
        <v>6333</v>
      </c>
      <c r="B422" s="85" t="s">
        <v>33</v>
      </c>
      <c r="C422" s="123"/>
      <c r="D422" s="363">
        <f t="shared" si="29"/>
        <v>0</v>
      </c>
      <c r="E422" s="124"/>
      <c r="F422" s="124"/>
      <c r="G422" s="124"/>
      <c r="H422" s="124"/>
      <c r="I422" s="124"/>
      <c r="J422" s="124"/>
      <c r="K422" s="234">
        <f t="shared" si="32"/>
        <v>0</v>
      </c>
      <c r="L422" s="234">
        <f t="shared" si="32"/>
        <v>0</v>
      </c>
      <c r="M422" s="234">
        <f t="shared" si="32"/>
        <v>0</v>
      </c>
      <c r="N422" s="234">
        <f t="shared" si="32"/>
        <v>0</v>
      </c>
    </row>
    <row r="423" spans="1:14" x14ac:dyDescent="0.25">
      <c r="A423" s="232">
        <v>6333</v>
      </c>
      <c r="B423" s="85" t="s">
        <v>35</v>
      </c>
      <c r="C423" s="123"/>
      <c r="D423" s="363">
        <f t="shared" si="29"/>
        <v>0</v>
      </c>
      <c r="E423" s="124"/>
      <c r="F423" s="124"/>
      <c r="G423" s="124"/>
      <c r="H423" s="124"/>
      <c r="I423" s="124"/>
      <c r="J423" s="124"/>
      <c r="K423" s="234">
        <f t="shared" si="32"/>
        <v>0</v>
      </c>
      <c r="L423" s="234">
        <f t="shared" si="32"/>
        <v>0</v>
      </c>
      <c r="M423" s="234">
        <f t="shared" si="32"/>
        <v>0</v>
      </c>
      <c r="N423" s="234">
        <f t="shared" si="32"/>
        <v>0</v>
      </c>
    </row>
    <row r="424" spans="1:14" x14ac:dyDescent="0.25">
      <c r="A424" s="232">
        <v>6333</v>
      </c>
      <c r="B424" s="108" t="s">
        <v>39</v>
      </c>
      <c r="C424" s="123"/>
      <c r="D424" s="363">
        <f t="shared" si="29"/>
        <v>0</v>
      </c>
      <c r="E424" s="124"/>
      <c r="F424" s="124"/>
      <c r="G424" s="124"/>
      <c r="H424" s="124"/>
      <c r="I424" s="124"/>
      <c r="J424" s="124"/>
      <c r="K424" s="234">
        <f t="shared" si="32"/>
        <v>0</v>
      </c>
      <c r="L424" s="234">
        <f t="shared" si="32"/>
        <v>0</v>
      </c>
      <c r="M424" s="234">
        <f t="shared" si="32"/>
        <v>0</v>
      </c>
      <c r="N424" s="234">
        <f t="shared" si="32"/>
        <v>0</v>
      </c>
    </row>
    <row r="425" spans="1:14" ht="15.75" thickBot="1" x14ac:dyDescent="0.3">
      <c r="A425" s="232">
        <v>6333</v>
      </c>
      <c r="B425" s="108" t="s">
        <v>34</v>
      </c>
      <c r="C425" s="123"/>
      <c r="D425" s="363">
        <f t="shared" si="29"/>
        <v>0</v>
      </c>
      <c r="E425" s="124"/>
      <c r="F425" s="124"/>
      <c r="G425" s="124"/>
      <c r="H425" s="124"/>
      <c r="I425" s="124"/>
      <c r="J425" s="124"/>
      <c r="K425" s="234">
        <f t="shared" si="32"/>
        <v>0</v>
      </c>
      <c r="L425" s="234">
        <f t="shared" si="32"/>
        <v>0</v>
      </c>
      <c r="M425" s="234">
        <f t="shared" si="32"/>
        <v>0</v>
      </c>
      <c r="N425" s="234">
        <f t="shared" si="32"/>
        <v>0</v>
      </c>
    </row>
    <row r="426" spans="1:14" x14ac:dyDescent="0.25">
      <c r="A426" s="231">
        <v>6310</v>
      </c>
      <c r="B426" s="119" t="s">
        <v>28</v>
      </c>
      <c r="C426" s="120"/>
      <c r="D426" s="352">
        <f t="shared" si="29"/>
        <v>0</v>
      </c>
      <c r="E426" s="121"/>
      <c r="F426" s="121"/>
      <c r="G426" s="121"/>
      <c r="H426" s="121"/>
      <c r="I426" s="121"/>
      <c r="J426" s="121"/>
      <c r="K426" s="236">
        <f t="shared" si="32"/>
        <v>0</v>
      </c>
      <c r="L426" s="236">
        <f t="shared" si="32"/>
        <v>0</v>
      </c>
      <c r="M426" s="236">
        <f t="shared" si="32"/>
        <v>0</v>
      </c>
      <c r="N426" s="236">
        <f t="shared" si="32"/>
        <v>0</v>
      </c>
    </row>
    <row r="427" spans="1:14" x14ac:dyDescent="0.25">
      <c r="A427" s="232">
        <v>6310</v>
      </c>
      <c r="B427" s="108" t="s">
        <v>27</v>
      </c>
      <c r="C427" s="123"/>
      <c r="D427" s="363">
        <f t="shared" si="29"/>
        <v>0</v>
      </c>
      <c r="E427" s="124"/>
      <c r="F427" s="124"/>
      <c r="G427" s="124"/>
      <c r="H427" s="124"/>
      <c r="I427" s="124"/>
      <c r="J427" s="124"/>
      <c r="K427" s="234">
        <f t="shared" si="32"/>
        <v>0</v>
      </c>
      <c r="L427" s="234">
        <f t="shared" si="32"/>
        <v>0</v>
      </c>
      <c r="M427" s="234">
        <f t="shared" si="32"/>
        <v>0</v>
      </c>
      <c r="N427" s="234">
        <f t="shared" si="32"/>
        <v>0</v>
      </c>
    </row>
    <row r="428" spans="1:14" x14ac:dyDescent="0.25">
      <c r="A428" s="232">
        <v>6310</v>
      </c>
      <c r="B428" s="108" t="s">
        <v>32</v>
      </c>
      <c r="C428" s="123"/>
      <c r="D428" s="363">
        <f t="shared" ref="D428:D491" si="33">COUNTIFS($A$28:$A$280,$A428,$B$28:$B$280,$B428)</f>
        <v>0</v>
      </c>
      <c r="E428" s="124"/>
      <c r="F428" s="124"/>
      <c r="G428" s="124"/>
      <c r="H428" s="124"/>
      <c r="I428" s="124"/>
      <c r="J428" s="124"/>
      <c r="K428" s="234">
        <f t="shared" si="32"/>
        <v>0</v>
      </c>
      <c r="L428" s="234">
        <f t="shared" si="32"/>
        <v>0</v>
      </c>
      <c r="M428" s="234">
        <f t="shared" si="32"/>
        <v>0</v>
      </c>
      <c r="N428" s="234">
        <f t="shared" si="32"/>
        <v>0</v>
      </c>
    </row>
    <row r="429" spans="1:14" x14ac:dyDescent="0.25">
      <c r="A429" s="232">
        <v>6310</v>
      </c>
      <c r="B429" s="108" t="s">
        <v>685</v>
      </c>
      <c r="C429" s="123"/>
      <c r="D429" s="363">
        <f t="shared" si="33"/>
        <v>0</v>
      </c>
      <c r="E429" s="124"/>
      <c r="F429" s="124"/>
      <c r="G429" s="124"/>
      <c r="H429" s="124"/>
      <c r="I429" s="124"/>
      <c r="J429" s="124"/>
      <c r="K429" s="234">
        <f t="shared" si="32"/>
        <v>0</v>
      </c>
      <c r="L429" s="234">
        <f t="shared" si="32"/>
        <v>0</v>
      </c>
      <c r="M429" s="234">
        <f t="shared" si="32"/>
        <v>0</v>
      </c>
      <c r="N429" s="234">
        <f t="shared" si="32"/>
        <v>0</v>
      </c>
    </row>
    <row r="430" spans="1:14" x14ac:dyDescent="0.25">
      <c r="A430" s="232">
        <v>6310</v>
      </c>
      <c r="B430" s="108" t="s">
        <v>41</v>
      </c>
      <c r="C430" s="123"/>
      <c r="D430" s="363">
        <f t="shared" si="33"/>
        <v>0</v>
      </c>
      <c r="E430" s="124"/>
      <c r="F430" s="124"/>
      <c r="G430" s="124"/>
      <c r="H430" s="124"/>
      <c r="I430" s="124"/>
      <c r="J430" s="124"/>
      <c r="K430" s="234">
        <f t="shared" si="32"/>
        <v>0</v>
      </c>
      <c r="L430" s="234">
        <f t="shared" si="32"/>
        <v>0</v>
      </c>
      <c r="M430" s="234">
        <f t="shared" si="32"/>
        <v>0</v>
      </c>
      <c r="N430" s="234">
        <f t="shared" si="32"/>
        <v>0</v>
      </c>
    </row>
    <row r="431" spans="1:14" x14ac:dyDescent="0.25">
      <c r="A431" s="232">
        <v>6310</v>
      </c>
      <c r="B431" s="108" t="s">
        <v>775</v>
      </c>
      <c r="C431" s="123"/>
      <c r="D431" s="363">
        <f t="shared" si="33"/>
        <v>0</v>
      </c>
      <c r="E431" s="124"/>
      <c r="F431" s="124"/>
      <c r="G431" s="124"/>
      <c r="H431" s="124"/>
      <c r="I431" s="124"/>
      <c r="J431" s="124"/>
      <c r="K431" s="234">
        <f t="shared" si="32"/>
        <v>0</v>
      </c>
      <c r="L431" s="234">
        <f t="shared" si="32"/>
        <v>0</v>
      </c>
      <c r="M431" s="234">
        <f t="shared" si="32"/>
        <v>0</v>
      </c>
      <c r="N431" s="234">
        <f t="shared" si="32"/>
        <v>0</v>
      </c>
    </row>
    <row r="432" spans="1:14" x14ac:dyDescent="0.25">
      <c r="A432" s="232">
        <v>6310</v>
      </c>
      <c r="B432" s="108" t="s">
        <v>37</v>
      </c>
      <c r="C432" s="123"/>
      <c r="D432" s="363">
        <f t="shared" si="33"/>
        <v>0</v>
      </c>
      <c r="E432" s="124"/>
      <c r="F432" s="124"/>
      <c r="G432" s="124"/>
      <c r="H432" s="124"/>
      <c r="I432" s="124"/>
      <c r="J432" s="124"/>
      <c r="K432" s="234">
        <f t="shared" si="32"/>
        <v>0</v>
      </c>
      <c r="L432" s="234">
        <f t="shared" si="32"/>
        <v>0</v>
      </c>
      <c r="M432" s="234">
        <f t="shared" si="32"/>
        <v>0</v>
      </c>
      <c r="N432" s="234">
        <f t="shared" si="32"/>
        <v>0</v>
      </c>
    </row>
    <row r="433" spans="1:14" x14ac:dyDescent="0.25">
      <c r="A433" s="232">
        <v>6310</v>
      </c>
      <c r="B433" s="108" t="s">
        <v>29</v>
      </c>
      <c r="C433" s="123"/>
      <c r="D433" s="363">
        <f t="shared" si="33"/>
        <v>0</v>
      </c>
      <c r="E433" s="124"/>
      <c r="F433" s="124"/>
      <c r="G433" s="124"/>
      <c r="H433" s="124"/>
      <c r="I433" s="124"/>
      <c r="J433" s="124"/>
      <c r="K433" s="234">
        <f t="shared" si="32"/>
        <v>0</v>
      </c>
      <c r="L433" s="234">
        <f t="shared" si="32"/>
        <v>0</v>
      </c>
      <c r="M433" s="234">
        <f t="shared" si="32"/>
        <v>0</v>
      </c>
      <c r="N433" s="234">
        <f t="shared" si="32"/>
        <v>0</v>
      </c>
    </row>
    <row r="434" spans="1:14" x14ac:dyDescent="0.25">
      <c r="A434" s="232">
        <v>6310</v>
      </c>
      <c r="B434" s="108" t="s">
        <v>536</v>
      </c>
      <c r="C434" s="123"/>
      <c r="D434" s="363">
        <f t="shared" si="33"/>
        <v>0</v>
      </c>
      <c r="E434" s="124"/>
      <c r="F434" s="124"/>
      <c r="G434" s="124"/>
      <c r="H434" s="124"/>
      <c r="I434" s="124"/>
      <c r="J434" s="124"/>
      <c r="K434" s="234">
        <f t="shared" si="32"/>
        <v>0</v>
      </c>
      <c r="L434" s="234">
        <f t="shared" si="32"/>
        <v>0</v>
      </c>
      <c r="M434" s="234">
        <f t="shared" si="32"/>
        <v>0</v>
      </c>
      <c r="N434" s="234">
        <f t="shared" si="32"/>
        <v>0</v>
      </c>
    </row>
    <row r="435" spans="1:14" x14ac:dyDescent="0.25">
      <c r="A435" s="232">
        <v>6310</v>
      </c>
      <c r="B435" s="108" t="s">
        <v>36</v>
      </c>
      <c r="C435" s="123"/>
      <c r="D435" s="363">
        <f t="shared" si="33"/>
        <v>0</v>
      </c>
      <c r="E435" s="124"/>
      <c r="F435" s="124"/>
      <c r="G435" s="124"/>
      <c r="H435" s="124"/>
      <c r="I435" s="124"/>
      <c r="J435" s="124"/>
      <c r="K435" s="234">
        <f t="shared" si="32"/>
        <v>0</v>
      </c>
      <c r="L435" s="234">
        <f t="shared" si="32"/>
        <v>0</v>
      </c>
      <c r="M435" s="234">
        <f t="shared" si="32"/>
        <v>0</v>
      </c>
      <c r="N435" s="234">
        <f t="shared" si="32"/>
        <v>0</v>
      </c>
    </row>
    <row r="436" spans="1:14" x14ac:dyDescent="0.25">
      <c r="A436" s="232">
        <v>6310</v>
      </c>
      <c r="B436" s="85" t="s">
        <v>31</v>
      </c>
      <c r="C436" s="123"/>
      <c r="D436" s="363">
        <f t="shared" si="33"/>
        <v>0</v>
      </c>
      <c r="E436" s="124"/>
      <c r="F436" s="124"/>
      <c r="G436" s="124"/>
      <c r="H436" s="124"/>
      <c r="I436" s="124"/>
      <c r="J436" s="124"/>
      <c r="K436" s="234">
        <f t="shared" si="32"/>
        <v>0</v>
      </c>
      <c r="L436" s="234">
        <f t="shared" si="32"/>
        <v>0</v>
      </c>
      <c r="M436" s="234">
        <f t="shared" si="32"/>
        <v>0</v>
      </c>
      <c r="N436" s="234">
        <f t="shared" si="32"/>
        <v>0</v>
      </c>
    </row>
    <row r="437" spans="1:14" x14ac:dyDescent="0.25">
      <c r="A437" s="232">
        <v>6310</v>
      </c>
      <c r="B437" s="85" t="s">
        <v>30</v>
      </c>
      <c r="C437" s="123"/>
      <c r="D437" s="363">
        <f t="shared" si="33"/>
        <v>1</v>
      </c>
      <c r="E437" s="124"/>
      <c r="F437" s="124"/>
      <c r="G437" s="124"/>
      <c r="H437" s="124"/>
      <c r="I437" s="124"/>
      <c r="J437" s="124"/>
      <c r="K437" s="234">
        <f t="shared" si="32"/>
        <v>95771</v>
      </c>
      <c r="L437" s="234">
        <f t="shared" si="32"/>
        <v>0</v>
      </c>
      <c r="M437" s="234">
        <f t="shared" si="32"/>
        <v>0</v>
      </c>
      <c r="N437" s="234">
        <f t="shared" si="32"/>
        <v>95771</v>
      </c>
    </row>
    <row r="438" spans="1:14" x14ac:dyDescent="0.25">
      <c r="A438" s="232">
        <v>6310</v>
      </c>
      <c r="B438" s="85" t="s">
        <v>38</v>
      </c>
      <c r="C438" s="123"/>
      <c r="D438" s="363">
        <f t="shared" si="33"/>
        <v>0</v>
      </c>
      <c r="E438" s="124"/>
      <c r="F438" s="124"/>
      <c r="G438" s="124"/>
      <c r="H438" s="124"/>
      <c r="I438" s="124"/>
      <c r="J438" s="124"/>
      <c r="K438" s="234">
        <f t="shared" si="32"/>
        <v>0</v>
      </c>
      <c r="L438" s="234">
        <f t="shared" si="32"/>
        <v>0</v>
      </c>
      <c r="M438" s="234">
        <f t="shared" si="32"/>
        <v>0</v>
      </c>
      <c r="N438" s="234">
        <f t="shared" si="32"/>
        <v>0</v>
      </c>
    </row>
    <row r="439" spans="1:14" x14ac:dyDescent="0.25">
      <c r="A439" s="232">
        <v>6310</v>
      </c>
      <c r="B439" s="85" t="s">
        <v>684</v>
      </c>
      <c r="C439" s="123"/>
      <c r="D439" s="363">
        <f t="shared" si="33"/>
        <v>0</v>
      </c>
      <c r="E439" s="124"/>
      <c r="F439" s="124"/>
      <c r="G439" s="124"/>
      <c r="H439" s="124"/>
      <c r="I439" s="124"/>
      <c r="J439" s="124"/>
      <c r="K439" s="234">
        <f t="shared" si="32"/>
        <v>0</v>
      </c>
      <c r="L439" s="234">
        <f t="shared" si="32"/>
        <v>0</v>
      </c>
      <c r="M439" s="234">
        <f t="shared" si="32"/>
        <v>0</v>
      </c>
      <c r="N439" s="234">
        <f t="shared" si="32"/>
        <v>0</v>
      </c>
    </row>
    <row r="440" spans="1:14" x14ac:dyDescent="0.25">
      <c r="A440" s="232">
        <v>6310</v>
      </c>
      <c r="B440" s="85" t="s">
        <v>33</v>
      </c>
      <c r="C440" s="123"/>
      <c r="D440" s="363">
        <f t="shared" si="33"/>
        <v>0</v>
      </c>
      <c r="E440" s="124"/>
      <c r="F440" s="124"/>
      <c r="G440" s="124"/>
      <c r="H440" s="124"/>
      <c r="I440" s="124"/>
      <c r="J440" s="124"/>
      <c r="K440" s="234">
        <f t="shared" ref="K440:N459" si="34">SUMIFS(K$28:K$280,$A$28:$A$280,$A440,$B$28:$B$280,$B440)</f>
        <v>0</v>
      </c>
      <c r="L440" s="234">
        <f t="shared" si="34"/>
        <v>0</v>
      </c>
      <c r="M440" s="234">
        <f t="shared" si="34"/>
        <v>0</v>
      </c>
      <c r="N440" s="234">
        <f t="shared" si="34"/>
        <v>0</v>
      </c>
    </row>
    <row r="441" spans="1:14" x14ac:dyDescent="0.25">
      <c r="A441" s="232">
        <v>6310</v>
      </c>
      <c r="B441" s="85" t="s">
        <v>35</v>
      </c>
      <c r="C441" s="123"/>
      <c r="D441" s="363">
        <f t="shared" si="33"/>
        <v>0</v>
      </c>
      <c r="E441" s="124"/>
      <c r="F441" s="124"/>
      <c r="G441" s="124"/>
      <c r="H441" s="124"/>
      <c r="I441" s="124"/>
      <c r="J441" s="124"/>
      <c r="K441" s="234">
        <f t="shared" si="34"/>
        <v>0</v>
      </c>
      <c r="L441" s="234">
        <f t="shared" si="34"/>
        <v>0</v>
      </c>
      <c r="M441" s="234">
        <f t="shared" si="34"/>
        <v>0</v>
      </c>
      <c r="N441" s="234">
        <f t="shared" si="34"/>
        <v>0</v>
      </c>
    </row>
    <row r="442" spans="1:14" x14ac:dyDescent="0.25">
      <c r="A442" s="232">
        <v>6310</v>
      </c>
      <c r="B442" s="108" t="s">
        <v>39</v>
      </c>
      <c r="C442" s="123"/>
      <c r="D442" s="363">
        <f t="shared" si="33"/>
        <v>0</v>
      </c>
      <c r="E442" s="124"/>
      <c r="F442" s="124"/>
      <c r="G442" s="124"/>
      <c r="H442" s="124"/>
      <c r="I442" s="124"/>
      <c r="J442" s="124"/>
      <c r="K442" s="234">
        <f t="shared" si="34"/>
        <v>0</v>
      </c>
      <c r="L442" s="234">
        <f t="shared" si="34"/>
        <v>0</v>
      </c>
      <c r="M442" s="234">
        <f t="shared" si="34"/>
        <v>0</v>
      </c>
      <c r="N442" s="234">
        <f t="shared" si="34"/>
        <v>0</v>
      </c>
    </row>
    <row r="443" spans="1:14" ht="15.75" thickBot="1" x14ac:dyDescent="0.3">
      <c r="A443" s="232">
        <v>6310</v>
      </c>
      <c r="B443" s="108" t="s">
        <v>34</v>
      </c>
      <c r="C443" s="123"/>
      <c r="D443" s="363">
        <f t="shared" si="33"/>
        <v>0</v>
      </c>
      <c r="E443" s="124"/>
      <c r="F443" s="124"/>
      <c r="G443" s="124"/>
      <c r="H443" s="124"/>
      <c r="I443" s="124"/>
      <c r="J443" s="124"/>
      <c r="K443" s="234">
        <f t="shared" si="34"/>
        <v>0</v>
      </c>
      <c r="L443" s="234">
        <f t="shared" si="34"/>
        <v>0</v>
      </c>
      <c r="M443" s="234">
        <f t="shared" si="34"/>
        <v>0</v>
      </c>
      <c r="N443" s="234">
        <f t="shared" si="34"/>
        <v>0</v>
      </c>
    </row>
    <row r="444" spans="1:14" x14ac:dyDescent="0.25">
      <c r="A444" s="231">
        <v>6315</v>
      </c>
      <c r="B444" s="119" t="s">
        <v>28</v>
      </c>
      <c r="C444" s="120"/>
      <c r="D444" s="352">
        <f t="shared" si="33"/>
        <v>0</v>
      </c>
      <c r="E444" s="121"/>
      <c r="F444" s="121"/>
      <c r="G444" s="121"/>
      <c r="H444" s="121"/>
      <c r="I444" s="121"/>
      <c r="J444" s="121"/>
      <c r="K444" s="355">
        <f t="shared" si="34"/>
        <v>0</v>
      </c>
      <c r="L444" s="355">
        <f t="shared" si="34"/>
        <v>0</v>
      </c>
      <c r="M444" s="355">
        <f t="shared" si="34"/>
        <v>0</v>
      </c>
      <c r="N444" s="355">
        <f t="shared" si="34"/>
        <v>0</v>
      </c>
    </row>
    <row r="445" spans="1:14" x14ac:dyDescent="0.25">
      <c r="A445" s="232">
        <v>6315</v>
      </c>
      <c r="B445" s="108" t="s">
        <v>27</v>
      </c>
      <c r="C445" s="123"/>
      <c r="D445" s="363">
        <f t="shared" si="33"/>
        <v>0</v>
      </c>
      <c r="E445" s="124"/>
      <c r="F445" s="124"/>
      <c r="G445" s="124"/>
      <c r="H445" s="124"/>
      <c r="I445" s="124"/>
      <c r="J445" s="124"/>
      <c r="K445" s="354">
        <f t="shared" si="34"/>
        <v>0</v>
      </c>
      <c r="L445" s="354">
        <f t="shared" si="34"/>
        <v>0</v>
      </c>
      <c r="M445" s="354">
        <f t="shared" si="34"/>
        <v>0</v>
      </c>
      <c r="N445" s="354">
        <f t="shared" si="34"/>
        <v>0</v>
      </c>
    </row>
    <row r="446" spans="1:14" x14ac:dyDescent="0.25">
      <c r="A446" s="232">
        <v>6315</v>
      </c>
      <c r="B446" s="108" t="s">
        <v>32</v>
      </c>
      <c r="C446" s="123"/>
      <c r="D446" s="363">
        <f t="shared" si="33"/>
        <v>0</v>
      </c>
      <c r="E446" s="124"/>
      <c r="F446" s="124"/>
      <c r="G446" s="124"/>
      <c r="H446" s="124"/>
      <c r="I446" s="124"/>
      <c r="J446" s="124"/>
      <c r="K446" s="354">
        <f t="shared" si="34"/>
        <v>0</v>
      </c>
      <c r="L446" s="354">
        <f t="shared" si="34"/>
        <v>0</v>
      </c>
      <c r="M446" s="354">
        <f t="shared" si="34"/>
        <v>0</v>
      </c>
      <c r="N446" s="354">
        <f t="shared" si="34"/>
        <v>0</v>
      </c>
    </row>
    <row r="447" spans="1:14" x14ac:dyDescent="0.25">
      <c r="A447" s="232">
        <v>6315</v>
      </c>
      <c r="B447" s="108" t="s">
        <v>685</v>
      </c>
      <c r="C447" s="123"/>
      <c r="D447" s="363">
        <f t="shared" si="33"/>
        <v>0</v>
      </c>
      <c r="E447" s="124"/>
      <c r="F447" s="124"/>
      <c r="G447" s="124"/>
      <c r="H447" s="124"/>
      <c r="I447" s="124"/>
      <c r="J447" s="124"/>
      <c r="K447" s="354">
        <f t="shared" si="34"/>
        <v>0</v>
      </c>
      <c r="L447" s="354">
        <f t="shared" si="34"/>
        <v>0</v>
      </c>
      <c r="M447" s="354">
        <f t="shared" si="34"/>
        <v>0</v>
      </c>
      <c r="N447" s="354">
        <f t="shared" si="34"/>
        <v>0</v>
      </c>
    </row>
    <row r="448" spans="1:14" x14ac:dyDescent="0.25">
      <c r="A448" s="232">
        <v>6315</v>
      </c>
      <c r="B448" s="108" t="s">
        <v>41</v>
      </c>
      <c r="C448" s="123"/>
      <c r="D448" s="363">
        <f t="shared" si="33"/>
        <v>0</v>
      </c>
      <c r="E448" s="124"/>
      <c r="F448" s="124"/>
      <c r="G448" s="124"/>
      <c r="H448" s="124"/>
      <c r="I448" s="124"/>
      <c r="J448" s="124"/>
      <c r="K448" s="354">
        <f t="shared" si="34"/>
        <v>0</v>
      </c>
      <c r="L448" s="354">
        <f t="shared" si="34"/>
        <v>0</v>
      </c>
      <c r="M448" s="354">
        <f t="shared" si="34"/>
        <v>0</v>
      </c>
      <c r="N448" s="354">
        <f t="shared" si="34"/>
        <v>0</v>
      </c>
    </row>
    <row r="449" spans="1:14" x14ac:dyDescent="0.25">
      <c r="A449" s="232">
        <v>6315</v>
      </c>
      <c r="B449" s="108" t="s">
        <v>775</v>
      </c>
      <c r="C449" s="123"/>
      <c r="D449" s="363">
        <f t="shared" si="33"/>
        <v>0</v>
      </c>
      <c r="E449" s="124"/>
      <c r="F449" s="124"/>
      <c r="G449" s="124"/>
      <c r="H449" s="124"/>
      <c r="I449" s="124"/>
      <c r="J449" s="124"/>
      <c r="K449" s="354">
        <f t="shared" si="34"/>
        <v>0</v>
      </c>
      <c r="L449" s="354">
        <f t="shared" si="34"/>
        <v>0</v>
      </c>
      <c r="M449" s="354">
        <f t="shared" si="34"/>
        <v>0</v>
      </c>
      <c r="N449" s="354">
        <f t="shared" si="34"/>
        <v>0</v>
      </c>
    </row>
    <row r="450" spans="1:14" x14ac:dyDescent="0.25">
      <c r="A450" s="232">
        <v>6315</v>
      </c>
      <c r="B450" s="108" t="s">
        <v>37</v>
      </c>
      <c r="C450" s="123"/>
      <c r="D450" s="363">
        <f t="shared" si="33"/>
        <v>0</v>
      </c>
      <c r="E450" s="124"/>
      <c r="F450" s="124"/>
      <c r="G450" s="124"/>
      <c r="H450" s="124"/>
      <c r="I450" s="124"/>
      <c r="J450" s="124"/>
      <c r="K450" s="354">
        <f t="shared" si="34"/>
        <v>0</v>
      </c>
      <c r="L450" s="354">
        <f t="shared" si="34"/>
        <v>0</v>
      </c>
      <c r="M450" s="354">
        <f t="shared" si="34"/>
        <v>0</v>
      </c>
      <c r="N450" s="354">
        <f t="shared" si="34"/>
        <v>0</v>
      </c>
    </row>
    <row r="451" spans="1:14" x14ac:dyDescent="0.25">
      <c r="A451" s="232">
        <v>6315</v>
      </c>
      <c r="B451" s="108" t="s">
        <v>29</v>
      </c>
      <c r="C451" s="123"/>
      <c r="D451" s="363">
        <f t="shared" si="33"/>
        <v>0</v>
      </c>
      <c r="E451" s="124"/>
      <c r="F451" s="124"/>
      <c r="G451" s="124"/>
      <c r="H451" s="124"/>
      <c r="I451" s="124"/>
      <c r="J451" s="124"/>
      <c r="K451" s="354">
        <f t="shared" si="34"/>
        <v>0</v>
      </c>
      <c r="L451" s="354">
        <f t="shared" si="34"/>
        <v>0</v>
      </c>
      <c r="M451" s="354">
        <f t="shared" si="34"/>
        <v>0</v>
      </c>
      <c r="N451" s="354">
        <f t="shared" si="34"/>
        <v>0</v>
      </c>
    </row>
    <row r="452" spans="1:14" x14ac:dyDescent="0.25">
      <c r="A452" s="232">
        <v>6315</v>
      </c>
      <c r="B452" s="108" t="s">
        <v>536</v>
      </c>
      <c r="C452" s="123"/>
      <c r="D452" s="363">
        <f t="shared" si="33"/>
        <v>0</v>
      </c>
      <c r="E452" s="124"/>
      <c r="F452" s="124"/>
      <c r="G452" s="124"/>
      <c r="H452" s="124"/>
      <c r="I452" s="124"/>
      <c r="J452" s="124"/>
      <c r="K452" s="354">
        <f t="shared" si="34"/>
        <v>0</v>
      </c>
      <c r="L452" s="354">
        <f t="shared" si="34"/>
        <v>0</v>
      </c>
      <c r="M452" s="354">
        <f t="shared" si="34"/>
        <v>0</v>
      </c>
      <c r="N452" s="354">
        <f t="shared" si="34"/>
        <v>0</v>
      </c>
    </row>
    <row r="453" spans="1:14" x14ac:dyDescent="0.25">
      <c r="A453" s="232">
        <v>6315</v>
      </c>
      <c r="B453" s="108" t="s">
        <v>36</v>
      </c>
      <c r="C453" s="123"/>
      <c r="D453" s="363">
        <f t="shared" si="33"/>
        <v>0</v>
      </c>
      <c r="E453" s="124"/>
      <c r="F453" s="124"/>
      <c r="G453" s="124"/>
      <c r="H453" s="124"/>
      <c r="I453" s="124"/>
      <c r="J453" s="124"/>
      <c r="K453" s="354">
        <f t="shared" si="34"/>
        <v>0</v>
      </c>
      <c r="L453" s="354">
        <f t="shared" si="34"/>
        <v>0</v>
      </c>
      <c r="M453" s="354">
        <f t="shared" si="34"/>
        <v>0</v>
      </c>
      <c r="N453" s="354">
        <f t="shared" si="34"/>
        <v>0</v>
      </c>
    </row>
    <row r="454" spans="1:14" x14ac:dyDescent="0.25">
      <c r="A454" s="232">
        <v>6315</v>
      </c>
      <c r="B454" s="85" t="s">
        <v>31</v>
      </c>
      <c r="C454" s="123"/>
      <c r="D454" s="363">
        <f t="shared" si="33"/>
        <v>0</v>
      </c>
      <c r="E454" s="124"/>
      <c r="F454" s="124"/>
      <c r="G454" s="124"/>
      <c r="H454" s="124"/>
      <c r="I454" s="124"/>
      <c r="J454" s="124"/>
      <c r="K454" s="354">
        <f t="shared" si="34"/>
        <v>0</v>
      </c>
      <c r="L454" s="354">
        <f t="shared" si="34"/>
        <v>0</v>
      </c>
      <c r="M454" s="354">
        <f t="shared" si="34"/>
        <v>0</v>
      </c>
      <c r="N454" s="354">
        <f t="shared" si="34"/>
        <v>0</v>
      </c>
    </row>
    <row r="455" spans="1:14" x14ac:dyDescent="0.25">
      <c r="A455" s="232">
        <v>6315</v>
      </c>
      <c r="B455" s="85" t="s">
        <v>30</v>
      </c>
      <c r="C455" s="123"/>
      <c r="D455" s="363">
        <f t="shared" si="33"/>
        <v>0</v>
      </c>
      <c r="E455" s="124"/>
      <c r="F455" s="124"/>
      <c r="G455" s="124"/>
      <c r="H455" s="124"/>
      <c r="I455" s="124"/>
      <c r="J455" s="124"/>
      <c r="K455" s="354">
        <f t="shared" si="34"/>
        <v>0</v>
      </c>
      <c r="L455" s="354">
        <f t="shared" si="34"/>
        <v>0</v>
      </c>
      <c r="M455" s="354">
        <f t="shared" si="34"/>
        <v>0</v>
      </c>
      <c r="N455" s="354">
        <f t="shared" si="34"/>
        <v>0</v>
      </c>
    </row>
    <row r="456" spans="1:14" x14ac:dyDescent="0.25">
      <c r="A456" s="232">
        <v>6315</v>
      </c>
      <c r="B456" s="85" t="s">
        <v>38</v>
      </c>
      <c r="C456" s="123"/>
      <c r="D456" s="363">
        <f t="shared" si="33"/>
        <v>0</v>
      </c>
      <c r="E456" s="124"/>
      <c r="F456" s="124"/>
      <c r="G456" s="124"/>
      <c r="H456" s="124"/>
      <c r="I456" s="124"/>
      <c r="J456" s="124"/>
      <c r="K456" s="354">
        <f t="shared" si="34"/>
        <v>0</v>
      </c>
      <c r="L456" s="354">
        <f t="shared" si="34"/>
        <v>0</v>
      </c>
      <c r="M456" s="354">
        <f t="shared" si="34"/>
        <v>0</v>
      </c>
      <c r="N456" s="354">
        <f t="shared" si="34"/>
        <v>0</v>
      </c>
    </row>
    <row r="457" spans="1:14" x14ac:dyDescent="0.25">
      <c r="A457" s="232">
        <v>6315</v>
      </c>
      <c r="B457" s="85" t="s">
        <v>684</v>
      </c>
      <c r="C457" s="123"/>
      <c r="D457" s="363">
        <f t="shared" si="33"/>
        <v>5</v>
      </c>
      <c r="E457" s="124"/>
      <c r="F457" s="124"/>
      <c r="G457" s="124"/>
      <c r="H457" s="124"/>
      <c r="I457" s="124"/>
      <c r="J457" s="124"/>
      <c r="K457" s="354">
        <f t="shared" si="34"/>
        <v>13866</v>
      </c>
      <c r="L457" s="354">
        <f t="shared" si="34"/>
        <v>10340.43</v>
      </c>
      <c r="M457" s="354">
        <f t="shared" si="34"/>
        <v>12315.65</v>
      </c>
      <c r="N457" s="354">
        <f t="shared" si="34"/>
        <v>21200</v>
      </c>
    </row>
    <row r="458" spans="1:14" x14ac:dyDescent="0.25">
      <c r="A458" s="232">
        <v>6315</v>
      </c>
      <c r="B458" s="85" t="s">
        <v>33</v>
      </c>
      <c r="C458" s="123"/>
      <c r="D458" s="363">
        <f t="shared" si="33"/>
        <v>0</v>
      </c>
      <c r="E458" s="124"/>
      <c r="F458" s="124"/>
      <c r="G458" s="124"/>
      <c r="H458" s="124"/>
      <c r="I458" s="124"/>
      <c r="J458" s="124"/>
      <c r="K458" s="354">
        <f t="shared" si="34"/>
        <v>0</v>
      </c>
      <c r="L458" s="354">
        <f t="shared" si="34"/>
        <v>0</v>
      </c>
      <c r="M458" s="354">
        <f t="shared" si="34"/>
        <v>0</v>
      </c>
      <c r="N458" s="354">
        <f t="shared" si="34"/>
        <v>0</v>
      </c>
    </row>
    <row r="459" spans="1:14" x14ac:dyDescent="0.25">
      <c r="A459" s="232">
        <v>6315</v>
      </c>
      <c r="B459" s="85" t="s">
        <v>35</v>
      </c>
      <c r="C459" s="123"/>
      <c r="D459" s="363">
        <f t="shared" si="33"/>
        <v>0</v>
      </c>
      <c r="E459" s="124"/>
      <c r="F459" s="124"/>
      <c r="G459" s="124"/>
      <c r="H459" s="124"/>
      <c r="I459" s="124"/>
      <c r="J459" s="124"/>
      <c r="K459" s="354">
        <f t="shared" si="34"/>
        <v>0</v>
      </c>
      <c r="L459" s="354">
        <f t="shared" si="34"/>
        <v>0</v>
      </c>
      <c r="M459" s="354">
        <f t="shared" si="34"/>
        <v>0</v>
      </c>
      <c r="N459" s="354">
        <f t="shared" si="34"/>
        <v>0</v>
      </c>
    </row>
    <row r="460" spans="1:14" x14ac:dyDescent="0.25">
      <c r="A460" s="232">
        <v>6315</v>
      </c>
      <c r="B460" s="108" t="s">
        <v>39</v>
      </c>
      <c r="C460" s="123"/>
      <c r="D460" s="363">
        <f t="shared" si="33"/>
        <v>0</v>
      </c>
      <c r="E460" s="124"/>
      <c r="F460" s="124"/>
      <c r="G460" s="124"/>
      <c r="H460" s="124"/>
      <c r="I460" s="124"/>
      <c r="J460" s="124"/>
      <c r="K460" s="354">
        <f t="shared" ref="K460:N479" si="35">SUMIFS(K$28:K$280,$A$28:$A$280,$A460,$B$28:$B$280,$B460)</f>
        <v>0</v>
      </c>
      <c r="L460" s="354">
        <f t="shared" si="35"/>
        <v>0</v>
      </c>
      <c r="M460" s="354">
        <f t="shared" si="35"/>
        <v>0</v>
      </c>
      <c r="N460" s="354">
        <f t="shared" si="35"/>
        <v>0</v>
      </c>
    </row>
    <row r="461" spans="1:14" ht="15.75" thickBot="1" x14ac:dyDescent="0.3">
      <c r="A461" s="232">
        <v>6315</v>
      </c>
      <c r="B461" s="108" t="s">
        <v>34</v>
      </c>
      <c r="C461" s="123"/>
      <c r="D461" s="363">
        <f t="shared" si="33"/>
        <v>0</v>
      </c>
      <c r="E461" s="124"/>
      <c r="F461" s="124"/>
      <c r="G461" s="124"/>
      <c r="H461" s="124"/>
      <c r="I461" s="124"/>
      <c r="J461" s="124"/>
      <c r="K461" s="354">
        <f t="shared" si="35"/>
        <v>0</v>
      </c>
      <c r="L461" s="354">
        <f t="shared" si="35"/>
        <v>0</v>
      </c>
      <c r="M461" s="354">
        <f t="shared" si="35"/>
        <v>0</v>
      </c>
      <c r="N461" s="354">
        <f t="shared" si="35"/>
        <v>0</v>
      </c>
    </row>
    <row r="462" spans="1:14" x14ac:dyDescent="0.25">
      <c r="A462" s="231">
        <v>6385</v>
      </c>
      <c r="B462" s="119" t="s">
        <v>28</v>
      </c>
      <c r="C462" s="120"/>
      <c r="D462" s="352">
        <f t="shared" si="33"/>
        <v>0</v>
      </c>
      <c r="E462" s="121"/>
      <c r="F462" s="121"/>
      <c r="G462" s="121"/>
      <c r="H462" s="121"/>
      <c r="I462" s="121"/>
      <c r="J462" s="121"/>
      <c r="K462" s="236">
        <f t="shared" si="35"/>
        <v>0</v>
      </c>
      <c r="L462" s="236">
        <f t="shared" si="35"/>
        <v>0</v>
      </c>
      <c r="M462" s="236">
        <f t="shared" si="35"/>
        <v>0</v>
      </c>
      <c r="N462" s="236">
        <f t="shared" si="35"/>
        <v>0</v>
      </c>
    </row>
    <row r="463" spans="1:14" x14ac:dyDescent="0.25">
      <c r="A463" s="232">
        <v>6385</v>
      </c>
      <c r="B463" s="108" t="s">
        <v>27</v>
      </c>
      <c r="C463" s="123"/>
      <c r="D463" s="363">
        <f t="shared" si="33"/>
        <v>0</v>
      </c>
      <c r="E463" s="124"/>
      <c r="F463" s="124"/>
      <c r="G463" s="124"/>
      <c r="H463" s="124"/>
      <c r="I463" s="124"/>
      <c r="J463" s="124"/>
      <c r="K463" s="234">
        <f t="shared" si="35"/>
        <v>0</v>
      </c>
      <c r="L463" s="234">
        <f t="shared" si="35"/>
        <v>0</v>
      </c>
      <c r="M463" s="234">
        <f t="shared" si="35"/>
        <v>0</v>
      </c>
      <c r="N463" s="234">
        <f t="shared" si="35"/>
        <v>0</v>
      </c>
    </row>
    <row r="464" spans="1:14" x14ac:dyDescent="0.25">
      <c r="A464" s="232">
        <v>6385</v>
      </c>
      <c r="B464" s="108" t="s">
        <v>32</v>
      </c>
      <c r="C464" s="123"/>
      <c r="D464" s="363">
        <f t="shared" si="33"/>
        <v>0</v>
      </c>
      <c r="E464" s="124"/>
      <c r="F464" s="124"/>
      <c r="G464" s="124"/>
      <c r="H464" s="124"/>
      <c r="I464" s="124"/>
      <c r="J464" s="124"/>
      <c r="K464" s="234">
        <f t="shared" si="35"/>
        <v>0</v>
      </c>
      <c r="L464" s="234">
        <f t="shared" si="35"/>
        <v>0</v>
      </c>
      <c r="M464" s="234">
        <f t="shared" si="35"/>
        <v>0</v>
      </c>
      <c r="N464" s="234">
        <f t="shared" si="35"/>
        <v>0</v>
      </c>
    </row>
    <row r="465" spans="1:14" x14ac:dyDescent="0.25">
      <c r="A465" s="232">
        <v>6385</v>
      </c>
      <c r="B465" s="108" t="s">
        <v>685</v>
      </c>
      <c r="C465" s="123"/>
      <c r="D465" s="363">
        <f t="shared" si="33"/>
        <v>0</v>
      </c>
      <c r="E465" s="124"/>
      <c r="F465" s="124"/>
      <c r="G465" s="124"/>
      <c r="H465" s="124"/>
      <c r="I465" s="124"/>
      <c r="J465" s="124"/>
      <c r="K465" s="234">
        <f t="shared" si="35"/>
        <v>0</v>
      </c>
      <c r="L465" s="234">
        <f t="shared" si="35"/>
        <v>0</v>
      </c>
      <c r="M465" s="234">
        <f t="shared" si="35"/>
        <v>0</v>
      </c>
      <c r="N465" s="234">
        <f t="shared" si="35"/>
        <v>0</v>
      </c>
    </row>
    <row r="466" spans="1:14" x14ac:dyDescent="0.25">
      <c r="A466" s="232">
        <v>6385</v>
      </c>
      <c r="B466" s="108" t="s">
        <v>41</v>
      </c>
      <c r="C466" s="123"/>
      <c r="D466" s="363">
        <f t="shared" si="33"/>
        <v>0</v>
      </c>
      <c r="E466" s="124"/>
      <c r="F466" s="124"/>
      <c r="G466" s="124"/>
      <c r="H466" s="124"/>
      <c r="I466" s="124"/>
      <c r="J466" s="124"/>
      <c r="K466" s="234">
        <f t="shared" si="35"/>
        <v>0</v>
      </c>
      <c r="L466" s="234">
        <f t="shared" si="35"/>
        <v>0</v>
      </c>
      <c r="M466" s="234">
        <f t="shared" si="35"/>
        <v>0</v>
      </c>
      <c r="N466" s="234">
        <f t="shared" si="35"/>
        <v>0</v>
      </c>
    </row>
    <row r="467" spans="1:14" x14ac:dyDescent="0.25">
      <c r="A467" s="232">
        <v>6385</v>
      </c>
      <c r="B467" s="108" t="s">
        <v>775</v>
      </c>
      <c r="C467" s="123"/>
      <c r="D467" s="363">
        <f t="shared" si="33"/>
        <v>0</v>
      </c>
      <c r="E467" s="124"/>
      <c r="F467" s="124"/>
      <c r="G467" s="124"/>
      <c r="H467" s="124"/>
      <c r="I467" s="124"/>
      <c r="J467" s="124"/>
      <c r="K467" s="234">
        <f t="shared" si="35"/>
        <v>0</v>
      </c>
      <c r="L467" s="234">
        <f t="shared" si="35"/>
        <v>0</v>
      </c>
      <c r="M467" s="234">
        <f t="shared" si="35"/>
        <v>0</v>
      </c>
      <c r="N467" s="234">
        <f t="shared" si="35"/>
        <v>0</v>
      </c>
    </row>
    <row r="468" spans="1:14" x14ac:dyDescent="0.25">
      <c r="A468" s="232">
        <v>6385</v>
      </c>
      <c r="B468" s="108" t="s">
        <v>37</v>
      </c>
      <c r="C468" s="123"/>
      <c r="D468" s="363">
        <f t="shared" si="33"/>
        <v>0</v>
      </c>
      <c r="E468" s="124"/>
      <c r="F468" s="124"/>
      <c r="G468" s="124"/>
      <c r="H468" s="124"/>
      <c r="I468" s="124"/>
      <c r="J468" s="124"/>
      <c r="K468" s="234">
        <f t="shared" si="35"/>
        <v>0</v>
      </c>
      <c r="L468" s="234">
        <f t="shared" si="35"/>
        <v>0</v>
      </c>
      <c r="M468" s="234">
        <f t="shared" si="35"/>
        <v>0</v>
      </c>
      <c r="N468" s="234">
        <f t="shared" si="35"/>
        <v>0</v>
      </c>
    </row>
    <row r="469" spans="1:14" x14ac:dyDescent="0.25">
      <c r="A469" s="232">
        <v>6385</v>
      </c>
      <c r="B469" s="108" t="s">
        <v>29</v>
      </c>
      <c r="C469" s="123"/>
      <c r="D469" s="363">
        <f t="shared" si="33"/>
        <v>0</v>
      </c>
      <c r="E469" s="124"/>
      <c r="F469" s="124"/>
      <c r="G469" s="124"/>
      <c r="H469" s="124"/>
      <c r="I469" s="124"/>
      <c r="J469" s="124"/>
      <c r="K469" s="234">
        <f t="shared" si="35"/>
        <v>0</v>
      </c>
      <c r="L469" s="234">
        <f t="shared" si="35"/>
        <v>0</v>
      </c>
      <c r="M469" s="234">
        <f t="shared" si="35"/>
        <v>0</v>
      </c>
      <c r="N469" s="234">
        <f t="shared" si="35"/>
        <v>0</v>
      </c>
    </row>
    <row r="470" spans="1:14" x14ac:dyDescent="0.25">
      <c r="A470" s="232">
        <v>6385</v>
      </c>
      <c r="B470" s="108" t="s">
        <v>536</v>
      </c>
      <c r="C470" s="123"/>
      <c r="D470" s="363">
        <f t="shared" si="33"/>
        <v>0</v>
      </c>
      <c r="E470" s="124"/>
      <c r="F470" s="124"/>
      <c r="G470" s="124"/>
      <c r="H470" s="124"/>
      <c r="I470" s="124"/>
      <c r="J470" s="124"/>
      <c r="K470" s="234">
        <f t="shared" si="35"/>
        <v>0</v>
      </c>
      <c r="L470" s="234">
        <f t="shared" si="35"/>
        <v>0</v>
      </c>
      <c r="M470" s="234">
        <f t="shared" si="35"/>
        <v>0</v>
      </c>
      <c r="N470" s="234">
        <f t="shared" si="35"/>
        <v>0</v>
      </c>
    </row>
    <row r="471" spans="1:14" x14ac:dyDescent="0.25">
      <c r="A471" s="232">
        <v>6385</v>
      </c>
      <c r="B471" s="108" t="s">
        <v>36</v>
      </c>
      <c r="C471" s="123"/>
      <c r="D471" s="363">
        <f t="shared" si="33"/>
        <v>0</v>
      </c>
      <c r="E471" s="124"/>
      <c r="F471" s="124"/>
      <c r="G471" s="124"/>
      <c r="H471" s="124"/>
      <c r="I471" s="124"/>
      <c r="J471" s="124"/>
      <c r="K471" s="234">
        <f t="shared" si="35"/>
        <v>0</v>
      </c>
      <c r="L471" s="234">
        <f t="shared" si="35"/>
        <v>0</v>
      </c>
      <c r="M471" s="234">
        <f t="shared" si="35"/>
        <v>0</v>
      </c>
      <c r="N471" s="234">
        <f t="shared" si="35"/>
        <v>0</v>
      </c>
    </row>
    <row r="472" spans="1:14" x14ac:dyDescent="0.25">
      <c r="A472" s="232">
        <v>6385</v>
      </c>
      <c r="B472" s="85" t="s">
        <v>31</v>
      </c>
      <c r="C472" s="123"/>
      <c r="D472" s="363">
        <f t="shared" si="33"/>
        <v>0</v>
      </c>
      <c r="E472" s="124"/>
      <c r="F472" s="124"/>
      <c r="G472" s="124"/>
      <c r="H472" s="124"/>
      <c r="I472" s="124"/>
      <c r="J472" s="124"/>
      <c r="K472" s="234">
        <f t="shared" si="35"/>
        <v>0</v>
      </c>
      <c r="L472" s="234">
        <f t="shared" si="35"/>
        <v>0</v>
      </c>
      <c r="M472" s="234">
        <f t="shared" si="35"/>
        <v>0</v>
      </c>
      <c r="N472" s="234">
        <f t="shared" si="35"/>
        <v>0</v>
      </c>
    </row>
    <row r="473" spans="1:14" x14ac:dyDescent="0.25">
      <c r="A473" s="232">
        <v>6385</v>
      </c>
      <c r="B473" s="85" t="s">
        <v>30</v>
      </c>
      <c r="C473" s="123"/>
      <c r="D473" s="363">
        <f t="shared" si="33"/>
        <v>1</v>
      </c>
      <c r="E473" s="124"/>
      <c r="F473" s="124"/>
      <c r="G473" s="124"/>
      <c r="H473" s="124"/>
      <c r="I473" s="124"/>
      <c r="J473" s="124"/>
      <c r="K473" s="234">
        <f t="shared" si="35"/>
        <v>300</v>
      </c>
      <c r="L473" s="234">
        <f t="shared" si="35"/>
        <v>0</v>
      </c>
      <c r="M473" s="234">
        <f t="shared" si="35"/>
        <v>0</v>
      </c>
      <c r="N473" s="234">
        <f t="shared" si="35"/>
        <v>300</v>
      </c>
    </row>
    <row r="474" spans="1:14" x14ac:dyDescent="0.25">
      <c r="A474" s="232">
        <v>6385</v>
      </c>
      <c r="B474" s="85" t="s">
        <v>38</v>
      </c>
      <c r="C474" s="123"/>
      <c r="D474" s="363">
        <f t="shared" si="33"/>
        <v>0</v>
      </c>
      <c r="E474" s="124"/>
      <c r="F474" s="124"/>
      <c r="G474" s="124"/>
      <c r="H474" s="124"/>
      <c r="I474" s="124"/>
      <c r="J474" s="124"/>
      <c r="K474" s="234">
        <f t="shared" si="35"/>
        <v>0</v>
      </c>
      <c r="L474" s="234">
        <f t="shared" si="35"/>
        <v>0</v>
      </c>
      <c r="M474" s="234">
        <f t="shared" si="35"/>
        <v>0</v>
      </c>
      <c r="N474" s="234">
        <f t="shared" si="35"/>
        <v>0</v>
      </c>
    </row>
    <row r="475" spans="1:14" x14ac:dyDescent="0.25">
      <c r="A475" s="232">
        <v>6385</v>
      </c>
      <c r="B475" s="85" t="s">
        <v>684</v>
      </c>
      <c r="C475" s="123"/>
      <c r="D475" s="363">
        <f t="shared" si="33"/>
        <v>0</v>
      </c>
      <c r="E475" s="124"/>
      <c r="F475" s="124"/>
      <c r="G475" s="124"/>
      <c r="H475" s="124"/>
      <c r="I475" s="124"/>
      <c r="J475" s="124"/>
      <c r="K475" s="234">
        <f t="shared" si="35"/>
        <v>0</v>
      </c>
      <c r="L475" s="234">
        <f t="shared" si="35"/>
        <v>0</v>
      </c>
      <c r="M475" s="234">
        <f t="shared" si="35"/>
        <v>0</v>
      </c>
      <c r="N475" s="234">
        <f t="shared" si="35"/>
        <v>0</v>
      </c>
    </row>
    <row r="476" spans="1:14" x14ac:dyDescent="0.25">
      <c r="A476" s="232">
        <v>6385</v>
      </c>
      <c r="B476" s="85" t="s">
        <v>33</v>
      </c>
      <c r="C476" s="123"/>
      <c r="D476" s="363">
        <f t="shared" si="33"/>
        <v>0</v>
      </c>
      <c r="E476" s="124"/>
      <c r="F476" s="124"/>
      <c r="G476" s="124"/>
      <c r="H476" s="124"/>
      <c r="I476" s="124"/>
      <c r="J476" s="124"/>
      <c r="K476" s="234">
        <f t="shared" si="35"/>
        <v>0</v>
      </c>
      <c r="L476" s="234">
        <f t="shared" si="35"/>
        <v>0</v>
      </c>
      <c r="M476" s="234">
        <f t="shared" si="35"/>
        <v>0</v>
      </c>
      <c r="N476" s="234">
        <f t="shared" si="35"/>
        <v>0</v>
      </c>
    </row>
    <row r="477" spans="1:14" x14ac:dyDescent="0.25">
      <c r="A477" s="232">
        <v>6385</v>
      </c>
      <c r="B477" s="85" t="s">
        <v>35</v>
      </c>
      <c r="C477" s="123"/>
      <c r="D477" s="363">
        <f t="shared" si="33"/>
        <v>0</v>
      </c>
      <c r="E477" s="124"/>
      <c r="F477" s="124"/>
      <c r="G477" s="124"/>
      <c r="H477" s="124"/>
      <c r="I477" s="124"/>
      <c r="J477" s="124"/>
      <c r="K477" s="234">
        <f t="shared" si="35"/>
        <v>0</v>
      </c>
      <c r="L477" s="234">
        <f t="shared" si="35"/>
        <v>0</v>
      </c>
      <c r="M477" s="234">
        <f t="shared" si="35"/>
        <v>0</v>
      </c>
      <c r="N477" s="234">
        <f t="shared" si="35"/>
        <v>0</v>
      </c>
    </row>
    <row r="478" spans="1:14" x14ac:dyDescent="0.25">
      <c r="A478" s="232">
        <v>6385</v>
      </c>
      <c r="B478" s="108" t="s">
        <v>39</v>
      </c>
      <c r="C478" s="123"/>
      <c r="D478" s="363">
        <f t="shared" si="33"/>
        <v>0</v>
      </c>
      <c r="E478" s="124"/>
      <c r="F478" s="124"/>
      <c r="G478" s="124"/>
      <c r="H478" s="124"/>
      <c r="I478" s="124"/>
      <c r="J478" s="124"/>
      <c r="K478" s="234">
        <f t="shared" si="35"/>
        <v>0</v>
      </c>
      <c r="L478" s="234">
        <f t="shared" si="35"/>
        <v>0</v>
      </c>
      <c r="M478" s="234">
        <f t="shared" si="35"/>
        <v>0</v>
      </c>
      <c r="N478" s="234">
        <f t="shared" si="35"/>
        <v>0</v>
      </c>
    </row>
    <row r="479" spans="1:14" ht="15.75" thickBot="1" x14ac:dyDescent="0.3">
      <c r="A479" s="232">
        <v>6385</v>
      </c>
      <c r="B479" s="108" t="s">
        <v>34</v>
      </c>
      <c r="C479" s="123"/>
      <c r="D479" s="363">
        <f t="shared" si="33"/>
        <v>0</v>
      </c>
      <c r="E479" s="124"/>
      <c r="F479" s="124"/>
      <c r="G479" s="124"/>
      <c r="H479" s="124"/>
      <c r="I479" s="124"/>
      <c r="J479" s="124"/>
      <c r="K479" s="234">
        <f t="shared" si="35"/>
        <v>0</v>
      </c>
      <c r="L479" s="234">
        <f t="shared" si="35"/>
        <v>0</v>
      </c>
      <c r="M479" s="234">
        <f t="shared" si="35"/>
        <v>0</v>
      </c>
      <c r="N479" s="234">
        <f t="shared" si="35"/>
        <v>0</v>
      </c>
    </row>
    <row r="480" spans="1:14" x14ac:dyDescent="0.25">
      <c r="A480" s="231">
        <v>6395</v>
      </c>
      <c r="B480" s="119" t="s">
        <v>28</v>
      </c>
      <c r="C480" s="120"/>
      <c r="D480" s="352">
        <f t="shared" si="33"/>
        <v>0</v>
      </c>
      <c r="E480" s="121"/>
      <c r="F480" s="121"/>
      <c r="G480" s="121"/>
      <c r="H480" s="121"/>
      <c r="I480" s="121"/>
      <c r="J480" s="121"/>
      <c r="K480" s="355">
        <f t="shared" ref="K480:N499" si="36">SUMIFS(K$28:K$280,$A$28:$A$280,$A480,$B$28:$B$280,$B480)</f>
        <v>0</v>
      </c>
      <c r="L480" s="355">
        <f t="shared" si="36"/>
        <v>0</v>
      </c>
      <c r="M480" s="355">
        <f t="shared" si="36"/>
        <v>0</v>
      </c>
      <c r="N480" s="355">
        <f t="shared" si="36"/>
        <v>0</v>
      </c>
    </row>
    <row r="481" spans="1:14" x14ac:dyDescent="0.25">
      <c r="A481" s="232">
        <v>6395</v>
      </c>
      <c r="B481" s="108" t="s">
        <v>27</v>
      </c>
      <c r="C481" s="123"/>
      <c r="D481" s="363">
        <f t="shared" si="33"/>
        <v>0</v>
      </c>
      <c r="E481" s="124"/>
      <c r="F481" s="124"/>
      <c r="G481" s="124"/>
      <c r="H481" s="124"/>
      <c r="I481" s="124"/>
      <c r="J481" s="124"/>
      <c r="K481" s="354">
        <f t="shared" si="36"/>
        <v>0</v>
      </c>
      <c r="L481" s="354">
        <f t="shared" si="36"/>
        <v>0</v>
      </c>
      <c r="M481" s="354">
        <f t="shared" si="36"/>
        <v>0</v>
      </c>
      <c r="N481" s="354">
        <f t="shared" si="36"/>
        <v>0</v>
      </c>
    </row>
    <row r="482" spans="1:14" x14ac:dyDescent="0.25">
      <c r="A482" s="232">
        <v>6395</v>
      </c>
      <c r="B482" s="108" t="s">
        <v>32</v>
      </c>
      <c r="C482" s="123"/>
      <c r="D482" s="363">
        <f t="shared" si="33"/>
        <v>0</v>
      </c>
      <c r="E482" s="124"/>
      <c r="F482" s="124"/>
      <c r="G482" s="124"/>
      <c r="H482" s="124"/>
      <c r="I482" s="124"/>
      <c r="J482" s="124"/>
      <c r="K482" s="354">
        <f t="shared" si="36"/>
        <v>0</v>
      </c>
      <c r="L482" s="354">
        <f t="shared" si="36"/>
        <v>0</v>
      </c>
      <c r="M482" s="354">
        <f t="shared" si="36"/>
        <v>0</v>
      </c>
      <c r="N482" s="354">
        <f t="shared" si="36"/>
        <v>0</v>
      </c>
    </row>
    <row r="483" spans="1:14" x14ac:dyDescent="0.25">
      <c r="A483" s="232">
        <v>6395</v>
      </c>
      <c r="B483" s="108" t="s">
        <v>685</v>
      </c>
      <c r="C483" s="123"/>
      <c r="D483" s="363">
        <f t="shared" si="33"/>
        <v>0</v>
      </c>
      <c r="E483" s="124"/>
      <c r="F483" s="124"/>
      <c r="G483" s="124"/>
      <c r="H483" s="124"/>
      <c r="I483" s="124"/>
      <c r="J483" s="124"/>
      <c r="K483" s="354">
        <f t="shared" si="36"/>
        <v>0</v>
      </c>
      <c r="L483" s="354">
        <f t="shared" si="36"/>
        <v>0</v>
      </c>
      <c r="M483" s="354">
        <f t="shared" si="36"/>
        <v>0</v>
      </c>
      <c r="N483" s="354">
        <f t="shared" si="36"/>
        <v>0</v>
      </c>
    </row>
    <row r="484" spans="1:14" x14ac:dyDescent="0.25">
      <c r="A484" s="232">
        <v>6395</v>
      </c>
      <c r="B484" s="108" t="s">
        <v>41</v>
      </c>
      <c r="C484" s="123"/>
      <c r="D484" s="363">
        <f t="shared" si="33"/>
        <v>0</v>
      </c>
      <c r="E484" s="124"/>
      <c r="F484" s="124"/>
      <c r="G484" s="124"/>
      <c r="H484" s="124"/>
      <c r="I484" s="124"/>
      <c r="J484" s="124"/>
      <c r="K484" s="354">
        <f t="shared" si="36"/>
        <v>0</v>
      </c>
      <c r="L484" s="354">
        <f t="shared" si="36"/>
        <v>0</v>
      </c>
      <c r="M484" s="354">
        <f t="shared" si="36"/>
        <v>0</v>
      </c>
      <c r="N484" s="354">
        <f t="shared" si="36"/>
        <v>0</v>
      </c>
    </row>
    <row r="485" spans="1:14" x14ac:dyDescent="0.25">
      <c r="A485" s="232">
        <v>6395</v>
      </c>
      <c r="B485" s="108" t="s">
        <v>775</v>
      </c>
      <c r="C485" s="123"/>
      <c r="D485" s="363">
        <f t="shared" si="33"/>
        <v>0</v>
      </c>
      <c r="E485" s="124"/>
      <c r="F485" s="124"/>
      <c r="G485" s="124"/>
      <c r="H485" s="124"/>
      <c r="I485" s="124"/>
      <c r="J485" s="124"/>
      <c r="K485" s="354">
        <f t="shared" si="36"/>
        <v>0</v>
      </c>
      <c r="L485" s="354">
        <f t="shared" si="36"/>
        <v>0</v>
      </c>
      <c r="M485" s="354">
        <f t="shared" si="36"/>
        <v>0</v>
      </c>
      <c r="N485" s="354">
        <f t="shared" si="36"/>
        <v>0</v>
      </c>
    </row>
    <row r="486" spans="1:14" x14ac:dyDescent="0.25">
      <c r="A486" s="232">
        <v>6395</v>
      </c>
      <c r="B486" s="108" t="s">
        <v>37</v>
      </c>
      <c r="C486" s="123"/>
      <c r="D486" s="363">
        <f t="shared" si="33"/>
        <v>0</v>
      </c>
      <c r="E486" s="124"/>
      <c r="F486" s="124"/>
      <c r="G486" s="124"/>
      <c r="H486" s="124"/>
      <c r="I486" s="124"/>
      <c r="J486" s="124"/>
      <c r="K486" s="354">
        <f t="shared" si="36"/>
        <v>0</v>
      </c>
      <c r="L486" s="354">
        <f t="shared" si="36"/>
        <v>0</v>
      </c>
      <c r="M486" s="354">
        <f t="shared" si="36"/>
        <v>0</v>
      </c>
      <c r="N486" s="354">
        <f t="shared" si="36"/>
        <v>0</v>
      </c>
    </row>
    <row r="487" spans="1:14" x14ac:dyDescent="0.25">
      <c r="A487" s="232">
        <v>6395</v>
      </c>
      <c r="B487" s="108" t="s">
        <v>29</v>
      </c>
      <c r="C487" s="123"/>
      <c r="D487" s="363">
        <f t="shared" si="33"/>
        <v>0</v>
      </c>
      <c r="E487" s="124"/>
      <c r="F487" s="124"/>
      <c r="G487" s="124"/>
      <c r="H487" s="124"/>
      <c r="I487" s="124"/>
      <c r="J487" s="124"/>
      <c r="K487" s="354">
        <f t="shared" si="36"/>
        <v>0</v>
      </c>
      <c r="L487" s="354">
        <f t="shared" si="36"/>
        <v>0</v>
      </c>
      <c r="M487" s="354">
        <f t="shared" si="36"/>
        <v>0</v>
      </c>
      <c r="N487" s="354">
        <f t="shared" si="36"/>
        <v>0</v>
      </c>
    </row>
    <row r="488" spans="1:14" x14ac:dyDescent="0.25">
      <c r="A488" s="232">
        <v>6395</v>
      </c>
      <c r="B488" s="108" t="s">
        <v>536</v>
      </c>
      <c r="C488" s="123"/>
      <c r="D488" s="363">
        <f t="shared" si="33"/>
        <v>0</v>
      </c>
      <c r="E488" s="124"/>
      <c r="F488" s="124"/>
      <c r="G488" s="124"/>
      <c r="H488" s="124"/>
      <c r="I488" s="124"/>
      <c r="J488" s="124"/>
      <c r="K488" s="354">
        <f t="shared" si="36"/>
        <v>0</v>
      </c>
      <c r="L488" s="354">
        <f t="shared" si="36"/>
        <v>0</v>
      </c>
      <c r="M488" s="354">
        <f t="shared" si="36"/>
        <v>0</v>
      </c>
      <c r="N488" s="354">
        <f t="shared" si="36"/>
        <v>0</v>
      </c>
    </row>
    <row r="489" spans="1:14" x14ac:dyDescent="0.25">
      <c r="A489" s="232">
        <v>6395</v>
      </c>
      <c r="B489" s="108" t="s">
        <v>36</v>
      </c>
      <c r="C489" s="123"/>
      <c r="D489" s="363">
        <f t="shared" si="33"/>
        <v>0</v>
      </c>
      <c r="E489" s="124"/>
      <c r="F489" s="124"/>
      <c r="G489" s="124"/>
      <c r="H489" s="124"/>
      <c r="I489" s="124"/>
      <c r="J489" s="124"/>
      <c r="K489" s="354">
        <f t="shared" si="36"/>
        <v>0</v>
      </c>
      <c r="L489" s="354">
        <f t="shared" si="36"/>
        <v>0</v>
      </c>
      <c r="M489" s="354">
        <f t="shared" si="36"/>
        <v>0</v>
      </c>
      <c r="N489" s="354">
        <f t="shared" si="36"/>
        <v>0</v>
      </c>
    </row>
    <row r="490" spans="1:14" x14ac:dyDescent="0.25">
      <c r="A490" s="232">
        <v>6395</v>
      </c>
      <c r="B490" s="85" t="s">
        <v>31</v>
      </c>
      <c r="C490" s="123"/>
      <c r="D490" s="363">
        <f t="shared" si="33"/>
        <v>0</v>
      </c>
      <c r="E490" s="124"/>
      <c r="F490" s="124"/>
      <c r="G490" s="124"/>
      <c r="H490" s="124"/>
      <c r="I490" s="124"/>
      <c r="J490" s="124"/>
      <c r="K490" s="354">
        <f t="shared" si="36"/>
        <v>0</v>
      </c>
      <c r="L490" s="354">
        <f t="shared" si="36"/>
        <v>0</v>
      </c>
      <c r="M490" s="354">
        <f t="shared" si="36"/>
        <v>0</v>
      </c>
      <c r="N490" s="354">
        <f t="shared" si="36"/>
        <v>0</v>
      </c>
    </row>
    <row r="491" spans="1:14" x14ac:dyDescent="0.25">
      <c r="A491" s="232">
        <v>6395</v>
      </c>
      <c r="B491" s="85" t="s">
        <v>30</v>
      </c>
      <c r="C491" s="123"/>
      <c r="D491" s="363">
        <f t="shared" si="33"/>
        <v>0</v>
      </c>
      <c r="E491" s="124"/>
      <c r="F491" s="124"/>
      <c r="G491" s="124"/>
      <c r="H491" s="124"/>
      <c r="I491" s="124"/>
      <c r="J491" s="124"/>
      <c r="K491" s="354">
        <f t="shared" si="36"/>
        <v>0</v>
      </c>
      <c r="L491" s="354">
        <f t="shared" si="36"/>
        <v>0</v>
      </c>
      <c r="M491" s="354">
        <f t="shared" si="36"/>
        <v>0</v>
      </c>
      <c r="N491" s="354">
        <f t="shared" si="36"/>
        <v>0</v>
      </c>
    </row>
    <row r="492" spans="1:14" x14ac:dyDescent="0.25">
      <c r="A492" s="232">
        <v>6395</v>
      </c>
      <c r="B492" s="85" t="s">
        <v>38</v>
      </c>
      <c r="C492" s="123"/>
      <c r="D492" s="363">
        <f t="shared" ref="D492:D555" si="37">COUNTIFS($A$28:$A$280,$A492,$B$28:$B$280,$B492)</f>
        <v>0</v>
      </c>
      <c r="E492" s="124"/>
      <c r="F492" s="124"/>
      <c r="G492" s="124"/>
      <c r="H492" s="124"/>
      <c r="I492" s="124"/>
      <c r="J492" s="124"/>
      <c r="K492" s="354">
        <f t="shared" si="36"/>
        <v>0</v>
      </c>
      <c r="L492" s="354">
        <f t="shared" si="36"/>
        <v>0</v>
      </c>
      <c r="M492" s="354">
        <f t="shared" si="36"/>
        <v>0</v>
      </c>
      <c r="N492" s="354">
        <f t="shared" si="36"/>
        <v>0</v>
      </c>
    </row>
    <row r="493" spans="1:14" x14ac:dyDescent="0.25">
      <c r="A493" s="232">
        <v>6395</v>
      </c>
      <c r="B493" s="85" t="s">
        <v>684</v>
      </c>
      <c r="C493" s="123"/>
      <c r="D493" s="363">
        <f t="shared" si="37"/>
        <v>1</v>
      </c>
      <c r="E493" s="124"/>
      <c r="F493" s="124"/>
      <c r="G493" s="124"/>
      <c r="H493" s="124"/>
      <c r="I493" s="124"/>
      <c r="J493" s="124"/>
      <c r="K493" s="354">
        <f t="shared" si="36"/>
        <v>18996</v>
      </c>
      <c r="L493" s="354">
        <f t="shared" si="36"/>
        <v>9246.76</v>
      </c>
      <c r="M493" s="354">
        <f t="shared" si="36"/>
        <v>12329</v>
      </c>
      <c r="N493" s="354">
        <f t="shared" si="36"/>
        <v>21000</v>
      </c>
    </row>
    <row r="494" spans="1:14" x14ac:dyDescent="0.25">
      <c r="A494" s="232">
        <v>6395</v>
      </c>
      <c r="B494" s="85" t="s">
        <v>33</v>
      </c>
      <c r="C494" s="123"/>
      <c r="D494" s="363">
        <f t="shared" si="37"/>
        <v>0</v>
      </c>
      <c r="E494" s="124"/>
      <c r="F494" s="124"/>
      <c r="G494" s="124"/>
      <c r="H494" s="124"/>
      <c r="I494" s="124"/>
      <c r="J494" s="124"/>
      <c r="K494" s="354">
        <f t="shared" si="36"/>
        <v>0</v>
      </c>
      <c r="L494" s="354">
        <f t="shared" si="36"/>
        <v>0</v>
      </c>
      <c r="M494" s="354">
        <f t="shared" si="36"/>
        <v>0</v>
      </c>
      <c r="N494" s="354">
        <f t="shared" si="36"/>
        <v>0</v>
      </c>
    </row>
    <row r="495" spans="1:14" x14ac:dyDescent="0.25">
      <c r="A495" s="232">
        <v>6395</v>
      </c>
      <c r="B495" s="85" t="s">
        <v>35</v>
      </c>
      <c r="C495" s="123"/>
      <c r="D495" s="363">
        <f t="shared" si="37"/>
        <v>0</v>
      </c>
      <c r="E495" s="124"/>
      <c r="F495" s="124"/>
      <c r="G495" s="124"/>
      <c r="H495" s="124"/>
      <c r="I495" s="124"/>
      <c r="J495" s="124"/>
      <c r="K495" s="354">
        <f t="shared" si="36"/>
        <v>0</v>
      </c>
      <c r="L495" s="354">
        <f t="shared" si="36"/>
        <v>0</v>
      </c>
      <c r="M495" s="354">
        <f t="shared" si="36"/>
        <v>0</v>
      </c>
      <c r="N495" s="354">
        <f t="shared" si="36"/>
        <v>0</v>
      </c>
    </row>
    <row r="496" spans="1:14" x14ac:dyDescent="0.25">
      <c r="A496" s="232">
        <v>6395</v>
      </c>
      <c r="B496" s="108" t="s">
        <v>39</v>
      </c>
      <c r="C496" s="123"/>
      <c r="D496" s="363">
        <f t="shared" si="37"/>
        <v>0</v>
      </c>
      <c r="E496" s="124"/>
      <c r="F496" s="124"/>
      <c r="G496" s="124"/>
      <c r="H496" s="124"/>
      <c r="I496" s="124"/>
      <c r="J496" s="124"/>
      <c r="K496" s="354">
        <f t="shared" si="36"/>
        <v>0</v>
      </c>
      <c r="L496" s="354">
        <f t="shared" si="36"/>
        <v>0</v>
      </c>
      <c r="M496" s="354">
        <f t="shared" si="36"/>
        <v>0</v>
      </c>
      <c r="N496" s="354">
        <f t="shared" si="36"/>
        <v>0</v>
      </c>
    </row>
    <row r="497" spans="1:14" ht="15.75" thickBot="1" x14ac:dyDescent="0.3">
      <c r="A497" s="232">
        <v>6395</v>
      </c>
      <c r="B497" s="108" t="s">
        <v>34</v>
      </c>
      <c r="C497" s="123"/>
      <c r="D497" s="363">
        <f t="shared" si="37"/>
        <v>0</v>
      </c>
      <c r="E497" s="124"/>
      <c r="F497" s="124"/>
      <c r="G497" s="124"/>
      <c r="H497" s="124"/>
      <c r="I497" s="124"/>
      <c r="J497" s="124"/>
      <c r="K497" s="354">
        <f t="shared" si="36"/>
        <v>0</v>
      </c>
      <c r="L497" s="354">
        <f t="shared" si="36"/>
        <v>0</v>
      </c>
      <c r="M497" s="354">
        <f t="shared" si="36"/>
        <v>0</v>
      </c>
      <c r="N497" s="354">
        <f t="shared" si="36"/>
        <v>0</v>
      </c>
    </row>
    <row r="498" spans="1:14" x14ac:dyDescent="0.25">
      <c r="A498" s="231">
        <v>6322</v>
      </c>
      <c r="B498" s="119" t="s">
        <v>28</v>
      </c>
      <c r="C498" s="120"/>
      <c r="D498" s="352">
        <f t="shared" si="37"/>
        <v>0</v>
      </c>
      <c r="E498" s="121"/>
      <c r="F498" s="121"/>
      <c r="G498" s="121"/>
      <c r="H498" s="121"/>
      <c r="I498" s="121"/>
      <c r="J498" s="121"/>
      <c r="K498" s="236">
        <f t="shared" si="36"/>
        <v>0</v>
      </c>
      <c r="L498" s="236">
        <f t="shared" si="36"/>
        <v>0</v>
      </c>
      <c r="M498" s="236">
        <f t="shared" si="36"/>
        <v>0</v>
      </c>
      <c r="N498" s="236">
        <f t="shared" si="36"/>
        <v>0</v>
      </c>
    </row>
    <row r="499" spans="1:14" x14ac:dyDescent="0.25">
      <c r="A499" s="232">
        <v>6322</v>
      </c>
      <c r="B499" s="108" t="s">
        <v>27</v>
      </c>
      <c r="C499" s="123"/>
      <c r="D499" s="363">
        <f t="shared" si="37"/>
        <v>0</v>
      </c>
      <c r="E499" s="124"/>
      <c r="F499" s="124"/>
      <c r="G499" s="124"/>
      <c r="H499" s="124"/>
      <c r="I499" s="124"/>
      <c r="J499" s="124"/>
      <c r="K499" s="234">
        <f t="shared" si="36"/>
        <v>0</v>
      </c>
      <c r="L499" s="234">
        <f t="shared" si="36"/>
        <v>0</v>
      </c>
      <c r="M499" s="234">
        <f t="shared" si="36"/>
        <v>0</v>
      </c>
      <c r="N499" s="234">
        <f t="shared" si="36"/>
        <v>0</v>
      </c>
    </row>
    <row r="500" spans="1:14" x14ac:dyDescent="0.25">
      <c r="A500" s="232">
        <v>6322</v>
      </c>
      <c r="B500" s="108" t="s">
        <v>32</v>
      </c>
      <c r="C500" s="123"/>
      <c r="D500" s="363">
        <f t="shared" si="37"/>
        <v>0</v>
      </c>
      <c r="E500" s="124"/>
      <c r="F500" s="124"/>
      <c r="G500" s="124"/>
      <c r="H500" s="124"/>
      <c r="I500" s="124"/>
      <c r="J500" s="124"/>
      <c r="K500" s="234">
        <f t="shared" ref="K500:N519" si="38">SUMIFS(K$28:K$280,$A$28:$A$280,$A500,$B$28:$B$280,$B500)</f>
        <v>0</v>
      </c>
      <c r="L500" s="234">
        <f t="shared" si="38"/>
        <v>0</v>
      </c>
      <c r="M500" s="234">
        <f t="shared" si="38"/>
        <v>0</v>
      </c>
      <c r="N500" s="234">
        <f t="shared" si="38"/>
        <v>0</v>
      </c>
    </row>
    <row r="501" spans="1:14" x14ac:dyDescent="0.25">
      <c r="A501" s="232">
        <v>6322</v>
      </c>
      <c r="B501" s="108" t="s">
        <v>685</v>
      </c>
      <c r="C501" s="123"/>
      <c r="D501" s="363">
        <f t="shared" si="37"/>
        <v>0</v>
      </c>
      <c r="E501" s="124"/>
      <c r="F501" s="124"/>
      <c r="G501" s="124"/>
      <c r="H501" s="124"/>
      <c r="I501" s="124"/>
      <c r="J501" s="124"/>
      <c r="K501" s="234">
        <f t="shared" si="38"/>
        <v>0</v>
      </c>
      <c r="L501" s="234">
        <f t="shared" si="38"/>
        <v>0</v>
      </c>
      <c r="M501" s="234">
        <f t="shared" si="38"/>
        <v>0</v>
      </c>
      <c r="N501" s="234">
        <f t="shared" si="38"/>
        <v>0</v>
      </c>
    </row>
    <row r="502" spans="1:14" x14ac:dyDescent="0.25">
      <c r="A502" s="232">
        <v>6322</v>
      </c>
      <c r="B502" s="108" t="s">
        <v>41</v>
      </c>
      <c r="C502" s="123"/>
      <c r="D502" s="363">
        <f t="shared" si="37"/>
        <v>0</v>
      </c>
      <c r="E502" s="124"/>
      <c r="F502" s="124"/>
      <c r="G502" s="124"/>
      <c r="H502" s="124"/>
      <c r="I502" s="124"/>
      <c r="J502" s="124"/>
      <c r="K502" s="234">
        <f t="shared" si="38"/>
        <v>0</v>
      </c>
      <c r="L502" s="234">
        <f t="shared" si="38"/>
        <v>0</v>
      </c>
      <c r="M502" s="234">
        <f t="shared" si="38"/>
        <v>0</v>
      </c>
      <c r="N502" s="234">
        <f t="shared" si="38"/>
        <v>0</v>
      </c>
    </row>
    <row r="503" spans="1:14" x14ac:dyDescent="0.25">
      <c r="A503" s="232">
        <v>6322</v>
      </c>
      <c r="B503" s="108" t="s">
        <v>775</v>
      </c>
      <c r="C503" s="123"/>
      <c r="D503" s="363">
        <f t="shared" si="37"/>
        <v>0</v>
      </c>
      <c r="E503" s="124"/>
      <c r="F503" s="124"/>
      <c r="G503" s="124"/>
      <c r="H503" s="124"/>
      <c r="I503" s="124"/>
      <c r="J503" s="124"/>
      <c r="K503" s="234">
        <f t="shared" si="38"/>
        <v>0</v>
      </c>
      <c r="L503" s="234">
        <f t="shared" si="38"/>
        <v>0</v>
      </c>
      <c r="M503" s="234">
        <f t="shared" si="38"/>
        <v>0</v>
      </c>
      <c r="N503" s="234">
        <f t="shared" si="38"/>
        <v>0</v>
      </c>
    </row>
    <row r="504" spans="1:14" x14ac:dyDescent="0.25">
      <c r="A504" s="232">
        <v>6322</v>
      </c>
      <c r="B504" s="108" t="s">
        <v>37</v>
      </c>
      <c r="C504" s="123"/>
      <c r="D504" s="363">
        <f t="shared" si="37"/>
        <v>0</v>
      </c>
      <c r="E504" s="124"/>
      <c r="F504" s="124"/>
      <c r="G504" s="124"/>
      <c r="H504" s="124"/>
      <c r="I504" s="124"/>
      <c r="J504" s="124"/>
      <c r="K504" s="234">
        <f t="shared" si="38"/>
        <v>0</v>
      </c>
      <c r="L504" s="234">
        <f t="shared" si="38"/>
        <v>0</v>
      </c>
      <c r="M504" s="234">
        <f t="shared" si="38"/>
        <v>0</v>
      </c>
      <c r="N504" s="234">
        <f t="shared" si="38"/>
        <v>0</v>
      </c>
    </row>
    <row r="505" spans="1:14" x14ac:dyDescent="0.25">
      <c r="A505" s="232">
        <v>6322</v>
      </c>
      <c r="B505" s="108" t="s">
        <v>29</v>
      </c>
      <c r="C505" s="123"/>
      <c r="D505" s="363">
        <f t="shared" si="37"/>
        <v>0</v>
      </c>
      <c r="E505" s="124"/>
      <c r="F505" s="124"/>
      <c r="G505" s="124"/>
      <c r="H505" s="124"/>
      <c r="I505" s="124"/>
      <c r="J505" s="124"/>
      <c r="K505" s="234">
        <f t="shared" si="38"/>
        <v>0</v>
      </c>
      <c r="L505" s="234">
        <f t="shared" si="38"/>
        <v>0</v>
      </c>
      <c r="M505" s="234">
        <f t="shared" si="38"/>
        <v>0</v>
      </c>
      <c r="N505" s="234">
        <f t="shared" si="38"/>
        <v>0</v>
      </c>
    </row>
    <row r="506" spans="1:14" x14ac:dyDescent="0.25">
      <c r="A506" s="232">
        <v>6322</v>
      </c>
      <c r="B506" s="108" t="s">
        <v>536</v>
      </c>
      <c r="C506" s="123"/>
      <c r="D506" s="363">
        <f t="shared" si="37"/>
        <v>0</v>
      </c>
      <c r="E506" s="124"/>
      <c r="F506" s="124"/>
      <c r="G506" s="124"/>
      <c r="H506" s="124"/>
      <c r="I506" s="124"/>
      <c r="J506" s="124"/>
      <c r="K506" s="234">
        <f t="shared" si="38"/>
        <v>0</v>
      </c>
      <c r="L506" s="234">
        <f t="shared" si="38"/>
        <v>0</v>
      </c>
      <c r="M506" s="234">
        <f t="shared" si="38"/>
        <v>0</v>
      </c>
      <c r="N506" s="234">
        <f t="shared" si="38"/>
        <v>0</v>
      </c>
    </row>
    <row r="507" spans="1:14" x14ac:dyDescent="0.25">
      <c r="A507" s="232">
        <v>6322</v>
      </c>
      <c r="B507" s="108" t="s">
        <v>36</v>
      </c>
      <c r="C507" s="123"/>
      <c r="D507" s="363">
        <f t="shared" si="37"/>
        <v>1</v>
      </c>
      <c r="E507" s="124"/>
      <c r="F507" s="124"/>
      <c r="G507" s="124"/>
      <c r="H507" s="124"/>
      <c r="I507" s="124"/>
      <c r="J507" s="124"/>
      <c r="K507" s="234">
        <f t="shared" si="38"/>
        <v>132.5</v>
      </c>
      <c r="L507" s="234">
        <f t="shared" si="38"/>
        <v>0</v>
      </c>
      <c r="M507" s="234">
        <f t="shared" si="38"/>
        <v>150</v>
      </c>
      <c r="N507" s="234">
        <f t="shared" si="38"/>
        <v>200</v>
      </c>
    </row>
    <row r="508" spans="1:14" x14ac:dyDescent="0.25">
      <c r="A508" s="232">
        <v>6322</v>
      </c>
      <c r="B508" s="85" t="s">
        <v>31</v>
      </c>
      <c r="C508" s="123"/>
      <c r="D508" s="363">
        <f t="shared" si="37"/>
        <v>0</v>
      </c>
      <c r="E508" s="124"/>
      <c r="F508" s="124"/>
      <c r="G508" s="124"/>
      <c r="H508" s="124"/>
      <c r="I508" s="124"/>
      <c r="J508" s="124"/>
      <c r="K508" s="234">
        <f t="shared" si="38"/>
        <v>0</v>
      </c>
      <c r="L508" s="234">
        <f t="shared" si="38"/>
        <v>0</v>
      </c>
      <c r="M508" s="234">
        <f t="shared" si="38"/>
        <v>0</v>
      </c>
      <c r="N508" s="234">
        <f t="shared" si="38"/>
        <v>0</v>
      </c>
    </row>
    <row r="509" spans="1:14" x14ac:dyDescent="0.25">
      <c r="A509" s="232">
        <v>6322</v>
      </c>
      <c r="B509" s="85" t="s">
        <v>30</v>
      </c>
      <c r="C509" s="123"/>
      <c r="D509" s="363">
        <f t="shared" si="37"/>
        <v>0</v>
      </c>
      <c r="E509" s="124"/>
      <c r="F509" s="124"/>
      <c r="G509" s="124"/>
      <c r="H509" s="124"/>
      <c r="I509" s="124"/>
      <c r="J509" s="124"/>
      <c r="K509" s="234">
        <f t="shared" si="38"/>
        <v>0</v>
      </c>
      <c r="L509" s="234">
        <f t="shared" si="38"/>
        <v>0</v>
      </c>
      <c r="M509" s="234">
        <f t="shared" si="38"/>
        <v>0</v>
      </c>
      <c r="N509" s="234">
        <f t="shared" si="38"/>
        <v>0</v>
      </c>
    </row>
    <row r="510" spans="1:14" x14ac:dyDescent="0.25">
      <c r="A510" s="232">
        <v>6322</v>
      </c>
      <c r="B510" s="85" t="s">
        <v>38</v>
      </c>
      <c r="C510" s="123"/>
      <c r="D510" s="363">
        <f t="shared" si="37"/>
        <v>1</v>
      </c>
      <c r="E510" s="124"/>
      <c r="F510" s="124"/>
      <c r="G510" s="124"/>
      <c r="H510" s="124"/>
      <c r="I510" s="124"/>
      <c r="J510" s="124"/>
      <c r="K510" s="234">
        <f t="shared" si="38"/>
        <v>2900</v>
      </c>
      <c r="L510" s="234">
        <f t="shared" si="38"/>
        <v>0</v>
      </c>
      <c r="M510" s="234">
        <f t="shared" si="38"/>
        <v>2900</v>
      </c>
      <c r="N510" s="234">
        <f t="shared" si="38"/>
        <v>2900</v>
      </c>
    </row>
    <row r="511" spans="1:14" x14ac:dyDescent="0.25">
      <c r="A511" s="232">
        <v>6322</v>
      </c>
      <c r="B511" s="85" t="s">
        <v>684</v>
      </c>
      <c r="C511" s="123"/>
      <c r="D511" s="363">
        <f t="shared" si="37"/>
        <v>0</v>
      </c>
      <c r="E511" s="124"/>
      <c r="F511" s="124"/>
      <c r="G511" s="124"/>
      <c r="H511" s="124"/>
      <c r="I511" s="124"/>
      <c r="J511" s="124"/>
      <c r="K511" s="234">
        <f t="shared" si="38"/>
        <v>0</v>
      </c>
      <c r="L511" s="234">
        <f t="shared" si="38"/>
        <v>0</v>
      </c>
      <c r="M511" s="234">
        <f t="shared" si="38"/>
        <v>0</v>
      </c>
      <c r="N511" s="234">
        <f t="shared" si="38"/>
        <v>0</v>
      </c>
    </row>
    <row r="512" spans="1:14" x14ac:dyDescent="0.25">
      <c r="A512" s="232">
        <v>6322</v>
      </c>
      <c r="B512" s="85" t="s">
        <v>33</v>
      </c>
      <c r="C512" s="123"/>
      <c r="D512" s="363">
        <f t="shared" si="37"/>
        <v>0</v>
      </c>
      <c r="E512" s="124"/>
      <c r="F512" s="124"/>
      <c r="G512" s="124"/>
      <c r="H512" s="124"/>
      <c r="I512" s="124"/>
      <c r="J512" s="124"/>
      <c r="K512" s="234">
        <f t="shared" si="38"/>
        <v>0</v>
      </c>
      <c r="L512" s="234">
        <f t="shared" si="38"/>
        <v>0</v>
      </c>
      <c r="M512" s="234">
        <f t="shared" si="38"/>
        <v>0</v>
      </c>
      <c r="N512" s="234">
        <f t="shared" si="38"/>
        <v>0</v>
      </c>
    </row>
    <row r="513" spans="1:14" x14ac:dyDescent="0.25">
      <c r="A513" s="232">
        <v>6322</v>
      </c>
      <c r="B513" s="85" t="s">
        <v>35</v>
      </c>
      <c r="C513" s="123"/>
      <c r="D513" s="363">
        <f t="shared" si="37"/>
        <v>0</v>
      </c>
      <c r="E513" s="124"/>
      <c r="F513" s="124"/>
      <c r="G513" s="124"/>
      <c r="H513" s="124"/>
      <c r="I513" s="124"/>
      <c r="J513" s="124"/>
      <c r="K513" s="234">
        <f t="shared" si="38"/>
        <v>0</v>
      </c>
      <c r="L513" s="234">
        <f t="shared" si="38"/>
        <v>0</v>
      </c>
      <c r="M513" s="234">
        <f t="shared" si="38"/>
        <v>0</v>
      </c>
      <c r="N513" s="234">
        <f t="shared" si="38"/>
        <v>0</v>
      </c>
    </row>
    <row r="514" spans="1:14" x14ac:dyDescent="0.25">
      <c r="A514" s="232">
        <v>6322</v>
      </c>
      <c r="B514" s="108" t="s">
        <v>39</v>
      </c>
      <c r="C514" s="123"/>
      <c r="D514" s="363">
        <f t="shared" si="37"/>
        <v>0</v>
      </c>
      <c r="E514" s="124"/>
      <c r="F514" s="124"/>
      <c r="G514" s="124"/>
      <c r="H514" s="124"/>
      <c r="I514" s="124"/>
      <c r="J514" s="124"/>
      <c r="K514" s="234">
        <f t="shared" si="38"/>
        <v>0</v>
      </c>
      <c r="L514" s="234">
        <f t="shared" si="38"/>
        <v>0</v>
      </c>
      <c r="M514" s="234">
        <f t="shared" si="38"/>
        <v>0</v>
      </c>
      <c r="N514" s="234">
        <f t="shared" si="38"/>
        <v>0</v>
      </c>
    </row>
    <row r="515" spans="1:14" ht="15.75" thickBot="1" x14ac:dyDescent="0.3">
      <c r="A515" s="232">
        <v>6322</v>
      </c>
      <c r="B515" s="108" t="s">
        <v>34</v>
      </c>
      <c r="C515" s="123"/>
      <c r="D515" s="363">
        <f t="shared" si="37"/>
        <v>0</v>
      </c>
      <c r="E515" s="124"/>
      <c r="F515" s="124"/>
      <c r="G515" s="124"/>
      <c r="H515" s="124"/>
      <c r="I515" s="124"/>
      <c r="J515" s="124"/>
      <c r="K515" s="234">
        <f t="shared" si="38"/>
        <v>0</v>
      </c>
      <c r="L515" s="234">
        <f t="shared" si="38"/>
        <v>0</v>
      </c>
      <c r="M515" s="234">
        <f t="shared" si="38"/>
        <v>0</v>
      </c>
      <c r="N515" s="234">
        <f t="shared" si="38"/>
        <v>0</v>
      </c>
    </row>
    <row r="516" spans="1:14" x14ac:dyDescent="0.25">
      <c r="A516" s="231">
        <v>6325</v>
      </c>
      <c r="B516" s="119" t="s">
        <v>28</v>
      </c>
      <c r="C516" s="120"/>
      <c r="D516" s="352">
        <f t="shared" si="37"/>
        <v>2</v>
      </c>
      <c r="E516" s="121"/>
      <c r="F516" s="121"/>
      <c r="G516" s="121"/>
      <c r="H516" s="121"/>
      <c r="I516" s="121"/>
      <c r="J516" s="121"/>
      <c r="K516" s="236">
        <f t="shared" si="38"/>
        <v>10988.7</v>
      </c>
      <c r="L516" s="236">
        <f t="shared" si="38"/>
        <v>10988.7</v>
      </c>
      <c r="M516" s="236">
        <f t="shared" si="38"/>
        <v>10988.7</v>
      </c>
      <c r="N516" s="236">
        <f t="shared" si="38"/>
        <v>15300</v>
      </c>
    </row>
    <row r="517" spans="1:14" x14ac:dyDescent="0.25">
      <c r="A517" s="232">
        <v>6325</v>
      </c>
      <c r="B517" s="108" t="s">
        <v>27</v>
      </c>
      <c r="C517" s="123"/>
      <c r="D517" s="363">
        <f t="shared" si="37"/>
        <v>0</v>
      </c>
      <c r="E517" s="124"/>
      <c r="F517" s="124"/>
      <c r="G517" s="124"/>
      <c r="H517" s="124"/>
      <c r="I517" s="124"/>
      <c r="J517" s="124"/>
      <c r="K517" s="234">
        <f t="shared" si="38"/>
        <v>0</v>
      </c>
      <c r="L517" s="234">
        <f t="shared" si="38"/>
        <v>0</v>
      </c>
      <c r="M517" s="234">
        <f t="shared" si="38"/>
        <v>0</v>
      </c>
      <c r="N517" s="234">
        <f t="shared" si="38"/>
        <v>0</v>
      </c>
    </row>
    <row r="518" spans="1:14" x14ac:dyDescent="0.25">
      <c r="A518" s="232">
        <v>6325</v>
      </c>
      <c r="B518" s="108" t="s">
        <v>32</v>
      </c>
      <c r="C518" s="123"/>
      <c r="D518" s="363">
        <f t="shared" si="37"/>
        <v>0</v>
      </c>
      <c r="E518" s="124"/>
      <c r="F518" s="124"/>
      <c r="G518" s="124"/>
      <c r="H518" s="124"/>
      <c r="I518" s="124"/>
      <c r="J518" s="124"/>
      <c r="K518" s="234">
        <f t="shared" si="38"/>
        <v>0</v>
      </c>
      <c r="L518" s="234">
        <f t="shared" si="38"/>
        <v>0</v>
      </c>
      <c r="M518" s="234">
        <f t="shared" si="38"/>
        <v>0</v>
      </c>
      <c r="N518" s="234">
        <f t="shared" si="38"/>
        <v>0</v>
      </c>
    </row>
    <row r="519" spans="1:14" x14ac:dyDescent="0.25">
      <c r="A519" s="232">
        <v>6325</v>
      </c>
      <c r="B519" s="108" t="s">
        <v>685</v>
      </c>
      <c r="C519" s="123"/>
      <c r="D519" s="363">
        <f t="shared" si="37"/>
        <v>0</v>
      </c>
      <c r="E519" s="124"/>
      <c r="F519" s="124"/>
      <c r="G519" s="124"/>
      <c r="H519" s="124"/>
      <c r="I519" s="124"/>
      <c r="J519" s="124"/>
      <c r="K519" s="234">
        <f t="shared" si="38"/>
        <v>0</v>
      </c>
      <c r="L519" s="234">
        <f t="shared" si="38"/>
        <v>0</v>
      </c>
      <c r="M519" s="234">
        <f t="shared" si="38"/>
        <v>0</v>
      </c>
      <c r="N519" s="234">
        <f t="shared" si="38"/>
        <v>0</v>
      </c>
    </row>
    <row r="520" spans="1:14" x14ac:dyDescent="0.25">
      <c r="A520" s="232">
        <v>6325</v>
      </c>
      <c r="B520" s="108" t="s">
        <v>41</v>
      </c>
      <c r="C520" s="123"/>
      <c r="D520" s="363">
        <f t="shared" si="37"/>
        <v>0</v>
      </c>
      <c r="E520" s="124"/>
      <c r="F520" s="124"/>
      <c r="G520" s="124"/>
      <c r="H520" s="124"/>
      <c r="I520" s="124"/>
      <c r="J520" s="124"/>
      <c r="K520" s="234">
        <f t="shared" ref="K520:N539" si="39">SUMIFS(K$28:K$280,$A$28:$A$280,$A520,$B$28:$B$280,$B520)</f>
        <v>0</v>
      </c>
      <c r="L520" s="234">
        <f t="shared" si="39"/>
        <v>0</v>
      </c>
      <c r="M520" s="234">
        <f t="shared" si="39"/>
        <v>0</v>
      </c>
      <c r="N520" s="234">
        <f t="shared" si="39"/>
        <v>0</v>
      </c>
    </row>
    <row r="521" spans="1:14" x14ac:dyDescent="0.25">
      <c r="A521" s="232">
        <v>6325</v>
      </c>
      <c r="B521" s="108" t="s">
        <v>775</v>
      </c>
      <c r="C521" s="123"/>
      <c r="D521" s="363">
        <f t="shared" si="37"/>
        <v>0</v>
      </c>
      <c r="E521" s="124"/>
      <c r="F521" s="124"/>
      <c r="G521" s="124"/>
      <c r="H521" s="124"/>
      <c r="I521" s="124"/>
      <c r="J521" s="124"/>
      <c r="K521" s="234">
        <f t="shared" si="39"/>
        <v>0</v>
      </c>
      <c r="L521" s="234">
        <f t="shared" si="39"/>
        <v>0</v>
      </c>
      <c r="M521" s="234">
        <f t="shared" si="39"/>
        <v>0</v>
      </c>
      <c r="N521" s="234">
        <f t="shared" si="39"/>
        <v>0</v>
      </c>
    </row>
    <row r="522" spans="1:14" x14ac:dyDescent="0.25">
      <c r="A522" s="232">
        <v>6325</v>
      </c>
      <c r="B522" s="108" t="s">
        <v>37</v>
      </c>
      <c r="C522" s="123"/>
      <c r="D522" s="363">
        <f t="shared" si="37"/>
        <v>0</v>
      </c>
      <c r="E522" s="124"/>
      <c r="F522" s="124"/>
      <c r="G522" s="124"/>
      <c r="H522" s="124"/>
      <c r="I522" s="124"/>
      <c r="J522" s="124"/>
      <c r="K522" s="234">
        <f t="shared" si="39"/>
        <v>0</v>
      </c>
      <c r="L522" s="234">
        <f t="shared" si="39"/>
        <v>0</v>
      </c>
      <c r="M522" s="234">
        <f t="shared" si="39"/>
        <v>0</v>
      </c>
      <c r="N522" s="234">
        <f t="shared" si="39"/>
        <v>0</v>
      </c>
    </row>
    <row r="523" spans="1:14" x14ac:dyDescent="0.25">
      <c r="A523" s="232">
        <v>6325</v>
      </c>
      <c r="B523" s="108" t="s">
        <v>29</v>
      </c>
      <c r="C523" s="123"/>
      <c r="D523" s="363">
        <f t="shared" si="37"/>
        <v>0</v>
      </c>
      <c r="E523" s="124"/>
      <c r="F523" s="124"/>
      <c r="G523" s="124"/>
      <c r="H523" s="124"/>
      <c r="I523" s="124"/>
      <c r="J523" s="124"/>
      <c r="K523" s="234">
        <f t="shared" si="39"/>
        <v>0</v>
      </c>
      <c r="L523" s="234">
        <f t="shared" si="39"/>
        <v>0</v>
      </c>
      <c r="M523" s="234">
        <f t="shared" si="39"/>
        <v>0</v>
      </c>
      <c r="N523" s="234">
        <f t="shared" si="39"/>
        <v>0</v>
      </c>
    </row>
    <row r="524" spans="1:14" x14ac:dyDescent="0.25">
      <c r="A524" s="232">
        <v>6325</v>
      </c>
      <c r="B524" s="108" t="s">
        <v>536</v>
      </c>
      <c r="C524" s="123"/>
      <c r="D524" s="363">
        <f t="shared" si="37"/>
        <v>0</v>
      </c>
      <c r="E524" s="124"/>
      <c r="F524" s="124"/>
      <c r="G524" s="124"/>
      <c r="H524" s="124"/>
      <c r="I524" s="124"/>
      <c r="J524" s="124"/>
      <c r="K524" s="234">
        <f t="shared" si="39"/>
        <v>0</v>
      </c>
      <c r="L524" s="234">
        <f t="shared" si="39"/>
        <v>0</v>
      </c>
      <c r="M524" s="234">
        <f t="shared" si="39"/>
        <v>0</v>
      </c>
      <c r="N524" s="234">
        <f t="shared" si="39"/>
        <v>0</v>
      </c>
    </row>
    <row r="525" spans="1:14" x14ac:dyDescent="0.25">
      <c r="A525" s="232">
        <v>6325</v>
      </c>
      <c r="B525" s="108" t="s">
        <v>36</v>
      </c>
      <c r="C525" s="123"/>
      <c r="D525" s="363">
        <f t="shared" si="37"/>
        <v>10</v>
      </c>
      <c r="E525" s="124"/>
      <c r="F525" s="124"/>
      <c r="G525" s="124"/>
      <c r="H525" s="124"/>
      <c r="I525" s="124"/>
      <c r="J525" s="124"/>
      <c r="K525" s="234">
        <f t="shared" si="39"/>
        <v>160838.21000000002</v>
      </c>
      <c r="L525" s="234">
        <f t="shared" si="39"/>
        <v>77067.19</v>
      </c>
      <c r="M525" s="234">
        <f t="shared" si="39"/>
        <v>92500</v>
      </c>
      <c r="N525" s="234">
        <f t="shared" si="39"/>
        <v>384961.57</v>
      </c>
    </row>
    <row r="526" spans="1:14" x14ac:dyDescent="0.25">
      <c r="A526" s="232">
        <v>6325</v>
      </c>
      <c r="B526" s="85" t="s">
        <v>31</v>
      </c>
      <c r="C526" s="123"/>
      <c r="D526" s="363">
        <f t="shared" si="37"/>
        <v>0</v>
      </c>
      <c r="E526" s="124"/>
      <c r="F526" s="124"/>
      <c r="G526" s="124"/>
      <c r="H526" s="124"/>
      <c r="I526" s="124"/>
      <c r="J526" s="124"/>
      <c r="K526" s="234">
        <f t="shared" si="39"/>
        <v>0</v>
      </c>
      <c r="L526" s="234">
        <f t="shared" si="39"/>
        <v>0</v>
      </c>
      <c r="M526" s="234">
        <f t="shared" si="39"/>
        <v>0</v>
      </c>
      <c r="N526" s="234">
        <f t="shared" si="39"/>
        <v>0</v>
      </c>
    </row>
    <row r="527" spans="1:14" x14ac:dyDescent="0.25">
      <c r="A527" s="232">
        <v>6325</v>
      </c>
      <c r="B527" s="85" t="s">
        <v>30</v>
      </c>
      <c r="C527" s="123"/>
      <c r="D527" s="363">
        <f t="shared" si="37"/>
        <v>0</v>
      </c>
      <c r="E527" s="124"/>
      <c r="F527" s="124"/>
      <c r="G527" s="124"/>
      <c r="H527" s="124"/>
      <c r="I527" s="124"/>
      <c r="J527" s="124"/>
      <c r="K527" s="234">
        <f t="shared" si="39"/>
        <v>0</v>
      </c>
      <c r="L527" s="234">
        <f t="shared" si="39"/>
        <v>0</v>
      </c>
      <c r="M527" s="234">
        <f t="shared" si="39"/>
        <v>0</v>
      </c>
      <c r="N527" s="234">
        <f t="shared" si="39"/>
        <v>0</v>
      </c>
    </row>
    <row r="528" spans="1:14" x14ac:dyDescent="0.25">
      <c r="A528" s="232">
        <v>6325</v>
      </c>
      <c r="B528" s="85" t="s">
        <v>38</v>
      </c>
      <c r="C528" s="123"/>
      <c r="D528" s="363">
        <f t="shared" si="37"/>
        <v>0</v>
      </c>
      <c r="E528" s="124"/>
      <c r="F528" s="124"/>
      <c r="G528" s="124"/>
      <c r="H528" s="124"/>
      <c r="I528" s="124"/>
      <c r="J528" s="124"/>
      <c r="K528" s="234">
        <f t="shared" si="39"/>
        <v>0</v>
      </c>
      <c r="L528" s="234">
        <f t="shared" si="39"/>
        <v>0</v>
      </c>
      <c r="M528" s="234">
        <f t="shared" si="39"/>
        <v>0</v>
      </c>
      <c r="N528" s="234">
        <f t="shared" si="39"/>
        <v>0</v>
      </c>
    </row>
    <row r="529" spans="1:14" x14ac:dyDescent="0.25">
      <c r="A529" s="232">
        <v>6325</v>
      </c>
      <c r="B529" s="85" t="s">
        <v>684</v>
      </c>
      <c r="C529" s="123"/>
      <c r="D529" s="363">
        <f t="shared" si="37"/>
        <v>1</v>
      </c>
      <c r="E529" s="124"/>
      <c r="F529" s="124"/>
      <c r="G529" s="124"/>
      <c r="H529" s="124"/>
      <c r="I529" s="124"/>
      <c r="J529" s="124"/>
      <c r="K529" s="234">
        <f t="shared" si="39"/>
        <v>0</v>
      </c>
      <c r="L529" s="234">
        <f t="shared" si="39"/>
        <v>2889.6</v>
      </c>
      <c r="M529" s="234">
        <f t="shared" si="39"/>
        <v>2003</v>
      </c>
      <c r="N529" s="234">
        <f t="shared" si="39"/>
        <v>2500</v>
      </c>
    </row>
    <row r="530" spans="1:14" x14ac:dyDescent="0.25">
      <c r="A530" s="232">
        <v>6325</v>
      </c>
      <c r="B530" s="85" t="s">
        <v>33</v>
      </c>
      <c r="C530" s="123"/>
      <c r="D530" s="363">
        <f t="shared" si="37"/>
        <v>0</v>
      </c>
      <c r="E530" s="124"/>
      <c r="F530" s="124"/>
      <c r="G530" s="124"/>
      <c r="H530" s="124"/>
      <c r="I530" s="124"/>
      <c r="J530" s="124"/>
      <c r="K530" s="234">
        <f t="shared" si="39"/>
        <v>0</v>
      </c>
      <c r="L530" s="234">
        <f t="shared" si="39"/>
        <v>0</v>
      </c>
      <c r="M530" s="234">
        <f t="shared" si="39"/>
        <v>0</v>
      </c>
      <c r="N530" s="234">
        <f t="shared" si="39"/>
        <v>0</v>
      </c>
    </row>
    <row r="531" spans="1:14" x14ac:dyDescent="0.25">
      <c r="A531" s="232">
        <v>6325</v>
      </c>
      <c r="B531" s="85" t="s">
        <v>35</v>
      </c>
      <c r="C531" s="123"/>
      <c r="D531" s="363">
        <f t="shared" si="37"/>
        <v>0</v>
      </c>
      <c r="E531" s="124"/>
      <c r="F531" s="124"/>
      <c r="G531" s="124"/>
      <c r="H531" s="124"/>
      <c r="I531" s="124"/>
      <c r="J531" s="124"/>
      <c r="K531" s="234">
        <f t="shared" si="39"/>
        <v>0</v>
      </c>
      <c r="L531" s="234">
        <f t="shared" si="39"/>
        <v>0</v>
      </c>
      <c r="M531" s="234">
        <f t="shared" si="39"/>
        <v>0</v>
      </c>
      <c r="N531" s="234">
        <f t="shared" si="39"/>
        <v>0</v>
      </c>
    </row>
    <row r="532" spans="1:14" x14ac:dyDescent="0.25">
      <c r="A532" s="232">
        <v>6325</v>
      </c>
      <c r="B532" s="108" t="s">
        <v>39</v>
      </c>
      <c r="C532" s="123"/>
      <c r="D532" s="363">
        <f t="shared" si="37"/>
        <v>0</v>
      </c>
      <c r="E532" s="124"/>
      <c r="F532" s="124"/>
      <c r="G532" s="124"/>
      <c r="H532" s="124"/>
      <c r="I532" s="124"/>
      <c r="J532" s="124"/>
      <c r="K532" s="234">
        <f t="shared" si="39"/>
        <v>0</v>
      </c>
      <c r="L532" s="234">
        <f t="shared" si="39"/>
        <v>0</v>
      </c>
      <c r="M532" s="234">
        <f t="shared" si="39"/>
        <v>0</v>
      </c>
      <c r="N532" s="234">
        <f t="shared" si="39"/>
        <v>0</v>
      </c>
    </row>
    <row r="533" spans="1:14" ht="15.75" thickBot="1" x14ac:dyDescent="0.3">
      <c r="A533" s="232">
        <v>6325</v>
      </c>
      <c r="B533" s="108" t="s">
        <v>34</v>
      </c>
      <c r="C533" s="123"/>
      <c r="D533" s="363">
        <f t="shared" si="37"/>
        <v>0</v>
      </c>
      <c r="E533" s="124"/>
      <c r="F533" s="124"/>
      <c r="G533" s="124"/>
      <c r="H533" s="124"/>
      <c r="I533" s="124"/>
      <c r="J533" s="124"/>
      <c r="K533" s="234">
        <f t="shared" si="39"/>
        <v>0</v>
      </c>
      <c r="L533" s="234">
        <f t="shared" si="39"/>
        <v>0</v>
      </c>
      <c r="M533" s="234">
        <f t="shared" si="39"/>
        <v>0</v>
      </c>
      <c r="N533" s="234">
        <f t="shared" si="39"/>
        <v>0</v>
      </c>
    </row>
    <row r="534" spans="1:14" x14ac:dyDescent="0.25">
      <c r="A534" s="231">
        <v>6365</v>
      </c>
      <c r="B534" s="119" t="s">
        <v>28</v>
      </c>
      <c r="C534" s="120"/>
      <c r="D534" s="352">
        <f t="shared" si="37"/>
        <v>1</v>
      </c>
      <c r="E534" s="121"/>
      <c r="F534" s="121"/>
      <c r="G534" s="121"/>
      <c r="H534" s="121"/>
      <c r="I534" s="121"/>
      <c r="J534" s="121"/>
      <c r="K534" s="236">
        <f t="shared" si="39"/>
        <v>0</v>
      </c>
      <c r="L534" s="236">
        <f t="shared" si="39"/>
        <v>0</v>
      </c>
      <c r="M534" s="236">
        <f t="shared" si="39"/>
        <v>0</v>
      </c>
      <c r="N534" s="236">
        <f t="shared" si="39"/>
        <v>300</v>
      </c>
    </row>
    <row r="535" spans="1:14" x14ac:dyDescent="0.25">
      <c r="A535" s="232">
        <v>6365</v>
      </c>
      <c r="B535" s="108" t="s">
        <v>27</v>
      </c>
      <c r="C535" s="123"/>
      <c r="D535" s="363">
        <f t="shared" si="37"/>
        <v>0</v>
      </c>
      <c r="E535" s="124"/>
      <c r="F535" s="124"/>
      <c r="G535" s="124"/>
      <c r="H535" s="124"/>
      <c r="I535" s="124"/>
      <c r="J535" s="124"/>
      <c r="K535" s="234">
        <f t="shared" si="39"/>
        <v>0</v>
      </c>
      <c r="L535" s="234">
        <f t="shared" si="39"/>
        <v>0</v>
      </c>
      <c r="M535" s="234">
        <f t="shared" si="39"/>
        <v>0</v>
      </c>
      <c r="N535" s="234">
        <f t="shared" si="39"/>
        <v>0</v>
      </c>
    </row>
    <row r="536" spans="1:14" x14ac:dyDescent="0.25">
      <c r="A536" s="232">
        <v>6365</v>
      </c>
      <c r="B536" s="108" t="s">
        <v>32</v>
      </c>
      <c r="C536" s="123"/>
      <c r="D536" s="363">
        <f t="shared" si="37"/>
        <v>0</v>
      </c>
      <c r="E536" s="124"/>
      <c r="F536" s="124"/>
      <c r="G536" s="124"/>
      <c r="H536" s="124"/>
      <c r="I536" s="124"/>
      <c r="J536" s="124"/>
      <c r="K536" s="234">
        <f t="shared" si="39"/>
        <v>0</v>
      </c>
      <c r="L536" s="234">
        <f t="shared" si="39"/>
        <v>0</v>
      </c>
      <c r="M536" s="234">
        <f t="shared" si="39"/>
        <v>0</v>
      </c>
      <c r="N536" s="234">
        <f t="shared" si="39"/>
        <v>0</v>
      </c>
    </row>
    <row r="537" spans="1:14" x14ac:dyDescent="0.25">
      <c r="A537" s="232">
        <v>6365</v>
      </c>
      <c r="B537" s="108" t="s">
        <v>685</v>
      </c>
      <c r="C537" s="123"/>
      <c r="D537" s="363">
        <f t="shared" si="37"/>
        <v>6</v>
      </c>
      <c r="E537" s="124"/>
      <c r="F537" s="124"/>
      <c r="G537" s="124"/>
      <c r="H537" s="124"/>
      <c r="I537" s="124"/>
      <c r="J537" s="124"/>
      <c r="K537" s="234">
        <f t="shared" si="39"/>
        <v>1150</v>
      </c>
      <c r="L537" s="234">
        <f t="shared" si="39"/>
        <v>0</v>
      </c>
      <c r="M537" s="234">
        <f t="shared" si="39"/>
        <v>0</v>
      </c>
      <c r="N537" s="234">
        <f t="shared" si="39"/>
        <v>1150</v>
      </c>
    </row>
    <row r="538" spans="1:14" x14ac:dyDescent="0.25">
      <c r="A538" s="232">
        <v>6365</v>
      </c>
      <c r="B538" s="108" t="s">
        <v>41</v>
      </c>
      <c r="C538" s="123"/>
      <c r="D538" s="363">
        <f t="shared" si="37"/>
        <v>0</v>
      </c>
      <c r="E538" s="124"/>
      <c r="F538" s="124"/>
      <c r="G538" s="124"/>
      <c r="H538" s="124"/>
      <c r="I538" s="124"/>
      <c r="J538" s="124"/>
      <c r="K538" s="234">
        <f t="shared" si="39"/>
        <v>0</v>
      </c>
      <c r="L538" s="234">
        <f t="shared" si="39"/>
        <v>0</v>
      </c>
      <c r="M538" s="234">
        <f t="shared" si="39"/>
        <v>0</v>
      </c>
      <c r="N538" s="234">
        <f t="shared" si="39"/>
        <v>0</v>
      </c>
    </row>
    <row r="539" spans="1:14" x14ac:dyDescent="0.25">
      <c r="A539" s="232">
        <v>6365</v>
      </c>
      <c r="B539" s="108" t="s">
        <v>775</v>
      </c>
      <c r="C539" s="123"/>
      <c r="D539" s="363">
        <f t="shared" si="37"/>
        <v>3</v>
      </c>
      <c r="E539" s="124"/>
      <c r="F539" s="124"/>
      <c r="G539" s="124"/>
      <c r="H539" s="124"/>
      <c r="I539" s="124"/>
      <c r="J539" s="124"/>
      <c r="K539" s="234">
        <f t="shared" si="39"/>
        <v>2885</v>
      </c>
      <c r="L539" s="234">
        <f t="shared" si="39"/>
        <v>0</v>
      </c>
      <c r="M539" s="234">
        <f t="shared" si="39"/>
        <v>0</v>
      </c>
      <c r="N539" s="234">
        <f t="shared" si="39"/>
        <v>10896</v>
      </c>
    </row>
    <row r="540" spans="1:14" x14ac:dyDescent="0.25">
      <c r="A540" s="232">
        <v>6365</v>
      </c>
      <c r="B540" s="108" t="s">
        <v>37</v>
      </c>
      <c r="C540" s="123"/>
      <c r="D540" s="363">
        <f t="shared" si="37"/>
        <v>1</v>
      </c>
      <c r="E540" s="124"/>
      <c r="F540" s="124"/>
      <c r="G540" s="124"/>
      <c r="H540" s="124"/>
      <c r="I540" s="124"/>
      <c r="J540" s="124"/>
      <c r="K540" s="234">
        <f t="shared" ref="K540:N559" si="40">SUMIFS(K$28:K$280,$A$28:$A$280,$A540,$B$28:$B$280,$B540)</f>
        <v>0</v>
      </c>
      <c r="L540" s="234">
        <f t="shared" si="40"/>
        <v>0</v>
      </c>
      <c r="M540" s="234">
        <f t="shared" si="40"/>
        <v>0</v>
      </c>
      <c r="N540" s="234">
        <f t="shared" si="40"/>
        <v>0</v>
      </c>
    </row>
    <row r="541" spans="1:14" x14ac:dyDescent="0.25">
      <c r="A541" s="232">
        <v>6365</v>
      </c>
      <c r="B541" s="108" t="s">
        <v>29</v>
      </c>
      <c r="C541" s="123"/>
      <c r="D541" s="363">
        <f t="shared" si="37"/>
        <v>2</v>
      </c>
      <c r="E541" s="124"/>
      <c r="F541" s="124"/>
      <c r="G541" s="124"/>
      <c r="H541" s="124"/>
      <c r="I541" s="124"/>
      <c r="J541" s="124"/>
      <c r="K541" s="234">
        <f t="shared" si="40"/>
        <v>5440</v>
      </c>
      <c r="L541" s="234">
        <f t="shared" si="40"/>
        <v>5427.5</v>
      </c>
      <c r="M541" s="234">
        <f t="shared" si="40"/>
        <v>6687.5</v>
      </c>
      <c r="N541" s="234">
        <f t="shared" si="40"/>
        <v>6700</v>
      </c>
    </row>
    <row r="542" spans="1:14" x14ac:dyDescent="0.25">
      <c r="A542" s="232">
        <v>6365</v>
      </c>
      <c r="B542" s="108" t="s">
        <v>536</v>
      </c>
      <c r="C542" s="123"/>
      <c r="D542" s="363">
        <f t="shared" si="37"/>
        <v>0</v>
      </c>
      <c r="E542" s="124"/>
      <c r="F542" s="124"/>
      <c r="G542" s="124"/>
      <c r="H542" s="124"/>
      <c r="I542" s="124"/>
      <c r="J542" s="124"/>
      <c r="K542" s="234">
        <f t="shared" si="40"/>
        <v>0</v>
      </c>
      <c r="L542" s="234">
        <f t="shared" si="40"/>
        <v>0</v>
      </c>
      <c r="M542" s="234">
        <f t="shared" si="40"/>
        <v>0</v>
      </c>
      <c r="N542" s="234">
        <f t="shared" si="40"/>
        <v>0</v>
      </c>
    </row>
    <row r="543" spans="1:14" x14ac:dyDescent="0.25">
      <c r="A543" s="232">
        <v>6365</v>
      </c>
      <c r="B543" s="108" t="s">
        <v>36</v>
      </c>
      <c r="C543" s="123"/>
      <c r="D543" s="363">
        <f t="shared" si="37"/>
        <v>2</v>
      </c>
      <c r="E543" s="124"/>
      <c r="F543" s="124"/>
      <c r="G543" s="124"/>
      <c r="H543" s="124"/>
      <c r="I543" s="124"/>
      <c r="J543" s="124"/>
      <c r="K543" s="234">
        <f t="shared" si="40"/>
        <v>14016</v>
      </c>
      <c r="L543" s="234">
        <f t="shared" si="40"/>
        <v>0</v>
      </c>
      <c r="M543" s="234">
        <f t="shared" si="40"/>
        <v>0</v>
      </c>
      <c r="N543" s="234">
        <f t="shared" si="40"/>
        <v>14300</v>
      </c>
    </row>
    <row r="544" spans="1:14" x14ac:dyDescent="0.25">
      <c r="A544" s="232">
        <v>6365</v>
      </c>
      <c r="B544" s="85" t="s">
        <v>31</v>
      </c>
      <c r="C544" s="123"/>
      <c r="D544" s="363">
        <f t="shared" si="37"/>
        <v>0</v>
      </c>
      <c r="E544" s="124"/>
      <c r="F544" s="124"/>
      <c r="G544" s="124"/>
      <c r="H544" s="124"/>
      <c r="I544" s="124"/>
      <c r="J544" s="124"/>
      <c r="K544" s="234">
        <f t="shared" si="40"/>
        <v>0</v>
      </c>
      <c r="L544" s="234">
        <f t="shared" si="40"/>
        <v>0</v>
      </c>
      <c r="M544" s="234">
        <f t="shared" si="40"/>
        <v>0</v>
      </c>
      <c r="N544" s="234">
        <f t="shared" si="40"/>
        <v>0</v>
      </c>
    </row>
    <row r="545" spans="1:14" x14ac:dyDescent="0.25">
      <c r="A545" s="232">
        <v>6365</v>
      </c>
      <c r="B545" s="85" t="s">
        <v>30</v>
      </c>
      <c r="C545" s="123"/>
      <c r="D545" s="363">
        <f t="shared" si="37"/>
        <v>0</v>
      </c>
      <c r="E545" s="124"/>
      <c r="F545" s="124"/>
      <c r="G545" s="124"/>
      <c r="H545" s="124"/>
      <c r="I545" s="124"/>
      <c r="J545" s="124"/>
      <c r="K545" s="234">
        <f t="shared" si="40"/>
        <v>0</v>
      </c>
      <c r="L545" s="234">
        <f t="shared" si="40"/>
        <v>0</v>
      </c>
      <c r="M545" s="234">
        <f t="shared" si="40"/>
        <v>0</v>
      </c>
      <c r="N545" s="234">
        <f t="shared" si="40"/>
        <v>0</v>
      </c>
    </row>
    <row r="546" spans="1:14" x14ac:dyDescent="0.25">
      <c r="A546" s="232">
        <v>6365</v>
      </c>
      <c r="B546" s="85" t="s">
        <v>38</v>
      </c>
      <c r="C546" s="123"/>
      <c r="D546" s="363">
        <f t="shared" si="37"/>
        <v>0</v>
      </c>
      <c r="E546" s="124"/>
      <c r="F546" s="124"/>
      <c r="G546" s="124"/>
      <c r="H546" s="124"/>
      <c r="I546" s="124"/>
      <c r="J546" s="124"/>
      <c r="K546" s="234">
        <f t="shared" si="40"/>
        <v>0</v>
      </c>
      <c r="L546" s="234">
        <f t="shared" si="40"/>
        <v>0</v>
      </c>
      <c r="M546" s="234">
        <f t="shared" si="40"/>
        <v>0</v>
      </c>
      <c r="N546" s="234">
        <f t="shared" si="40"/>
        <v>0</v>
      </c>
    </row>
    <row r="547" spans="1:14" x14ac:dyDescent="0.25">
      <c r="A547" s="232">
        <v>6365</v>
      </c>
      <c r="B547" s="85" t="s">
        <v>684</v>
      </c>
      <c r="C547" s="123"/>
      <c r="D547" s="363">
        <f t="shared" si="37"/>
        <v>3</v>
      </c>
      <c r="E547" s="124"/>
      <c r="F547" s="124"/>
      <c r="G547" s="124"/>
      <c r="H547" s="124"/>
      <c r="I547" s="124"/>
      <c r="J547" s="124"/>
      <c r="K547" s="234">
        <f t="shared" si="40"/>
        <v>33082</v>
      </c>
      <c r="L547" s="234">
        <f t="shared" si="40"/>
        <v>30305.86</v>
      </c>
      <c r="M547" s="234">
        <f t="shared" si="40"/>
        <v>15140</v>
      </c>
      <c r="N547" s="234">
        <f t="shared" si="40"/>
        <v>10450</v>
      </c>
    </row>
    <row r="548" spans="1:14" x14ac:dyDescent="0.25">
      <c r="A548" s="232">
        <v>6365</v>
      </c>
      <c r="B548" s="85" t="s">
        <v>33</v>
      </c>
      <c r="C548" s="123"/>
      <c r="D548" s="363">
        <f t="shared" si="37"/>
        <v>0</v>
      </c>
      <c r="E548" s="124"/>
      <c r="F548" s="124"/>
      <c r="G548" s="124"/>
      <c r="H548" s="124"/>
      <c r="I548" s="124"/>
      <c r="J548" s="124"/>
      <c r="K548" s="234">
        <f t="shared" si="40"/>
        <v>0</v>
      </c>
      <c r="L548" s="234">
        <f t="shared" si="40"/>
        <v>0</v>
      </c>
      <c r="M548" s="234">
        <f t="shared" si="40"/>
        <v>0</v>
      </c>
      <c r="N548" s="234">
        <f t="shared" si="40"/>
        <v>0</v>
      </c>
    </row>
    <row r="549" spans="1:14" x14ac:dyDescent="0.25">
      <c r="A549" s="232">
        <v>6365</v>
      </c>
      <c r="B549" s="85" t="s">
        <v>35</v>
      </c>
      <c r="C549" s="123"/>
      <c r="D549" s="363">
        <f t="shared" si="37"/>
        <v>0</v>
      </c>
      <c r="E549" s="124"/>
      <c r="F549" s="124"/>
      <c r="G549" s="124"/>
      <c r="H549" s="124"/>
      <c r="I549" s="124"/>
      <c r="J549" s="124"/>
      <c r="K549" s="234">
        <f t="shared" si="40"/>
        <v>0</v>
      </c>
      <c r="L549" s="234">
        <f t="shared" si="40"/>
        <v>0</v>
      </c>
      <c r="M549" s="234">
        <f t="shared" si="40"/>
        <v>0</v>
      </c>
      <c r="N549" s="234">
        <f t="shared" si="40"/>
        <v>0</v>
      </c>
    </row>
    <row r="550" spans="1:14" x14ac:dyDescent="0.25">
      <c r="A550" s="232">
        <v>6365</v>
      </c>
      <c r="B550" s="108" t="s">
        <v>39</v>
      </c>
      <c r="C550" s="123"/>
      <c r="D550" s="363">
        <f t="shared" si="37"/>
        <v>0</v>
      </c>
      <c r="E550" s="124"/>
      <c r="F550" s="124"/>
      <c r="G550" s="124"/>
      <c r="H550" s="124"/>
      <c r="I550" s="124"/>
      <c r="J550" s="124"/>
      <c r="K550" s="234">
        <f t="shared" si="40"/>
        <v>0</v>
      </c>
      <c r="L550" s="234">
        <f t="shared" si="40"/>
        <v>0</v>
      </c>
      <c r="M550" s="234">
        <f t="shared" si="40"/>
        <v>0</v>
      </c>
      <c r="N550" s="234">
        <f t="shared" si="40"/>
        <v>0</v>
      </c>
    </row>
    <row r="551" spans="1:14" ht="15.75" thickBot="1" x14ac:dyDescent="0.3">
      <c r="A551" s="232">
        <v>6365</v>
      </c>
      <c r="B551" s="108" t="s">
        <v>34</v>
      </c>
      <c r="C551" s="123"/>
      <c r="D551" s="363">
        <f t="shared" si="37"/>
        <v>1</v>
      </c>
      <c r="E551" s="124"/>
      <c r="F551" s="124"/>
      <c r="G551" s="124"/>
      <c r="H551" s="124"/>
      <c r="I551" s="124"/>
      <c r="J551" s="124"/>
      <c r="K551" s="234">
        <f t="shared" si="40"/>
        <v>7651.34</v>
      </c>
      <c r="L551" s="234">
        <f t="shared" si="40"/>
        <v>7651.34</v>
      </c>
      <c r="M551" s="234">
        <f t="shared" si="40"/>
        <v>9151.34</v>
      </c>
      <c r="N551" s="234">
        <f t="shared" si="40"/>
        <v>8500</v>
      </c>
    </row>
    <row r="552" spans="1:14" x14ac:dyDescent="0.25">
      <c r="A552" s="231">
        <v>6355</v>
      </c>
      <c r="B552" s="119" t="s">
        <v>28</v>
      </c>
      <c r="C552" s="120"/>
      <c r="D552" s="352">
        <f t="shared" si="37"/>
        <v>1</v>
      </c>
      <c r="E552" s="121"/>
      <c r="F552" s="121"/>
      <c r="G552" s="121"/>
      <c r="H552" s="121"/>
      <c r="I552" s="121"/>
      <c r="J552" s="121"/>
      <c r="K552" s="236">
        <f t="shared" si="40"/>
        <v>0</v>
      </c>
      <c r="L552" s="236">
        <f t="shared" si="40"/>
        <v>35.26</v>
      </c>
      <c r="M552" s="236">
        <f t="shared" si="40"/>
        <v>0</v>
      </c>
      <c r="N552" s="236">
        <f t="shared" si="40"/>
        <v>200</v>
      </c>
    </row>
    <row r="553" spans="1:14" x14ac:dyDescent="0.25">
      <c r="A553" s="232">
        <v>6355</v>
      </c>
      <c r="B553" s="108" t="s">
        <v>27</v>
      </c>
      <c r="C553" s="123"/>
      <c r="D553" s="363">
        <f t="shared" si="37"/>
        <v>0</v>
      </c>
      <c r="E553" s="124"/>
      <c r="F553" s="124"/>
      <c r="G553" s="124"/>
      <c r="H553" s="124"/>
      <c r="I553" s="124"/>
      <c r="J553" s="124"/>
      <c r="K553" s="234">
        <f t="shared" si="40"/>
        <v>0</v>
      </c>
      <c r="L553" s="234">
        <f t="shared" si="40"/>
        <v>0</v>
      </c>
      <c r="M553" s="234">
        <f t="shared" si="40"/>
        <v>0</v>
      </c>
      <c r="N553" s="234">
        <f t="shared" si="40"/>
        <v>0</v>
      </c>
    </row>
    <row r="554" spans="1:14" x14ac:dyDescent="0.25">
      <c r="A554" s="232">
        <v>6355</v>
      </c>
      <c r="B554" s="108" t="s">
        <v>32</v>
      </c>
      <c r="C554" s="123"/>
      <c r="D554" s="363">
        <f t="shared" si="37"/>
        <v>0</v>
      </c>
      <c r="E554" s="124"/>
      <c r="F554" s="124"/>
      <c r="G554" s="124"/>
      <c r="H554" s="124"/>
      <c r="I554" s="124"/>
      <c r="J554" s="124"/>
      <c r="K554" s="234">
        <f t="shared" si="40"/>
        <v>0</v>
      </c>
      <c r="L554" s="234">
        <f t="shared" si="40"/>
        <v>0</v>
      </c>
      <c r="M554" s="234">
        <f t="shared" si="40"/>
        <v>0</v>
      </c>
      <c r="N554" s="234">
        <f t="shared" si="40"/>
        <v>0</v>
      </c>
    </row>
    <row r="555" spans="1:14" x14ac:dyDescent="0.25">
      <c r="A555" s="232">
        <v>6355</v>
      </c>
      <c r="B555" s="108" t="s">
        <v>685</v>
      </c>
      <c r="C555" s="123"/>
      <c r="D555" s="363">
        <f t="shared" si="37"/>
        <v>3</v>
      </c>
      <c r="E555" s="124"/>
      <c r="F555" s="124"/>
      <c r="G555" s="124"/>
      <c r="H555" s="124"/>
      <c r="I555" s="124"/>
      <c r="J555" s="124"/>
      <c r="K555" s="234">
        <f t="shared" si="40"/>
        <v>2847</v>
      </c>
      <c r="L555" s="234">
        <f t="shared" si="40"/>
        <v>0</v>
      </c>
      <c r="M555" s="234">
        <f t="shared" si="40"/>
        <v>0</v>
      </c>
      <c r="N555" s="234">
        <f t="shared" si="40"/>
        <v>2847</v>
      </c>
    </row>
    <row r="556" spans="1:14" x14ac:dyDescent="0.25">
      <c r="A556" s="232">
        <v>6355</v>
      </c>
      <c r="B556" s="108" t="s">
        <v>41</v>
      </c>
      <c r="C556" s="123"/>
      <c r="D556" s="363">
        <f t="shared" ref="D556:D619" si="41">COUNTIFS($A$28:$A$280,$A556,$B$28:$B$280,$B556)</f>
        <v>2</v>
      </c>
      <c r="E556" s="124"/>
      <c r="F556" s="124"/>
      <c r="G556" s="124"/>
      <c r="H556" s="124"/>
      <c r="I556" s="124"/>
      <c r="J556" s="124"/>
      <c r="K556" s="234">
        <f t="shared" si="40"/>
        <v>2960</v>
      </c>
      <c r="L556" s="234">
        <f t="shared" si="40"/>
        <v>260.37</v>
      </c>
      <c r="M556" s="234">
        <f t="shared" si="40"/>
        <v>0</v>
      </c>
      <c r="N556" s="234">
        <f t="shared" si="40"/>
        <v>2960</v>
      </c>
    </row>
    <row r="557" spans="1:14" x14ac:dyDescent="0.25">
      <c r="A557" s="232">
        <v>6355</v>
      </c>
      <c r="B557" s="108" t="s">
        <v>775</v>
      </c>
      <c r="C557" s="123"/>
      <c r="D557" s="363">
        <f t="shared" si="41"/>
        <v>5</v>
      </c>
      <c r="E557" s="124"/>
      <c r="F557" s="124"/>
      <c r="G557" s="124"/>
      <c r="H557" s="124"/>
      <c r="I557" s="124"/>
      <c r="J557" s="124"/>
      <c r="K557" s="234">
        <f t="shared" si="40"/>
        <v>876</v>
      </c>
      <c r="L557" s="234">
        <f t="shared" si="40"/>
        <v>0</v>
      </c>
      <c r="M557" s="234">
        <f t="shared" si="40"/>
        <v>0</v>
      </c>
      <c r="N557" s="234">
        <f t="shared" si="40"/>
        <v>7000</v>
      </c>
    </row>
    <row r="558" spans="1:14" x14ac:dyDescent="0.25">
      <c r="A558" s="232">
        <v>6355</v>
      </c>
      <c r="B558" s="108" t="s">
        <v>37</v>
      </c>
      <c r="C558" s="123"/>
      <c r="D558" s="363">
        <f t="shared" si="41"/>
        <v>0</v>
      </c>
      <c r="E558" s="124"/>
      <c r="F558" s="124"/>
      <c r="G558" s="124"/>
      <c r="H558" s="124"/>
      <c r="I558" s="124"/>
      <c r="J558" s="124"/>
      <c r="K558" s="234">
        <f t="shared" si="40"/>
        <v>0</v>
      </c>
      <c r="L558" s="234">
        <f t="shared" si="40"/>
        <v>0</v>
      </c>
      <c r="M558" s="234">
        <f t="shared" si="40"/>
        <v>0</v>
      </c>
      <c r="N558" s="234">
        <f t="shared" si="40"/>
        <v>0</v>
      </c>
    </row>
    <row r="559" spans="1:14" x14ac:dyDescent="0.25">
      <c r="A559" s="232">
        <v>6355</v>
      </c>
      <c r="B559" s="108" t="s">
        <v>29</v>
      </c>
      <c r="C559" s="123"/>
      <c r="D559" s="363">
        <f t="shared" si="41"/>
        <v>1</v>
      </c>
      <c r="E559" s="124"/>
      <c r="F559" s="124"/>
      <c r="G559" s="124"/>
      <c r="H559" s="124"/>
      <c r="I559" s="124"/>
      <c r="J559" s="124"/>
      <c r="K559" s="234">
        <f t="shared" si="40"/>
        <v>0</v>
      </c>
      <c r="L559" s="234">
        <f t="shared" si="40"/>
        <v>132.68</v>
      </c>
      <c r="M559" s="234">
        <f t="shared" si="40"/>
        <v>200</v>
      </c>
      <c r="N559" s="234">
        <f t="shared" si="40"/>
        <v>200</v>
      </c>
    </row>
    <row r="560" spans="1:14" x14ac:dyDescent="0.25">
      <c r="A560" s="232">
        <v>6355</v>
      </c>
      <c r="B560" s="108" t="s">
        <v>536</v>
      </c>
      <c r="C560" s="123"/>
      <c r="D560" s="363">
        <f t="shared" si="41"/>
        <v>0</v>
      </c>
      <c r="E560" s="124"/>
      <c r="F560" s="124"/>
      <c r="G560" s="124"/>
      <c r="H560" s="124"/>
      <c r="I560" s="124"/>
      <c r="J560" s="124"/>
      <c r="K560" s="234">
        <f t="shared" ref="K560:N579" si="42">SUMIFS(K$28:K$280,$A$28:$A$280,$A560,$B$28:$B$280,$B560)</f>
        <v>0</v>
      </c>
      <c r="L560" s="234">
        <f t="shared" si="42"/>
        <v>0</v>
      </c>
      <c r="M560" s="234">
        <f t="shared" si="42"/>
        <v>0</v>
      </c>
      <c r="N560" s="234">
        <f t="shared" si="42"/>
        <v>0</v>
      </c>
    </row>
    <row r="561" spans="1:14" x14ac:dyDescent="0.25">
      <c r="A561" s="232">
        <v>6355</v>
      </c>
      <c r="B561" s="108" t="s">
        <v>36</v>
      </c>
      <c r="C561" s="123"/>
      <c r="D561" s="363">
        <f t="shared" si="41"/>
        <v>0</v>
      </c>
      <c r="E561" s="124"/>
      <c r="F561" s="124"/>
      <c r="G561" s="124"/>
      <c r="H561" s="124"/>
      <c r="I561" s="124"/>
      <c r="J561" s="124"/>
      <c r="K561" s="234">
        <f t="shared" si="42"/>
        <v>0</v>
      </c>
      <c r="L561" s="234">
        <f t="shared" si="42"/>
        <v>0</v>
      </c>
      <c r="M561" s="234">
        <f t="shared" si="42"/>
        <v>0</v>
      </c>
      <c r="N561" s="234">
        <f t="shared" si="42"/>
        <v>0</v>
      </c>
    </row>
    <row r="562" spans="1:14" x14ac:dyDescent="0.25">
      <c r="A562" s="232">
        <v>6355</v>
      </c>
      <c r="B562" s="85" t="s">
        <v>31</v>
      </c>
      <c r="C562" s="123"/>
      <c r="D562" s="363">
        <f t="shared" si="41"/>
        <v>1</v>
      </c>
      <c r="E562" s="124"/>
      <c r="F562" s="124"/>
      <c r="G562" s="124"/>
      <c r="H562" s="124"/>
      <c r="I562" s="124"/>
      <c r="J562" s="124"/>
      <c r="K562" s="234">
        <f t="shared" si="42"/>
        <v>0</v>
      </c>
      <c r="L562" s="234">
        <f t="shared" si="42"/>
        <v>0</v>
      </c>
      <c r="M562" s="234">
        <f t="shared" si="42"/>
        <v>0</v>
      </c>
      <c r="N562" s="234">
        <f t="shared" si="42"/>
        <v>300</v>
      </c>
    </row>
    <row r="563" spans="1:14" x14ac:dyDescent="0.25">
      <c r="A563" s="232">
        <v>6355</v>
      </c>
      <c r="B563" s="85" t="s">
        <v>30</v>
      </c>
      <c r="C563" s="123"/>
      <c r="D563" s="363">
        <f t="shared" si="41"/>
        <v>1</v>
      </c>
      <c r="E563" s="124"/>
      <c r="F563" s="124"/>
      <c r="G563" s="124"/>
      <c r="H563" s="124"/>
      <c r="I563" s="124"/>
      <c r="J563" s="124"/>
      <c r="K563" s="234">
        <f t="shared" si="42"/>
        <v>200</v>
      </c>
      <c r="L563" s="234">
        <f t="shared" si="42"/>
        <v>0</v>
      </c>
      <c r="M563" s="234">
        <f t="shared" si="42"/>
        <v>0</v>
      </c>
      <c r="N563" s="234">
        <f t="shared" si="42"/>
        <v>200</v>
      </c>
    </row>
    <row r="564" spans="1:14" x14ac:dyDescent="0.25">
      <c r="A564" s="232">
        <v>6355</v>
      </c>
      <c r="B564" s="85" t="s">
        <v>38</v>
      </c>
      <c r="C564" s="123"/>
      <c r="D564" s="363">
        <f t="shared" si="41"/>
        <v>1</v>
      </c>
      <c r="E564" s="124"/>
      <c r="F564" s="124"/>
      <c r="G564" s="124"/>
      <c r="H564" s="124"/>
      <c r="I564" s="124"/>
      <c r="J564" s="124"/>
      <c r="K564" s="234">
        <f t="shared" si="42"/>
        <v>13000</v>
      </c>
      <c r="L564" s="234">
        <f t="shared" si="42"/>
        <v>0</v>
      </c>
      <c r="M564" s="234">
        <f t="shared" si="42"/>
        <v>0</v>
      </c>
      <c r="N564" s="234">
        <f t="shared" si="42"/>
        <v>13000</v>
      </c>
    </row>
    <row r="565" spans="1:14" x14ac:dyDescent="0.25">
      <c r="A565" s="232">
        <v>6355</v>
      </c>
      <c r="B565" s="85" t="s">
        <v>684</v>
      </c>
      <c r="C565" s="123"/>
      <c r="D565" s="363">
        <f t="shared" si="41"/>
        <v>3</v>
      </c>
      <c r="E565" s="124"/>
      <c r="F565" s="124"/>
      <c r="G565" s="124"/>
      <c r="H565" s="124"/>
      <c r="I565" s="124"/>
      <c r="J565" s="124"/>
      <c r="K565" s="234">
        <f t="shared" si="42"/>
        <v>0</v>
      </c>
      <c r="L565" s="234">
        <f t="shared" si="42"/>
        <v>15458.23</v>
      </c>
      <c r="M565" s="234">
        <f t="shared" si="42"/>
        <v>15605</v>
      </c>
      <c r="N565" s="234">
        <f t="shared" si="42"/>
        <v>15615</v>
      </c>
    </row>
    <row r="566" spans="1:14" x14ac:dyDescent="0.25">
      <c r="A566" s="232">
        <v>6355</v>
      </c>
      <c r="B566" s="85" t="s">
        <v>33</v>
      </c>
      <c r="C566" s="123"/>
      <c r="D566" s="363">
        <f t="shared" si="41"/>
        <v>1</v>
      </c>
      <c r="E566" s="124"/>
      <c r="F566" s="124"/>
      <c r="G566" s="124"/>
      <c r="H566" s="124"/>
      <c r="I566" s="124"/>
      <c r="J566" s="124"/>
      <c r="K566" s="234">
        <f t="shared" si="42"/>
        <v>0</v>
      </c>
      <c r="L566" s="234">
        <f t="shared" si="42"/>
        <v>0</v>
      </c>
      <c r="M566" s="234">
        <f t="shared" si="42"/>
        <v>0</v>
      </c>
      <c r="N566" s="234">
        <f t="shared" si="42"/>
        <v>250</v>
      </c>
    </row>
    <row r="567" spans="1:14" x14ac:dyDescent="0.25">
      <c r="A567" s="232">
        <v>6355</v>
      </c>
      <c r="B567" s="85" t="s">
        <v>35</v>
      </c>
      <c r="C567" s="123"/>
      <c r="D567" s="363">
        <f t="shared" si="41"/>
        <v>0</v>
      </c>
      <c r="E567" s="124"/>
      <c r="F567" s="124"/>
      <c r="G567" s="124"/>
      <c r="H567" s="124"/>
      <c r="I567" s="124"/>
      <c r="J567" s="124"/>
      <c r="K567" s="234">
        <f t="shared" si="42"/>
        <v>0</v>
      </c>
      <c r="L567" s="234">
        <f t="shared" si="42"/>
        <v>0</v>
      </c>
      <c r="M567" s="234">
        <f t="shared" si="42"/>
        <v>0</v>
      </c>
      <c r="N567" s="234">
        <f t="shared" si="42"/>
        <v>0</v>
      </c>
    </row>
    <row r="568" spans="1:14" x14ac:dyDescent="0.25">
      <c r="A568" s="232">
        <v>6355</v>
      </c>
      <c r="B568" s="108" t="s">
        <v>39</v>
      </c>
      <c r="C568" s="123"/>
      <c r="D568" s="363">
        <f t="shared" si="41"/>
        <v>2</v>
      </c>
      <c r="E568" s="124"/>
      <c r="F568" s="124"/>
      <c r="G568" s="124"/>
      <c r="H568" s="124"/>
      <c r="I568" s="124"/>
      <c r="J568" s="124"/>
      <c r="K568" s="234">
        <f t="shared" si="42"/>
        <v>0</v>
      </c>
      <c r="L568" s="234">
        <f t="shared" si="42"/>
        <v>1106.5500000000002</v>
      </c>
      <c r="M568" s="234">
        <f t="shared" si="42"/>
        <v>1400</v>
      </c>
      <c r="N568" s="234">
        <f t="shared" si="42"/>
        <v>1700</v>
      </c>
    </row>
    <row r="569" spans="1:14" ht="15.75" thickBot="1" x14ac:dyDescent="0.3">
      <c r="A569" s="232">
        <v>6355</v>
      </c>
      <c r="B569" s="108" t="s">
        <v>34</v>
      </c>
      <c r="C569" s="123"/>
      <c r="D569" s="363">
        <f t="shared" si="41"/>
        <v>1</v>
      </c>
      <c r="E569" s="124"/>
      <c r="F569" s="124"/>
      <c r="G569" s="124"/>
      <c r="H569" s="124"/>
      <c r="I569" s="124"/>
      <c r="J569" s="124"/>
      <c r="K569" s="234">
        <f t="shared" si="42"/>
        <v>0</v>
      </c>
      <c r="L569" s="234">
        <f t="shared" si="42"/>
        <v>4.74</v>
      </c>
      <c r="M569" s="234">
        <f t="shared" si="42"/>
        <v>10</v>
      </c>
      <c r="N569" s="234">
        <f t="shared" si="42"/>
        <v>20</v>
      </c>
    </row>
    <row r="570" spans="1:14" x14ac:dyDescent="0.25">
      <c r="A570" s="231">
        <v>6330</v>
      </c>
      <c r="B570" s="119" t="s">
        <v>28</v>
      </c>
      <c r="C570" s="120"/>
      <c r="D570" s="352">
        <f t="shared" si="41"/>
        <v>0</v>
      </c>
      <c r="E570" s="121"/>
      <c r="F570" s="121"/>
      <c r="G570" s="121"/>
      <c r="H570" s="121"/>
      <c r="I570" s="121"/>
      <c r="J570" s="121"/>
      <c r="K570" s="236">
        <f t="shared" si="42"/>
        <v>0</v>
      </c>
      <c r="L570" s="236">
        <f t="shared" si="42"/>
        <v>0</v>
      </c>
      <c r="M570" s="236">
        <f t="shared" si="42"/>
        <v>0</v>
      </c>
      <c r="N570" s="236">
        <f t="shared" si="42"/>
        <v>0</v>
      </c>
    </row>
    <row r="571" spans="1:14" x14ac:dyDescent="0.25">
      <c r="A571" s="232">
        <v>6330</v>
      </c>
      <c r="B571" s="108" t="s">
        <v>27</v>
      </c>
      <c r="C571" s="123"/>
      <c r="D571" s="363">
        <f t="shared" si="41"/>
        <v>0</v>
      </c>
      <c r="E571" s="124"/>
      <c r="F571" s="124"/>
      <c r="G571" s="124"/>
      <c r="H571" s="124"/>
      <c r="I571" s="124"/>
      <c r="J571" s="124"/>
      <c r="K571" s="234">
        <f t="shared" si="42"/>
        <v>0</v>
      </c>
      <c r="L571" s="234">
        <f t="shared" si="42"/>
        <v>0</v>
      </c>
      <c r="M571" s="234">
        <f t="shared" si="42"/>
        <v>0</v>
      </c>
      <c r="N571" s="234">
        <f t="shared" si="42"/>
        <v>0</v>
      </c>
    </row>
    <row r="572" spans="1:14" x14ac:dyDescent="0.25">
      <c r="A572" s="232">
        <v>6330</v>
      </c>
      <c r="B572" s="108" t="s">
        <v>32</v>
      </c>
      <c r="C572" s="123"/>
      <c r="D572" s="363">
        <f t="shared" si="41"/>
        <v>0</v>
      </c>
      <c r="E572" s="124"/>
      <c r="F572" s="124"/>
      <c r="G572" s="124"/>
      <c r="H572" s="124"/>
      <c r="I572" s="124"/>
      <c r="J572" s="124"/>
      <c r="K572" s="234">
        <f t="shared" si="42"/>
        <v>0</v>
      </c>
      <c r="L572" s="234">
        <f t="shared" si="42"/>
        <v>0</v>
      </c>
      <c r="M572" s="234">
        <f t="shared" si="42"/>
        <v>0</v>
      </c>
      <c r="N572" s="234">
        <f t="shared" si="42"/>
        <v>0</v>
      </c>
    </row>
    <row r="573" spans="1:14" x14ac:dyDescent="0.25">
      <c r="A573" s="232">
        <v>6330</v>
      </c>
      <c r="B573" s="108" t="s">
        <v>685</v>
      </c>
      <c r="C573" s="123"/>
      <c r="D573" s="363">
        <f t="shared" si="41"/>
        <v>0</v>
      </c>
      <c r="E573" s="124"/>
      <c r="F573" s="124"/>
      <c r="G573" s="124"/>
      <c r="H573" s="124"/>
      <c r="I573" s="124"/>
      <c r="J573" s="124"/>
      <c r="K573" s="234">
        <f t="shared" si="42"/>
        <v>0</v>
      </c>
      <c r="L573" s="234">
        <f t="shared" si="42"/>
        <v>0</v>
      </c>
      <c r="M573" s="234">
        <f t="shared" si="42"/>
        <v>0</v>
      </c>
      <c r="N573" s="234">
        <f t="shared" si="42"/>
        <v>0</v>
      </c>
    </row>
    <row r="574" spans="1:14" x14ac:dyDescent="0.25">
      <c r="A574" s="232">
        <v>6330</v>
      </c>
      <c r="B574" s="108" t="s">
        <v>41</v>
      </c>
      <c r="C574" s="123"/>
      <c r="D574" s="363">
        <f t="shared" si="41"/>
        <v>0</v>
      </c>
      <c r="E574" s="124"/>
      <c r="F574" s="124"/>
      <c r="G574" s="124"/>
      <c r="H574" s="124"/>
      <c r="I574" s="124"/>
      <c r="J574" s="124"/>
      <c r="K574" s="234">
        <f t="shared" si="42"/>
        <v>0</v>
      </c>
      <c r="L574" s="234">
        <f t="shared" si="42"/>
        <v>0</v>
      </c>
      <c r="M574" s="234">
        <f t="shared" si="42"/>
        <v>0</v>
      </c>
      <c r="N574" s="234">
        <f t="shared" si="42"/>
        <v>0</v>
      </c>
    </row>
    <row r="575" spans="1:14" x14ac:dyDescent="0.25">
      <c r="A575" s="232">
        <v>6330</v>
      </c>
      <c r="B575" s="108" t="s">
        <v>775</v>
      </c>
      <c r="C575" s="123"/>
      <c r="D575" s="363">
        <f t="shared" si="41"/>
        <v>0</v>
      </c>
      <c r="E575" s="124"/>
      <c r="F575" s="124"/>
      <c r="G575" s="124"/>
      <c r="H575" s="124"/>
      <c r="I575" s="124"/>
      <c r="J575" s="124"/>
      <c r="K575" s="234">
        <f t="shared" si="42"/>
        <v>0</v>
      </c>
      <c r="L575" s="234">
        <f t="shared" si="42"/>
        <v>0</v>
      </c>
      <c r="M575" s="234">
        <f t="shared" si="42"/>
        <v>0</v>
      </c>
      <c r="N575" s="234">
        <f t="shared" si="42"/>
        <v>0</v>
      </c>
    </row>
    <row r="576" spans="1:14" x14ac:dyDescent="0.25">
      <c r="A576" s="232">
        <v>6330</v>
      </c>
      <c r="B576" s="108" t="s">
        <v>37</v>
      </c>
      <c r="C576" s="123"/>
      <c r="D576" s="363">
        <f t="shared" si="41"/>
        <v>0</v>
      </c>
      <c r="E576" s="124"/>
      <c r="F576" s="124"/>
      <c r="G576" s="124"/>
      <c r="H576" s="124"/>
      <c r="I576" s="124"/>
      <c r="J576" s="124"/>
      <c r="K576" s="234">
        <f t="shared" si="42"/>
        <v>0</v>
      </c>
      <c r="L576" s="234">
        <f t="shared" si="42"/>
        <v>0</v>
      </c>
      <c r="M576" s="234">
        <f t="shared" si="42"/>
        <v>0</v>
      </c>
      <c r="N576" s="234">
        <f t="shared" si="42"/>
        <v>0</v>
      </c>
    </row>
    <row r="577" spans="1:14" x14ac:dyDescent="0.25">
      <c r="A577" s="232">
        <v>6330</v>
      </c>
      <c r="B577" s="108" t="s">
        <v>29</v>
      </c>
      <c r="C577" s="123"/>
      <c r="D577" s="363">
        <f t="shared" si="41"/>
        <v>0</v>
      </c>
      <c r="E577" s="124"/>
      <c r="F577" s="124"/>
      <c r="G577" s="124"/>
      <c r="H577" s="124"/>
      <c r="I577" s="124"/>
      <c r="J577" s="124"/>
      <c r="K577" s="234">
        <f t="shared" si="42"/>
        <v>0</v>
      </c>
      <c r="L577" s="234">
        <f t="shared" si="42"/>
        <v>0</v>
      </c>
      <c r="M577" s="234">
        <f t="shared" si="42"/>
        <v>0</v>
      </c>
      <c r="N577" s="234">
        <f t="shared" si="42"/>
        <v>0</v>
      </c>
    </row>
    <row r="578" spans="1:14" x14ac:dyDescent="0.25">
      <c r="A578" s="232">
        <v>6330</v>
      </c>
      <c r="B578" s="108" t="s">
        <v>536</v>
      </c>
      <c r="C578" s="123"/>
      <c r="D578" s="363">
        <f t="shared" si="41"/>
        <v>0</v>
      </c>
      <c r="E578" s="124"/>
      <c r="F578" s="124"/>
      <c r="G578" s="124"/>
      <c r="H578" s="124"/>
      <c r="I578" s="124"/>
      <c r="J578" s="124"/>
      <c r="K578" s="234">
        <f t="shared" si="42"/>
        <v>0</v>
      </c>
      <c r="L578" s="234">
        <f t="shared" si="42"/>
        <v>0</v>
      </c>
      <c r="M578" s="234">
        <f t="shared" si="42"/>
        <v>0</v>
      </c>
      <c r="N578" s="234">
        <f t="shared" si="42"/>
        <v>0</v>
      </c>
    </row>
    <row r="579" spans="1:14" x14ac:dyDescent="0.25">
      <c r="A579" s="232">
        <v>6330</v>
      </c>
      <c r="B579" s="108" t="s">
        <v>36</v>
      </c>
      <c r="C579" s="123"/>
      <c r="D579" s="363">
        <f t="shared" si="41"/>
        <v>1</v>
      </c>
      <c r="E579" s="124"/>
      <c r="F579" s="124"/>
      <c r="G579" s="124"/>
      <c r="H579" s="124"/>
      <c r="I579" s="124"/>
      <c r="J579" s="124"/>
      <c r="K579" s="234">
        <f t="shared" si="42"/>
        <v>122595</v>
      </c>
      <c r="L579" s="234">
        <f t="shared" si="42"/>
        <v>74783.31</v>
      </c>
      <c r="M579" s="234">
        <f t="shared" si="42"/>
        <v>52000</v>
      </c>
      <c r="N579" s="234">
        <f t="shared" si="42"/>
        <v>54000</v>
      </c>
    </row>
    <row r="580" spans="1:14" x14ac:dyDescent="0.25">
      <c r="A580" s="232">
        <v>6330</v>
      </c>
      <c r="B580" s="85" t="s">
        <v>31</v>
      </c>
      <c r="C580" s="123"/>
      <c r="D580" s="363">
        <f t="shared" si="41"/>
        <v>0</v>
      </c>
      <c r="E580" s="124"/>
      <c r="F580" s="124"/>
      <c r="G580" s="124"/>
      <c r="H580" s="124"/>
      <c r="I580" s="124"/>
      <c r="J580" s="124"/>
      <c r="K580" s="234">
        <f t="shared" ref="K580:N599" si="43">SUMIFS(K$28:K$280,$A$28:$A$280,$A580,$B$28:$B$280,$B580)</f>
        <v>0</v>
      </c>
      <c r="L580" s="234">
        <f t="shared" si="43"/>
        <v>0</v>
      </c>
      <c r="M580" s="234">
        <f t="shared" si="43"/>
        <v>0</v>
      </c>
      <c r="N580" s="234">
        <f t="shared" si="43"/>
        <v>0</v>
      </c>
    </row>
    <row r="581" spans="1:14" x14ac:dyDescent="0.25">
      <c r="A581" s="232">
        <v>6330</v>
      </c>
      <c r="B581" s="85" t="s">
        <v>30</v>
      </c>
      <c r="C581" s="123"/>
      <c r="D581" s="363">
        <f t="shared" si="41"/>
        <v>0</v>
      </c>
      <c r="E581" s="124"/>
      <c r="F581" s="124"/>
      <c r="G581" s="124"/>
      <c r="H581" s="124"/>
      <c r="I581" s="124"/>
      <c r="J581" s="124"/>
      <c r="K581" s="234">
        <f t="shared" si="43"/>
        <v>0</v>
      </c>
      <c r="L581" s="234">
        <f t="shared" si="43"/>
        <v>0</v>
      </c>
      <c r="M581" s="234">
        <f t="shared" si="43"/>
        <v>0</v>
      </c>
      <c r="N581" s="234">
        <f t="shared" si="43"/>
        <v>0</v>
      </c>
    </row>
    <row r="582" spans="1:14" x14ac:dyDescent="0.25">
      <c r="A582" s="232">
        <v>6330</v>
      </c>
      <c r="B582" s="85" t="s">
        <v>38</v>
      </c>
      <c r="C582" s="123"/>
      <c r="D582" s="363">
        <f t="shared" si="41"/>
        <v>1</v>
      </c>
      <c r="E582" s="124"/>
      <c r="F582" s="124"/>
      <c r="G582" s="124"/>
      <c r="H582" s="124"/>
      <c r="I582" s="124"/>
      <c r="J582" s="124"/>
      <c r="K582" s="234">
        <f t="shared" si="43"/>
        <v>4200</v>
      </c>
      <c r="L582" s="234">
        <f t="shared" si="43"/>
        <v>2095.6799999999998</v>
      </c>
      <c r="M582" s="234">
        <f t="shared" si="43"/>
        <v>4200</v>
      </c>
      <c r="N582" s="234">
        <f t="shared" si="43"/>
        <v>4200</v>
      </c>
    </row>
    <row r="583" spans="1:14" x14ac:dyDescent="0.25">
      <c r="A583" s="232">
        <v>6330</v>
      </c>
      <c r="B583" s="85" t="s">
        <v>684</v>
      </c>
      <c r="C583" s="123"/>
      <c r="D583" s="363">
        <f t="shared" si="41"/>
        <v>1</v>
      </c>
      <c r="E583" s="124"/>
      <c r="F583" s="124"/>
      <c r="G583" s="124"/>
      <c r="H583" s="124"/>
      <c r="I583" s="124"/>
      <c r="J583" s="124"/>
      <c r="K583" s="234">
        <f t="shared" si="43"/>
        <v>0</v>
      </c>
      <c r="L583" s="234">
        <f t="shared" si="43"/>
        <v>1483.02</v>
      </c>
      <c r="M583" s="234">
        <f t="shared" si="43"/>
        <v>1300</v>
      </c>
      <c r="N583" s="234">
        <f t="shared" si="43"/>
        <v>4000</v>
      </c>
    </row>
    <row r="584" spans="1:14" x14ac:dyDescent="0.25">
      <c r="A584" s="232">
        <v>6330</v>
      </c>
      <c r="B584" s="85" t="s">
        <v>33</v>
      </c>
      <c r="C584" s="123"/>
      <c r="D584" s="363">
        <f t="shared" si="41"/>
        <v>0</v>
      </c>
      <c r="E584" s="124"/>
      <c r="F584" s="124"/>
      <c r="G584" s="124"/>
      <c r="H584" s="124"/>
      <c r="I584" s="124"/>
      <c r="J584" s="124"/>
      <c r="K584" s="234">
        <f t="shared" si="43"/>
        <v>0</v>
      </c>
      <c r="L584" s="234">
        <f t="shared" si="43"/>
        <v>0</v>
      </c>
      <c r="M584" s="234">
        <f t="shared" si="43"/>
        <v>0</v>
      </c>
      <c r="N584" s="234">
        <f t="shared" si="43"/>
        <v>0</v>
      </c>
    </row>
    <row r="585" spans="1:14" x14ac:dyDescent="0.25">
      <c r="A585" s="232">
        <v>6330</v>
      </c>
      <c r="B585" s="85" t="s">
        <v>35</v>
      </c>
      <c r="C585" s="123"/>
      <c r="D585" s="363">
        <f t="shared" si="41"/>
        <v>0</v>
      </c>
      <c r="E585" s="124"/>
      <c r="F585" s="124"/>
      <c r="G585" s="124"/>
      <c r="H585" s="124"/>
      <c r="I585" s="124"/>
      <c r="J585" s="124"/>
      <c r="K585" s="234">
        <f t="shared" si="43"/>
        <v>0</v>
      </c>
      <c r="L585" s="234">
        <f t="shared" si="43"/>
        <v>0</v>
      </c>
      <c r="M585" s="234">
        <f t="shared" si="43"/>
        <v>0</v>
      </c>
      <c r="N585" s="234">
        <f t="shared" si="43"/>
        <v>0</v>
      </c>
    </row>
    <row r="586" spans="1:14" x14ac:dyDescent="0.25">
      <c r="A586" s="232">
        <v>6330</v>
      </c>
      <c r="B586" s="108" t="s">
        <v>39</v>
      </c>
      <c r="C586" s="123"/>
      <c r="D586" s="363">
        <f t="shared" si="41"/>
        <v>0</v>
      </c>
      <c r="E586" s="124"/>
      <c r="F586" s="124"/>
      <c r="G586" s="124"/>
      <c r="H586" s="124"/>
      <c r="I586" s="124"/>
      <c r="J586" s="124"/>
      <c r="K586" s="234">
        <f t="shared" si="43"/>
        <v>0</v>
      </c>
      <c r="L586" s="234">
        <f t="shared" si="43"/>
        <v>0</v>
      </c>
      <c r="M586" s="234">
        <f t="shared" si="43"/>
        <v>0</v>
      </c>
      <c r="N586" s="234">
        <f t="shared" si="43"/>
        <v>0</v>
      </c>
    </row>
    <row r="587" spans="1:14" ht="15.75" thickBot="1" x14ac:dyDescent="0.3">
      <c r="A587" s="232">
        <v>6330</v>
      </c>
      <c r="B587" s="108" t="s">
        <v>34</v>
      </c>
      <c r="C587" s="123"/>
      <c r="D587" s="363">
        <f t="shared" si="41"/>
        <v>0</v>
      </c>
      <c r="E587" s="124"/>
      <c r="F587" s="124"/>
      <c r="G587" s="124"/>
      <c r="H587" s="124"/>
      <c r="I587" s="124"/>
      <c r="J587" s="124"/>
      <c r="K587" s="234">
        <f t="shared" si="43"/>
        <v>0</v>
      </c>
      <c r="L587" s="234">
        <f t="shared" si="43"/>
        <v>0</v>
      </c>
      <c r="M587" s="234">
        <f t="shared" si="43"/>
        <v>0</v>
      </c>
      <c r="N587" s="234">
        <f t="shared" si="43"/>
        <v>0</v>
      </c>
    </row>
    <row r="588" spans="1:14" x14ac:dyDescent="0.25">
      <c r="A588" s="231">
        <v>6335</v>
      </c>
      <c r="B588" s="119" t="s">
        <v>28</v>
      </c>
      <c r="C588" s="120"/>
      <c r="D588" s="352">
        <f t="shared" si="41"/>
        <v>0</v>
      </c>
      <c r="E588" s="121"/>
      <c r="F588" s="121"/>
      <c r="G588" s="121"/>
      <c r="H588" s="121"/>
      <c r="I588" s="121"/>
      <c r="J588" s="121"/>
      <c r="K588" s="236">
        <f t="shared" si="43"/>
        <v>0</v>
      </c>
      <c r="L588" s="236">
        <f t="shared" si="43"/>
        <v>0</v>
      </c>
      <c r="M588" s="236">
        <f t="shared" si="43"/>
        <v>0</v>
      </c>
      <c r="N588" s="236">
        <f t="shared" si="43"/>
        <v>0</v>
      </c>
    </row>
    <row r="589" spans="1:14" x14ac:dyDescent="0.25">
      <c r="A589" s="232">
        <v>6335</v>
      </c>
      <c r="B589" s="108" t="s">
        <v>27</v>
      </c>
      <c r="C589" s="123"/>
      <c r="D589" s="363">
        <f t="shared" si="41"/>
        <v>0</v>
      </c>
      <c r="E589" s="124"/>
      <c r="F589" s="124"/>
      <c r="G589" s="124"/>
      <c r="H589" s="124"/>
      <c r="I589" s="124"/>
      <c r="J589" s="124"/>
      <c r="K589" s="234">
        <f t="shared" si="43"/>
        <v>0</v>
      </c>
      <c r="L589" s="234">
        <f t="shared" si="43"/>
        <v>0</v>
      </c>
      <c r="M589" s="234">
        <f t="shared" si="43"/>
        <v>0</v>
      </c>
      <c r="N589" s="234">
        <f t="shared" si="43"/>
        <v>0</v>
      </c>
    </row>
    <row r="590" spans="1:14" x14ac:dyDescent="0.25">
      <c r="A590" s="232">
        <v>6335</v>
      </c>
      <c r="B590" s="108" t="s">
        <v>32</v>
      </c>
      <c r="C590" s="123"/>
      <c r="D590" s="363">
        <f t="shared" si="41"/>
        <v>0</v>
      </c>
      <c r="E590" s="124"/>
      <c r="F590" s="124"/>
      <c r="G590" s="124"/>
      <c r="H590" s="124"/>
      <c r="I590" s="124"/>
      <c r="J590" s="124"/>
      <c r="K590" s="234">
        <f t="shared" si="43"/>
        <v>0</v>
      </c>
      <c r="L590" s="234">
        <f t="shared" si="43"/>
        <v>0</v>
      </c>
      <c r="M590" s="234">
        <f t="shared" si="43"/>
        <v>0</v>
      </c>
      <c r="N590" s="234">
        <f t="shared" si="43"/>
        <v>0</v>
      </c>
    </row>
    <row r="591" spans="1:14" x14ac:dyDescent="0.25">
      <c r="A591" s="232">
        <v>6335</v>
      </c>
      <c r="B591" s="108" t="s">
        <v>685</v>
      </c>
      <c r="C591" s="123"/>
      <c r="D591" s="363">
        <f t="shared" si="41"/>
        <v>0</v>
      </c>
      <c r="E591" s="124"/>
      <c r="F591" s="124"/>
      <c r="G591" s="124"/>
      <c r="H591" s="124"/>
      <c r="I591" s="124"/>
      <c r="J591" s="124"/>
      <c r="K591" s="234">
        <f t="shared" si="43"/>
        <v>0</v>
      </c>
      <c r="L591" s="234">
        <f t="shared" si="43"/>
        <v>0</v>
      </c>
      <c r="M591" s="234">
        <f t="shared" si="43"/>
        <v>0</v>
      </c>
      <c r="N591" s="234">
        <f t="shared" si="43"/>
        <v>0</v>
      </c>
    </row>
    <row r="592" spans="1:14" x14ac:dyDescent="0.25">
      <c r="A592" s="232">
        <v>6335</v>
      </c>
      <c r="B592" s="108" t="s">
        <v>41</v>
      </c>
      <c r="C592" s="123"/>
      <c r="D592" s="363">
        <f t="shared" si="41"/>
        <v>0</v>
      </c>
      <c r="E592" s="124"/>
      <c r="F592" s="124"/>
      <c r="G592" s="124"/>
      <c r="H592" s="124"/>
      <c r="I592" s="124"/>
      <c r="J592" s="124"/>
      <c r="K592" s="234">
        <f t="shared" si="43"/>
        <v>0</v>
      </c>
      <c r="L592" s="234">
        <f t="shared" si="43"/>
        <v>0</v>
      </c>
      <c r="M592" s="234">
        <f t="shared" si="43"/>
        <v>0</v>
      </c>
      <c r="N592" s="234">
        <f t="shared" si="43"/>
        <v>0</v>
      </c>
    </row>
    <row r="593" spans="1:14" x14ac:dyDescent="0.25">
      <c r="A593" s="232">
        <v>6335</v>
      </c>
      <c r="B593" s="108" t="s">
        <v>775</v>
      </c>
      <c r="C593" s="123"/>
      <c r="D593" s="363">
        <f t="shared" si="41"/>
        <v>0</v>
      </c>
      <c r="E593" s="124"/>
      <c r="F593" s="124"/>
      <c r="G593" s="124"/>
      <c r="H593" s="124"/>
      <c r="I593" s="124"/>
      <c r="J593" s="124"/>
      <c r="K593" s="234">
        <f t="shared" si="43"/>
        <v>0</v>
      </c>
      <c r="L593" s="234">
        <f t="shared" si="43"/>
        <v>0</v>
      </c>
      <c r="M593" s="234">
        <f t="shared" si="43"/>
        <v>0</v>
      </c>
      <c r="N593" s="234">
        <f t="shared" si="43"/>
        <v>0</v>
      </c>
    </row>
    <row r="594" spans="1:14" x14ac:dyDescent="0.25">
      <c r="A594" s="232">
        <v>6335</v>
      </c>
      <c r="B594" s="108" t="s">
        <v>37</v>
      </c>
      <c r="C594" s="123"/>
      <c r="D594" s="363">
        <f t="shared" si="41"/>
        <v>0</v>
      </c>
      <c r="E594" s="124"/>
      <c r="F594" s="124"/>
      <c r="G594" s="124"/>
      <c r="H594" s="124"/>
      <c r="I594" s="124"/>
      <c r="J594" s="124"/>
      <c r="K594" s="234">
        <f t="shared" si="43"/>
        <v>0</v>
      </c>
      <c r="L594" s="234">
        <f t="shared" si="43"/>
        <v>0</v>
      </c>
      <c r="M594" s="234">
        <f t="shared" si="43"/>
        <v>0</v>
      </c>
      <c r="N594" s="234">
        <f t="shared" si="43"/>
        <v>0</v>
      </c>
    </row>
    <row r="595" spans="1:14" x14ac:dyDescent="0.25">
      <c r="A595" s="232">
        <v>6335</v>
      </c>
      <c r="B595" s="108" t="s">
        <v>29</v>
      </c>
      <c r="C595" s="123"/>
      <c r="D595" s="363">
        <f t="shared" si="41"/>
        <v>0</v>
      </c>
      <c r="E595" s="124"/>
      <c r="F595" s="124"/>
      <c r="G595" s="124"/>
      <c r="H595" s="124"/>
      <c r="I595" s="124"/>
      <c r="J595" s="124"/>
      <c r="K595" s="234">
        <f t="shared" si="43"/>
        <v>0</v>
      </c>
      <c r="L595" s="234">
        <f t="shared" si="43"/>
        <v>0</v>
      </c>
      <c r="M595" s="234">
        <f t="shared" si="43"/>
        <v>0</v>
      </c>
      <c r="N595" s="234">
        <f t="shared" si="43"/>
        <v>0</v>
      </c>
    </row>
    <row r="596" spans="1:14" x14ac:dyDescent="0.25">
      <c r="A596" s="232">
        <v>6335</v>
      </c>
      <c r="B596" s="108" t="s">
        <v>536</v>
      </c>
      <c r="C596" s="123"/>
      <c r="D596" s="363">
        <f t="shared" si="41"/>
        <v>1</v>
      </c>
      <c r="E596" s="124"/>
      <c r="F596" s="124"/>
      <c r="G596" s="124"/>
      <c r="H596" s="124"/>
      <c r="I596" s="124"/>
      <c r="J596" s="124"/>
      <c r="K596" s="234">
        <f t="shared" si="43"/>
        <v>500</v>
      </c>
      <c r="L596" s="234">
        <f t="shared" si="43"/>
        <v>0</v>
      </c>
      <c r="M596" s="234">
        <f t="shared" si="43"/>
        <v>0</v>
      </c>
      <c r="N596" s="234">
        <f t="shared" si="43"/>
        <v>500</v>
      </c>
    </row>
    <row r="597" spans="1:14" x14ac:dyDescent="0.25">
      <c r="A597" s="232">
        <v>6335</v>
      </c>
      <c r="B597" s="108" t="s">
        <v>36</v>
      </c>
      <c r="C597" s="123"/>
      <c r="D597" s="363">
        <f t="shared" si="41"/>
        <v>1</v>
      </c>
      <c r="E597" s="124"/>
      <c r="F597" s="124"/>
      <c r="G597" s="124"/>
      <c r="H597" s="124"/>
      <c r="I597" s="124"/>
      <c r="J597" s="124"/>
      <c r="K597" s="234">
        <f t="shared" si="43"/>
        <v>18561.760000000002</v>
      </c>
      <c r="L597" s="234">
        <f t="shared" si="43"/>
        <v>0</v>
      </c>
      <c r="M597" s="234">
        <f t="shared" si="43"/>
        <v>0</v>
      </c>
      <c r="N597" s="234">
        <f t="shared" si="43"/>
        <v>10000</v>
      </c>
    </row>
    <row r="598" spans="1:14" x14ac:dyDescent="0.25">
      <c r="A598" s="232">
        <v>6335</v>
      </c>
      <c r="B598" s="85" t="s">
        <v>31</v>
      </c>
      <c r="C598" s="123"/>
      <c r="D598" s="363">
        <f t="shared" si="41"/>
        <v>0</v>
      </c>
      <c r="E598" s="124"/>
      <c r="F598" s="124"/>
      <c r="G598" s="124"/>
      <c r="H598" s="124"/>
      <c r="I598" s="124"/>
      <c r="J598" s="124"/>
      <c r="K598" s="234">
        <f t="shared" si="43"/>
        <v>0</v>
      </c>
      <c r="L598" s="234">
        <f t="shared" si="43"/>
        <v>0</v>
      </c>
      <c r="M598" s="234">
        <f t="shared" si="43"/>
        <v>0</v>
      </c>
      <c r="N598" s="234">
        <f t="shared" si="43"/>
        <v>0</v>
      </c>
    </row>
    <row r="599" spans="1:14" x14ac:dyDescent="0.25">
      <c r="A599" s="232">
        <v>6335</v>
      </c>
      <c r="B599" s="85" t="s">
        <v>30</v>
      </c>
      <c r="C599" s="123"/>
      <c r="D599" s="363">
        <f t="shared" si="41"/>
        <v>0</v>
      </c>
      <c r="E599" s="124"/>
      <c r="F599" s="124"/>
      <c r="G599" s="124"/>
      <c r="H599" s="124"/>
      <c r="I599" s="124"/>
      <c r="J599" s="124"/>
      <c r="K599" s="234">
        <f t="shared" si="43"/>
        <v>0</v>
      </c>
      <c r="L599" s="234">
        <f t="shared" si="43"/>
        <v>0</v>
      </c>
      <c r="M599" s="234">
        <f t="shared" si="43"/>
        <v>0</v>
      </c>
      <c r="N599" s="234">
        <f t="shared" si="43"/>
        <v>0</v>
      </c>
    </row>
    <row r="600" spans="1:14" x14ac:dyDescent="0.25">
      <c r="A600" s="232">
        <v>6335</v>
      </c>
      <c r="B600" s="85" t="s">
        <v>38</v>
      </c>
      <c r="C600" s="123"/>
      <c r="D600" s="363">
        <f t="shared" si="41"/>
        <v>0</v>
      </c>
      <c r="E600" s="124"/>
      <c r="F600" s="124"/>
      <c r="G600" s="124"/>
      <c r="H600" s="124"/>
      <c r="I600" s="124"/>
      <c r="J600" s="124"/>
      <c r="K600" s="234">
        <f t="shared" ref="K600:N619" si="44">SUMIFS(K$28:K$280,$A$28:$A$280,$A600,$B$28:$B$280,$B600)</f>
        <v>0</v>
      </c>
      <c r="L600" s="234">
        <f t="shared" si="44"/>
        <v>0</v>
      </c>
      <c r="M600" s="234">
        <f t="shared" si="44"/>
        <v>0</v>
      </c>
      <c r="N600" s="234">
        <f t="shared" si="44"/>
        <v>0</v>
      </c>
    </row>
    <row r="601" spans="1:14" x14ac:dyDescent="0.25">
      <c r="A601" s="232">
        <v>6335</v>
      </c>
      <c r="B601" s="85" t="s">
        <v>684</v>
      </c>
      <c r="C601" s="123"/>
      <c r="D601" s="363">
        <f t="shared" si="41"/>
        <v>1</v>
      </c>
      <c r="E601" s="124"/>
      <c r="F601" s="124"/>
      <c r="G601" s="124"/>
      <c r="H601" s="124"/>
      <c r="I601" s="124"/>
      <c r="J601" s="124"/>
      <c r="K601" s="234">
        <f t="shared" si="44"/>
        <v>0</v>
      </c>
      <c r="L601" s="234">
        <f t="shared" si="44"/>
        <v>25134.25</v>
      </c>
      <c r="M601" s="234">
        <f t="shared" si="44"/>
        <v>21900</v>
      </c>
      <c r="N601" s="234">
        <f t="shared" si="44"/>
        <v>35000</v>
      </c>
    </row>
    <row r="602" spans="1:14" x14ac:dyDescent="0.25">
      <c r="A602" s="232">
        <v>6335</v>
      </c>
      <c r="B602" s="85" t="s">
        <v>33</v>
      </c>
      <c r="C602" s="123"/>
      <c r="D602" s="363">
        <f t="shared" si="41"/>
        <v>0</v>
      </c>
      <c r="E602" s="124"/>
      <c r="F602" s="124"/>
      <c r="G602" s="124"/>
      <c r="H602" s="124"/>
      <c r="I602" s="124"/>
      <c r="J602" s="124"/>
      <c r="K602" s="234">
        <f t="shared" si="44"/>
        <v>0</v>
      </c>
      <c r="L602" s="234">
        <f t="shared" si="44"/>
        <v>0</v>
      </c>
      <c r="M602" s="234">
        <f t="shared" si="44"/>
        <v>0</v>
      </c>
      <c r="N602" s="234">
        <f t="shared" si="44"/>
        <v>0</v>
      </c>
    </row>
    <row r="603" spans="1:14" x14ac:dyDescent="0.25">
      <c r="A603" s="232">
        <v>6335</v>
      </c>
      <c r="B603" s="85" t="s">
        <v>35</v>
      </c>
      <c r="C603" s="123"/>
      <c r="D603" s="363">
        <f t="shared" si="41"/>
        <v>0</v>
      </c>
      <c r="E603" s="124"/>
      <c r="F603" s="124"/>
      <c r="G603" s="124"/>
      <c r="H603" s="124"/>
      <c r="I603" s="124"/>
      <c r="J603" s="124"/>
      <c r="K603" s="234">
        <f t="shared" si="44"/>
        <v>0</v>
      </c>
      <c r="L603" s="234">
        <f t="shared" si="44"/>
        <v>0</v>
      </c>
      <c r="M603" s="234">
        <f t="shared" si="44"/>
        <v>0</v>
      </c>
      <c r="N603" s="234">
        <f t="shared" si="44"/>
        <v>0</v>
      </c>
    </row>
    <row r="604" spans="1:14" x14ac:dyDescent="0.25">
      <c r="A604" s="232">
        <v>6335</v>
      </c>
      <c r="B604" s="108" t="s">
        <v>39</v>
      </c>
      <c r="C604" s="123"/>
      <c r="D604" s="363">
        <f t="shared" si="41"/>
        <v>0</v>
      </c>
      <c r="E604" s="124"/>
      <c r="F604" s="124"/>
      <c r="G604" s="124"/>
      <c r="H604" s="124"/>
      <c r="I604" s="124"/>
      <c r="J604" s="124"/>
      <c r="K604" s="234">
        <f t="shared" si="44"/>
        <v>0</v>
      </c>
      <c r="L604" s="234">
        <f t="shared" si="44"/>
        <v>0</v>
      </c>
      <c r="M604" s="234">
        <f t="shared" si="44"/>
        <v>0</v>
      </c>
      <c r="N604" s="234">
        <f t="shared" si="44"/>
        <v>0</v>
      </c>
    </row>
    <row r="605" spans="1:14" ht="15.75" thickBot="1" x14ac:dyDescent="0.3">
      <c r="A605" s="232">
        <v>6335</v>
      </c>
      <c r="B605" s="108" t="s">
        <v>34</v>
      </c>
      <c r="C605" s="123"/>
      <c r="D605" s="363">
        <f t="shared" si="41"/>
        <v>0</v>
      </c>
      <c r="E605" s="124"/>
      <c r="F605" s="124"/>
      <c r="G605" s="124"/>
      <c r="H605" s="124"/>
      <c r="I605" s="124"/>
      <c r="J605" s="124"/>
      <c r="K605" s="234">
        <f t="shared" si="44"/>
        <v>0</v>
      </c>
      <c r="L605" s="234">
        <f t="shared" si="44"/>
        <v>0</v>
      </c>
      <c r="M605" s="234">
        <f t="shared" si="44"/>
        <v>0</v>
      </c>
      <c r="N605" s="234">
        <f t="shared" si="44"/>
        <v>0</v>
      </c>
    </row>
    <row r="606" spans="1:14" x14ac:dyDescent="0.25">
      <c r="A606" s="231">
        <v>6375</v>
      </c>
      <c r="B606" s="119" t="s">
        <v>28</v>
      </c>
      <c r="C606" s="120"/>
      <c r="D606" s="352">
        <f t="shared" si="41"/>
        <v>0</v>
      </c>
      <c r="E606" s="121"/>
      <c r="F606" s="121"/>
      <c r="G606" s="121"/>
      <c r="H606" s="121"/>
      <c r="I606" s="121"/>
      <c r="J606" s="121"/>
      <c r="K606" s="236">
        <f t="shared" si="44"/>
        <v>0</v>
      </c>
      <c r="L606" s="236">
        <f t="shared" si="44"/>
        <v>0</v>
      </c>
      <c r="M606" s="236">
        <f t="shared" si="44"/>
        <v>0</v>
      </c>
      <c r="N606" s="236">
        <f t="shared" si="44"/>
        <v>0</v>
      </c>
    </row>
    <row r="607" spans="1:14" x14ac:dyDescent="0.25">
      <c r="A607" s="232">
        <v>6375</v>
      </c>
      <c r="B607" s="108" t="s">
        <v>27</v>
      </c>
      <c r="C607" s="123"/>
      <c r="D607" s="363">
        <f t="shared" si="41"/>
        <v>0</v>
      </c>
      <c r="E607" s="124"/>
      <c r="F607" s="124"/>
      <c r="G607" s="124"/>
      <c r="H607" s="124"/>
      <c r="I607" s="124"/>
      <c r="J607" s="124"/>
      <c r="K607" s="234">
        <f t="shared" si="44"/>
        <v>0</v>
      </c>
      <c r="L607" s="234">
        <f t="shared" si="44"/>
        <v>0</v>
      </c>
      <c r="M607" s="234">
        <f t="shared" si="44"/>
        <v>0</v>
      </c>
      <c r="N607" s="234">
        <f t="shared" si="44"/>
        <v>0</v>
      </c>
    </row>
    <row r="608" spans="1:14" x14ac:dyDescent="0.25">
      <c r="A608" s="232">
        <v>6375</v>
      </c>
      <c r="B608" s="108" t="s">
        <v>32</v>
      </c>
      <c r="C608" s="123"/>
      <c r="D608" s="363">
        <f t="shared" si="41"/>
        <v>0</v>
      </c>
      <c r="E608" s="124"/>
      <c r="F608" s="124"/>
      <c r="G608" s="124"/>
      <c r="H608" s="124"/>
      <c r="I608" s="124"/>
      <c r="J608" s="124"/>
      <c r="K608" s="234">
        <f t="shared" si="44"/>
        <v>0</v>
      </c>
      <c r="L608" s="234">
        <f t="shared" si="44"/>
        <v>0</v>
      </c>
      <c r="M608" s="234">
        <f t="shared" si="44"/>
        <v>0</v>
      </c>
      <c r="N608" s="234">
        <f t="shared" si="44"/>
        <v>0</v>
      </c>
    </row>
    <row r="609" spans="1:14" x14ac:dyDescent="0.25">
      <c r="A609" s="232">
        <v>6375</v>
      </c>
      <c r="B609" s="108" t="s">
        <v>685</v>
      </c>
      <c r="C609" s="123"/>
      <c r="D609" s="363">
        <f t="shared" si="41"/>
        <v>2</v>
      </c>
      <c r="E609" s="124"/>
      <c r="F609" s="124"/>
      <c r="G609" s="124"/>
      <c r="H609" s="124"/>
      <c r="I609" s="124"/>
      <c r="J609" s="124"/>
      <c r="K609" s="234">
        <f t="shared" si="44"/>
        <v>4200</v>
      </c>
      <c r="L609" s="234">
        <f t="shared" si="44"/>
        <v>0</v>
      </c>
      <c r="M609" s="234">
        <f t="shared" si="44"/>
        <v>1562.45</v>
      </c>
      <c r="N609" s="234">
        <f t="shared" si="44"/>
        <v>4200</v>
      </c>
    </row>
    <row r="610" spans="1:14" x14ac:dyDescent="0.25">
      <c r="A610" s="232">
        <v>6375</v>
      </c>
      <c r="B610" s="108" t="s">
        <v>41</v>
      </c>
      <c r="C610" s="123"/>
      <c r="D610" s="363">
        <f t="shared" si="41"/>
        <v>1</v>
      </c>
      <c r="E610" s="124"/>
      <c r="F610" s="124"/>
      <c r="G610" s="124"/>
      <c r="H610" s="124"/>
      <c r="I610" s="124"/>
      <c r="J610" s="124"/>
      <c r="K610" s="234">
        <f t="shared" si="44"/>
        <v>750</v>
      </c>
      <c r="L610" s="234">
        <f t="shared" si="44"/>
        <v>0</v>
      </c>
      <c r="M610" s="234">
        <f t="shared" si="44"/>
        <v>0</v>
      </c>
      <c r="N610" s="234">
        <f t="shared" si="44"/>
        <v>750</v>
      </c>
    </row>
    <row r="611" spans="1:14" x14ac:dyDescent="0.25">
      <c r="A611" s="232">
        <v>6375</v>
      </c>
      <c r="B611" s="108" t="s">
        <v>775</v>
      </c>
      <c r="C611" s="123"/>
      <c r="D611" s="363">
        <f t="shared" si="41"/>
        <v>0</v>
      </c>
      <c r="E611" s="124"/>
      <c r="F611" s="124"/>
      <c r="G611" s="124"/>
      <c r="H611" s="124"/>
      <c r="I611" s="124"/>
      <c r="J611" s="124"/>
      <c r="K611" s="234">
        <f t="shared" si="44"/>
        <v>0</v>
      </c>
      <c r="L611" s="234">
        <f t="shared" si="44"/>
        <v>0</v>
      </c>
      <c r="M611" s="234">
        <f t="shared" si="44"/>
        <v>0</v>
      </c>
      <c r="N611" s="234">
        <f t="shared" si="44"/>
        <v>0</v>
      </c>
    </row>
    <row r="612" spans="1:14" x14ac:dyDescent="0.25">
      <c r="A612" s="232">
        <v>6375</v>
      </c>
      <c r="B612" s="108" t="s">
        <v>37</v>
      </c>
      <c r="C612" s="123"/>
      <c r="D612" s="363">
        <f t="shared" si="41"/>
        <v>0</v>
      </c>
      <c r="E612" s="124"/>
      <c r="F612" s="124"/>
      <c r="G612" s="124"/>
      <c r="H612" s="124"/>
      <c r="I612" s="124"/>
      <c r="J612" s="124"/>
      <c r="K612" s="234">
        <f t="shared" si="44"/>
        <v>0</v>
      </c>
      <c r="L612" s="234">
        <f t="shared" si="44"/>
        <v>0</v>
      </c>
      <c r="M612" s="234">
        <f t="shared" si="44"/>
        <v>0</v>
      </c>
      <c r="N612" s="234">
        <f t="shared" si="44"/>
        <v>0</v>
      </c>
    </row>
    <row r="613" spans="1:14" x14ac:dyDescent="0.25">
      <c r="A613" s="232">
        <v>6375</v>
      </c>
      <c r="B613" s="108" t="s">
        <v>29</v>
      </c>
      <c r="C613" s="123"/>
      <c r="D613" s="363">
        <f t="shared" si="41"/>
        <v>1</v>
      </c>
      <c r="E613" s="124"/>
      <c r="F613" s="124"/>
      <c r="G613" s="124"/>
      <c r="H613" s="124"/>
      <c r="I613" s="124"/>
      <c r="J613" s="124"/>
      <c r="K613" s="234">
        <f t="shared" si="44"/>
        <v>0</v>
      </c>
      <c r="L613" s="234">
        <f t="shared" si="44"/>
        <v>19170</v>
      </c>
      <c r="M613" s="234">
        <f t="shared" si="44"/>
        <v>19170</v>
      </c>
      <c r="N613" s="234">
        <f t="shared" si="44"/>
        <v>19170</v>
      </c>
    </row>
    <row r="614" spans="1:14" x14ac:dyDescent="0.25">
      <c r="A614" s="232">
        <v>6375</v>
      </c>
      <c r="B614" s="108" t="s">
        <v>536</v>
      </c>
      <c r="C614" s="123"/>
      <c r="D614" s="363">
        <f t="shared" si="41"/>
        <v>0</v>
      </c>
      <c r="E614" s="124"/>
      <c r="F614" s="124"/>
      <c r="G614" s="124"/>
      <c r="H614" s="124"/>
      <c r="I614" s="124"/>
      <c r="J614" s="124"/>
      <c r="K614" s="234">
        <f t="shared" si="44"/>
        <v>0</v>
      </c>
      <c r="L614" s="234">
        <f t="shared" si="44"/>
        <v>0</v>
      </c>
      <c r="M614" s="234">
        <f t="shared" si="44"/>
        <v>0</v>
      </c>
      <c r="N614" s="234">
        <f t="shared" si="44"/>
        <v>0</v>
      </c>
    </row>
    <row r="615" spans="1:14" x14ac:dyDescent="0.25">
      <c r="A615" s="232">
        <v>6375</v>
      </c>
      <c r="B615" s="108" t="s">
        <v>36</v>
      </c>
      <c r="C615" s="123"/>
      <c r="D615" s="363">
        <f t="shared" si="41"/>
        <v>7</v>
      </c>
      <c r="E615" s="124"/>
      <c r="F615" s="124"/>
      <c r="G615" s="124"/>
      <c r="H615" s="124"/>
      <c r="I615" s="124"/>
      <c r="J615" s="124"/>
      <c r="K615" s="234">
        <f t="shared" si="44"/>
        <v>47110.11</v>
      </c>
      <c r="L615" s="234">
        <f t="shared" si="44"/>
        <v>0</v>
      </c>
      <c r="M615" s="234">
        <f t="shared" si="44"/>
        <v>36700</v>
      </c>
      <c r="N615" s="234">
        <f t="shared" si="44"/>
        <v>56500</v>
      </c>
    </row>
    <row r="616" spans="1:14" x14ac:dyDescent="0.25">
      <c r="A616" s="232">
        <v>6375</v>
      </c>
      <c r="B616" s="85" t="s">
        <v>31</v>
      </c>
      <c r="C616" s="123"/>
      <c r="D616" s="363">
        <f t="shared" si="41"/>
        <v>1</v>
      </c>
      <c r="E616" s="124"/>
      <c r="F616" s="124"/>
      <c r="G616" s="124"/>
      <c r="H616" s="124"/>
      <c r="I616" s="124"/>
      <c r="J616" s="124"/>
      <c r="K616" s="234">
        <f t="shared" si="44"/>
        <v>0</v>
      </c>
      <c r="L616" s="234">
        <f t="shared" si="44"/>
        <v>0</v>
      </c>
      <c r="M616" s="234">
        <f t="shared" si="44"/>
        <v>0</v>
      </c>
      <c r="N616" s="234">
        <f t="shared" si="44"/>
        <v>1200</v>
      </c>
    </row>
    <row r="617" spans="1:14" x14ac:dyDescent="0.25">
      <c r="A617" s="232">
        <v>6375</v>
      </c>
      <c r="B617" s="85" t="s">
        <v>30</v>
      </c>
      <c r="C617" s="123"/>
      <c r="D617" s="363">
        <f t="shared" si="41"/>
        <v>0</v>
      </c>
      <c r="E617" s="124"/>
      <c r="F617" s="124"/>
      <c r="G617" s="124"/>
      <c r="H617" s="124"/>
      <c r="I617" s="124"/>
      <c r="J617" s="124"/>
      <c r="K617" s="234">
        <f t="shared" si="44"/>
        <v>0</v>
      </c>
      <c r="L617" s="234">
        <f t="shared" si="44"/>
        <v>0</v>
      </c>
      <c r="M617" s="234">
        <f t="shared" si="44"/>
        <v>0</v>
      </c>
      <c r="N617" s="234">
        <f t="shared" si="44"/>
        <v>0</v>
      </c>
    </row>
    <row r="618" spans="1:14" x14ac:dyDescent="0.25">
      <c r="A618" s="232">
        <v>6375</v>
      </c>
      <c r="B618" s="85" t="s">
        <v>38</v>
      </c>
      <c r="C618" s="123"/>
      <c r="D618" s="363">
        <f t="shared" si="41"/>
        <v>4</v>
      </c>
      <c r="E618" s="124"/>
      <c r="F618" s="124"/>
      <c r="G618" s="124"/>
      <c r="H618" s="124"/>
      <c r="I618" s="124"/>
      <c r="J618" s="124"/>
      <c r="K618" s="234">
        <f t="shared" si="44"/>
        <v>46619</v>
      </c>
      <c r="L618" s="234">
        <f t="shared" si="44"/>
        <v>44326.67</v>
      </c>
      <c r="M618" s="234">
        <f t="shared" si="44"/>
        <v>44326.67</v>
      </c>
      <c r="N618" s="234">
        <f t="shared" si="44"/>
        <v>46619</v>
      </c>
    </row>
    <row r="619" spans="1:14" x14ac:dyDescent="0.25">
      <c r="A619" s="232">
        <v>6375</v>
      </c>
      <c r="B619" s="85" t="s">
        <v>684</v>
      </c>
      <c r="C619" s="123"/>
      <c r="D619" s="363">
        <f t="shared" si="41"/>
        <v>0</v>
      </c>
      <c r="E619" s="124"/>
      <c r="F619" s="124"/>
      <c r="G619" s="124"/>
      <c r="H619" s="124"/>
      <c r="I619" s="124"/>
      <c r="J619" s="124"/>
      <c r="K619" s="234">
        <f t="shared" si="44"/>
        <v>0</v>
      </c>
      <c r="L619" s="234">
        <f t="shared" si="44"/>
        <v>0</v>
      </c>
      <c r="M619" s="234">
        <f t="shared" si="44"/>
        <v>0</v>
      </c>
      <c r="N619" s="234">
        <f t="shared" si="44"/>
        <v>0</v>
      </c>
    </row>
    <row r="620" spans="1:14" x14ac:dyDescent="0.25">
      <c r="A620" s="232">
        <v>6375</v>
      </c>
      <c r="B620" s="85" t="s">
        <v>33</v>
      </c>
      <c r="C620" s="123"/>
      <c r="D620" s="363">
        <f t="shared" ref="D620:D641" si="45">COUNTIFS($A$28:$A$280,$A620,$B$28:$B$280,$B620)</f>
        <v>0</v>
      </c>
      <c r="E620" s="124"/>
      <c r="F620" s="124"/>
      <c r="G620" s="124"/>
      <c r="H620" s="124"/>
      <c r="I620" s="124"/>
      <c r="J620" s="124"/>
      <c r="K620" s="234">
        <f t="shared" ref="K620:N641" si="46">SUMIFS(K$28:K$280,$A$28:$A$280,$A620,$B$28:$B$280,$B620)</f>
        <v>0</v>
      </c>
      <c r="L620" s="234">
        <f t="shared" si="46"/>
        <v>0</v>
      </c>
      <c r="M620" s="234">
        <f t="shared" si="46"/>
        <v>0</v>
      </c>
      <c r="N620" s="234">
        <f t="shared" si="46"/>
        <v>0</v>
      </c>
    </row>
    <row r="621" spans="1:14" x14ac:dyDescent="0.25">
      <c r="A621" s="232">
        <v>6375</v>
      </c>
      <c r="B621" s="85" t="s">
        <v>35</v>
      </c>
      <c r="C621" s="123"/>
      <c r="D621" s="363">
        <f t="shared" si="45"/>
        <v>0</v>
      </c>
      <c r="E621" s="124"/>
      <c r="F621" s="124"/>
      <c r="G621" s="124"/>
      <c r="H621" s="124"/>
      <c r="I621" s="124"/>
      <c r="J621" s="124"/>
      <c r="K621" s="234">
        <f t="shared" si="46"/>
        <v>0</v>
      </c>
      <c r="L621" s="234">
        <f t="shared" si="46"/>
        <v>0</v>
      </c>
      <c r="M621" s="234">
        <f t="shared" si="46"/>
        <v>0</v>
      </c>
      <c r="N621" s="234">
        <f t="shared" si="46"/>
        <v>0</v>
      </c>
    </row>
    <row r="622" spans="1:14" x14ac:dyDescent="0.25">
      <c r="A622" s="232">
        <v>6375</v>
      </c>
      <c r="B622" s="108" t="s">
        <v>39</v>
      </c>
      <c r="C622" s="123"/>
      <c r="D622" s="363">
        <f t="shared" si="45"/>
        <v>0</v>
      </c>
      <c r="E622" s="124"/>
      <c r="F622" s="124"/>
      <c r="G622" s="124"/>
      <c r="H622" s="124"/>
      <c r="I622" s="124"/>
      <c r="J622" s="124"/>
      <c r="K622" s="234">
        <f t="shared" si="46"/>
        <v>0</v>
      </c>
      <c r="L622" s="234">
        <f t="shared" si="46"/>
        <v>0</v>
      </c>
      <c r="M622" s="234">
        <f t="shared" si="46"/>
        <v>0</v>
      </c>
      <c r="N622" s="234">
        <f t="shared" si="46"/>
        <v>0</v>
      </c>
    </row>
    <row r="623" spans="1:14" ht="15.75" thickBot="1" x14ac:dyDescent="0.3">
      <c r="A623" s="232">
        <v>6375</v>
      </c>
      <c r="B623" s="108" t="s">
        <v>34</v>
      </c>
      <c r="C623" s="123"/>
      <c r="D623" s="363">
        <f t="shared" si="45"/>
        <v>0</v>
      </c>
      <c r="E623" s="124"/>
      <c r="F623" s="124"/>
      <c r="G623" s="124"/>
      <c r="H623" s="124"/>
      <c r="I623" s="124"/>
      <c r="J623" s="124"/>
      <c r="K623" s="234">
        <f t="shared" si="46"/>
        <v>0</v>
      </c>
      <c r="L623" s="234">
        <f t="shared" si="46"/>
        <v>0</v>
      </c>
      <c r="M623" s="234">
        <f t="shared" si="46"/>
        <v>0</v>
      </c>
      <c r="N623" s="234">
        <f t="shared" si="46"/>
        <v>0</v>
      </c>
    </row>
    <row r="624" spans="1:14" x14ac:dyDescent="0.25">
      <c r="A624" s="231">
        <v>6360</v>
      </c>
      <c r="B624" s="119" t="s">
        <v>28</v>
      </c>
      <c r="C624" s="120"/>
      <c r="D624" s="352">
        <f t="shared" si="45"/>
        <v>0</v>
      </c>
      <c r="E624" s="121"/>
      <c r="F624" s="121"/>
      <c r="G624" s="121"/>
      <c r="H624" s="121"/>
      <c r="I624" s="121"/>
      <c r="J624" s="121"/>
      <c r="K624" s="236">
        <f t="shared" si="46"/>
        <v>0</v>
      </c>
      <c r="L624" s="236">
        <f t="shared" si="46"/>
        <v>0</v>
      </c>
      <c r="M624" s="236">
        <f t="shared" si="46"/>
        <v>0</v>
      </c>
      <c r="N624" s="236">
        <f t="shared" si="46"/>
        <v>0</v>
      </c>
    </row>
    <row r="625" spans="1:14" x14ac:dyDescent="0.25">
      <c r="A625" s="232">
        <v>6360</v>
      </c>
      <c r="B625" s="108" t="s">
        <v>27</v>
      </c>
      <c r="C625" s="123"/>
      <c r="D625" s="363">
        <f t="shared" si="45"/>
        <v>0</v>
      </c>
      <c r="E625" s="124"/>
      <c r="F625" s="124"/>
      <c r="G625" s="124"/>
      <c r="H625" s="124"/>
      <c r="I625" s="124"/>
      <c r="J625" s="124"/>
      <c r="K625" s="234">
        <f t="shared" si="46"/>
        <v>0</v>
      </c>
      <c r="L625" s="234">
        <f t="shared" si="46"/>
        <v>0</v>
      </c>
      <c r="M625" s="234">
        <f t="shared" si="46"/>
        <v>0</v>
      </c>
      <c r="N625" s="234">
        <f t="shared" si="46"/>
        <v>0</v>
      </c>
    </row>
    <row r="626" spans="1:14" x14ac:dyDescent="0.25">
      <c r="A626" s="232">
        <v>6360</v>
      </c>
      <c r="B626" s="108" t="s">
        <v>32</v>
      </c>
      <c r="C626" s="123"/>
      <c r="D626" s="363">
        <f t="shared" si="45"/>
        <v>0</v>
      </c>
      <c r="E626" s="124"/>
      <c r="F626" s="124"/>
      <c r="G626" s="124"/>
      <c r="H626" s="124"/>
      <c r="I626" s="124"/>
      <c r="J626" s="124"/>
      <c r="K626" s="234">
        <f t="shared" si="46"/>
        <v>0</v>
      </c>
      <c r="L626" s="234">
        <f t="shared" si="46"/>
        <v>0</v>
      </c>
      <c r="M626" s="234">
        <f t="shared" si="46"/>
        <v>0</v>
      </c>
      <c r="N626" s="234">
        <f t="shared" si="46"/>
        <v>0</v>
      </c>
    </row>
    <row r="627" spans="1:14" x14ac:dyDescent="0.25">
      <c r="A627" s="232">
        <v>6360</v>
      </c>
      <c r="B627" s="108" t="s">
        <v>685</v>
      </c>
      <c r="C627" s="123"/>
      <c r="D627" s="363">
        <f t="shared" si="45"/>
        <v>0</v>
      </c>
      <c r="E627" s="124"/>
      <c r="F627" s="124"/>
      <c r="G627" s="124"/>
      <c r="H627" s="124"/>
      <c r="I627" s="124"/>
      <c r="J627" s="124"/>
      <c r="K627" s="234">
        <f t="shared" si="46"/>
        <v>0</v>
      </c>
      <c r="L627" s="234">
        <f t="shared" si="46"/>
        <v>0</v>
      </c>
      <c r="M627" s="234">
        <f t="shared" si="46"/>
        <v>0</v>
      </c>
      <c r="N627" s="234">
        <f t="shared" si="46"/>
        <v>0</v>
      </c>
    </row>
    <row r="628" spans="1:14" x14ac:dyDescent="0.25">
      <c r="A628" s="232">
        <v>6360</v>
      </c>
      <c r="B628" s="108" t="s">
        <v>41</v>
      </c>
      <c r="C628" s="123"/>
      <c r="D628" s="363">
        <f t="shared" si="45"/>
        <v>0</v>
      </c>
      <c r="E628" s="124"/>
      <c r="F628" s="124"/>
      <c r="G628" s="124"/>
      <c r="H628" s="124"/>
      <c r="I628" s="124"/>
      <c r="J628" s="124"/>
      <c r="K628" s="234">
        <f t="shared" si="46"/>
        <v>0</v>
      </c>
      <c r="L628" s="234">
        <f t="shared" si="46"/>
        <v>0</v>
      </c>
      <c r="M628" s="234">
        <f t="shared" si="46"/>
        <v>0</v>
      </c>
      <c r="N628" s="234">
        <f t="shared" si="46"/>
        <v>0</v>
      </c>
    </row>
    <row r="629" spans="1:14" x14ac:dyDescent="0.25">
      <c r="A629" s="232">
        <v>6360</v>
      </c>
      <c r="B629" s="108" t="s">
        <v>775</v>
      </c>
      <c r="C629" s="123"/>
      <c r="D629" s="363">
        <f t="shared" si="45"/>
        <v>0</v>
      </c>
      <c r="E629" s="124"/>
      <c r="F629" s="124"/>
      <c r="G629" s="124"/>
      <c r="H629" s="124"/>
      <c r="I629" s="124"/>
      <c r="J629" s="124"/>
      <c r="K629" s="234">
        <f t="shared" si="46"/>
        <v>0</v>
      </c>
      <c r="L629" s="234">
        <f t="shared" si="46"/>
        <v>0</v>
      </c>
      <c r="M629" s="234">
        <f t="shared" si="46"/>
        <v>0</v>
      </c>
      <c r="N629" s="234">
        <f t="shared" si="46"/>
        <v>0</v>
      </c>
    </row>
    <row r="630" spans="1:14" x14ac:dyDescent="0.25">
      <c r="A630" s="232">
        <v>6360</v>
      </c>
      <c r="B630" s="108" t="s">
        <v>37</v>
      </c>
      <c r="C630" s="123"/>
      <c r="D630" s="363">
        <f t="shared" si="45"/>
        <v>0</v>
      </c>
      <c r="E630" s="124"/>
      <c r="F630" s="124"/>
      <c r="G630" s="124"/>
      <c r="H630" s="124"/>
      <c r="I630" s="124"/>
      <c r="J630" s="124"/>
      <c r="K630" s="234">
        <f t="shared" si="46"/>
        <v>0</v>
      </c>
      <c r="L630" s="234">
        <f t="shared" si="46"/>
        <v>0</v>
      </c>
      <c r="M630" s="234">
        <f t="shared" si="46"/>
        <v>0</v>
      </c>
      <c r="N630" s="234">
        <f t="shared" si="46"/>
        <v>0</v>
      </c>
    </row>
    <row r="631" spans="1:14" x14ac:dyDescent="0.25">
      <c r="A631" s="232">
        <v>6360</v>
      </c>
      <c r="B631" s="108" t="s">
        <v>29</v>
      </c>
      <c r="C631" s="123"/>
      <c r="D631" s="363">
        <f t="shared" si="45"/>
        <v>0</v>
      </c>
      <c r="E631" s="124"/>
      <c r="F631" s="124"/>
      <c r="G631" s="124"/>
      <c r="H631" s="124"/>
      <c r="I631" s="124"/>
      <c r="J631" s="124"/>
      <c r="K631" s="234">
        <f t="shared" si="46"/>
        <v>0</v>
      </c>
      <c r="L631" s="234">
        <f t="shared" si="46"/>
        <v>0</v>
      </c>
      <c r="M631" s="234">
        <f t="shared" si="46"/>
        <v>0</v>
      </c>
      <c r="N631" s="234">
        <f t="shared" si="46"/>
        <v>0</v>
      </c>
    </row>
    <row r="632" spans="1:14" x14ac:dyDescent="0.25">
      <c r="A632" s="232">
        <v>6360</v>
      </c>
      <c r="B632" s="108" t="s">
        <v>536</v>
      </c>
      <c r="C632" s="123"/>
      <c r="D632" s="363">
        <f t="shared" si="45"/>
        <v>0</v>
      </c>
      <c r="E632" s="124"/>
      <c r="F632" s="124"/>
      <c r="G632" s="124"/>
      <c r="H632" s="124"/>
      <c r="I632" s="124"/>
      <c r="J632" s="124"/>
      <c r="K632" s="234">
        <f t="shared" si="46"/>
        <v>0</v>
      </c>
      <c r="L632" s="234">
        <f t="shared" si="46"/>
        <v>0</v>
      </c>
      <c r="M632" s="234">
        <f t="shared" si="46"/>
        <v>0</v>
      </c>
      <c r="N632" s="234">
        <f t="shared" si="46"/>
        <v>0</v>
      </c>
    </row>
    <row r="633" spans="1:14" x14ac:dyDescent="0.25">
      <c r="A633" s="232">
        <v>6360</v>
      </c>
      <c r="B633" s="108" t="s">
        <v>36</v>
      </c>
      <c r="C633" s="123"/>
      <c r="D633" s="363">
        <f t="shared" si="45"/>
        <v>4</v>
      </c>
      <c r="E633" s="124"/>
      <c r="F633" s="124"/>
      <c r="G633" s="124"/>
      <c r="H633" s="124"/>
      <c r="I633" s="124"/>
      <c r="J633" s="124"/>
      <c r="K633" s="234">
        <f t="shared" si="46"/>
        <v>152759.31</v>
      </c>
      <c r="L633" s="234">
        <f t="shared" si="46"/>
        <v>0</v>
      </c>
      <c r="M633" s="234">
        <f t="shared" si="46"/>
        <v>137500</v>
      </c>
      <c r="N633" s="234">
        <f t="shared" si="46"/>
        <v>157500</v>
      </c>
    </row>
    <row r="634" spans="1:14" x14ac:dyDescent="0.25">
      <c r="A634" s="232">
        <v>6360</v>
      </c>
      <c r="B634" s="85" t="s">
        <v>31</v>
      </c>
      <c r="C634" s="123"/>
      <c r="D634" s="363">
        <f t="shared" si="45"/>
        <v>0</v>
      </c>
      <c r="E634" s="124"/>
      <c r="F634" s="124"/>
      <c r="G634" s="124"/>
      <c r="H634" s="124"/>
      <c r="I634" s="124"/>
      <c r="J634" s="124"/>
      <c r="K634" s="234">
        <f t="shared" si="46"/>
        <v>0</v>
      </c>
      <c r="L634" s="234">
        <f t="shared" si="46"/>
        <v>0</v>
      </c>
      <c r="M634" s="234">
        <f t="shared" si="46"/>
        <v>0</v>
      </c>
      <c r="N634" s="234">
        <f t="shared" si="46"/>
        <v>0</v>
      </c>
    </row>
    <row r="635" spans="1:14" x14ac:dyDescent="0.25">
      <c r="A635" s="232">
        <v>6360</v>
      </c>
      <c r="B635" s="85" t="s">
        <v>30</v>
      </c>
      <c r="C635" s="123"/>
      <c r="D635" s="363">
        <f t="shared" si="45"/>
        <v>0</v>
      </c>
      <c r="E635" s="124"/>
      <c r="F635" s="124"/>
      <c r="G635" s="124"/>
      <c r="H635" s="124"/>
      <c r="I635" s="124"/>
      <c r="J635" s="124"/>
      <c r="K635" s="234">
        <f t="shared" si="46"/>
        <v>0</v>
      </c>
      <c r="L635" s="234">
        <f t="shared" si="46"/>
        <v>0</v>
      </c>
      <c r="M635" s="234">
        <f t="shared" si="46"/>
        <v>0</v>
      </c>
      <c r="N635" s="234">
        <f t="shared" si="46"/>
        <v>0</v>
      </c>
    </row>
    <row r="636" spans="1:14" x14ac:dyDescent="0.25">
      <c r="A636" s="232">
        <v>6360</v>
      </c>
      <c r="B636" s="85" t="s">
        <v>38</v>
      </c>
      <c r="C636" s="123"/>
      <c r="D636" s="363">
        <f t="shared" si="45"/>
        <v>0</v>
      </c>
      <c r="E636" s="124"/>
      <c r="F636" s="124"/>
      <c r="G636" s="124"/>
      <c r="H636" s="124"/>
      <c r="I636" s="124"/>
      <c r="J636" s="124"/>
      <c r="K636" s="234">
        <f t="shared" si="46"/>
        <v>0</v>
      </c>
      <c r="L636" s="234">
        <f t="shared" si="46"/>
        <v>0</v>
      </c>
      <c r="M636" s="234">
        <f t="shared" si="46"/>
        <v>0</v>
      </c>
      <c r="N636" s="234">
        <f t="shared" si="46"/>
        <v>0</v>
      </c>
    </row>
    <row r="637" spans="1:14" x14ac:dyDescent="0.25">
      <c r="A637" s="232">
        <v>6360</v>
      </c>
      <c r="B637" s="85" t="s">
        <v>684</v>
      </c>
      <c r="C637" s="123"/>
      <c r="D637" s="363">
        <f t="shared" si="45"/>
        <v>0</v>
      </c>
      <c r="E637" s="124"/>
      <c r="F637" s="124"/>
      <c r="G637" s="124"/>
      <c r="H637" s="124"/>
      <c r="I637" s="124"/>
      <c r="J637" s="124"/>
      <c r="K637" s="234">
        <f t="shared" si="46"/>
        <v>0</v>
      </c>
      <c r="L637" s="234">
        <f t="shared" si="46"/>
        <v>0</v>
      </c>
      <c r="M637" s="234">
        <f t="shared" si="46"/>
        <v>0</v>
      </c>
      <c r="N637" s="234">
        <f t="shared" si="46"/>
        <v>0</v>
      </c>
    </row>
    <row r="638" spans="1:14" x14ac:dyDescent="0.25">
      <c r="A638" s="232">
        <v>6360</v>
      </c>
      <c r="B638" s="85" t="s">
        <v>33</v>
      </c>
      <c r="C638" s="123"/>
      <c r="D638" s="363">
        <f t="shared" si="45"/>
        <v>0</v>
      </c>
      <c r="E638" s="124"/>
      <c r="F638" s="124"/>
      <c r="G638" s="124"/>
      <c r="H638" s="124"/>
      <c r="I638" s="124"/>
      <c r="J638" s="124"/>
      <c r="K638" s="234">
        <f t="shared" si="46"/>
        <v>0</v>
      </c>
      <c r="L638" s="234">
        <f t="shared" si="46"/>
        <v>0</v>
      </c>
      <c r="M638" s="234">
        <f t="shared" si="46"/>
        <v>0</v>
      </c>
      <c r="N638" s="234">
        <f t="shared" si="46"/>
        <v>0</v>
      </c>
    </row>
    <row r="639" spans="1:14" x14ac:dyDescent="0.25">
      <c r="A639" s="232">
        <v>6360</v>
      </c>
      <c r="B639" s="85" t="s">
        <v>35</v>
      </c>
      <c r="C639" s="123"/>
      <c r="D639" s="363">
        <f t="shared" si="45"/>
        <v>0</v>
      </c>
      <c r="E639" s="124"/>
      <c r="F639" s="124"/>
      <c r="G639" s="124"/>
      <c r="H639" s="124"/>
      <c r="I639" s="124"/>
      <c r="J639" s="124"/>
      <c r="K639" s="234">
        <f t="shared" si="46"/>
        <v>0</v>
      </c>
      <c r="L639" s="234">
        <f t="shared" si="46"/>
        <v>0</v>
      </c>
      <c r="M639" s="234">
        <f t="shared" si="46"/>
        <v>0</v>
      </c>
      <c r="N639" s="234">
        <f t="shared" si="46"/>
        <v>0</v>
      </c>
    </row>
    <row r="640" spans="1:14" x14ac:dyDescent="0.25">
      <c r="A640" s="232">
        <v>6360</v>
      </c>
      <c r="B640" s="108" t="s">
        <v>39</v>
      </c>
      <c r="C640" s="123"/>
      <c r="D640" s="363">
        <f t="shared" si="45"/>
        <v>0</v>
      </c>
      <c r="E640" s="124"/>
      <c r="F640" s="124"/>
      <c r="G640" s="124"/>
      <c r="H640" s="124"/>
      <c r="I640" s="124"/>
      <c r="J640" s="124"/>
      <c r="K640" s="234">
        <f t="shared" si="46"/>
        <v>0</v>
      </c>
      <c r="L640" s="234">
        <f t="shared" si="46"/>
        <v>0</v>
      </c>
      <c r="M640" s="234">
        <f t="shared" si="46"/>
        <v>0</v>
      </c>
      <c r="N640" s="234">
        <f t="shared" si="46"/>
        <v>0</v>
      </c>
    </row>
    <row r="641" spans="1:15" x14ac:dyDescent="0.25">
      <c r="A641" s="232">
        <v>6360</v>
      </c>
      <c r="B641" s="108" t="s">
        <v>34</v>
      </c>
      <c r="C641" s="123"/>
      <c r="D641" s="363">
        <f t="shared" si="45"/>
        <v>0</v>
      </c>
      <c r="E641" s="124"/>
      <c r="F641" s="124"/>
      <c r="G641" s="124"/>
      <c r="H641" s="124"/>
      <c r="I641" s="124"/>
      <c r="J641" s="124"/>
      <c r="K641" s="234">
        <f t="shared" si="46"/>
        <v>0</v>
      </c>
      <c r="L641" s="234">
        <f t="shared" si="46"/>
        <v>0</v>
      </c>
      <c r="M641" s="234">
        <f t="shared" si="46"/>
        <v>0</v>
      </c>
      <c r="N641" s="234">
        <f t="shared" si="46"/>
        <v>0</v>
      </c>
    </row>
    <row r="642" spans="1:15" ht="15.75" thickBot="1" x14ac:dyDescent="0.3"/>
    <row r="643" spans="1:15" ht="15.75" thickBot="1" x14ac:dyDescent="0.3">
      <c r="A643" s="228"/>
      <c r="B643" s="229"/>
      <c r="C643" s="229"/>
      <c r="D643" s="228">
        <f>D281-SUM(D282:D299)</f>
        <v>5</v>
      </c>
      <c r="E643" s="228"/>
      <c r="F643" s="228"/>
      <c r="G643" s="228"/>
      <c r="H643" s="228"/>
      <c r="I643" s="228"/>
      <c r="J643" s="228"/>
      <c r="K643" s="360">
        <f>K281-SUM(K282:K299)</f>
        <v>0</v>
      </c>
      <c r="L643" s="360">
        <f t="shared" ref="L643:N643" si="47">L281-SUM(L282:L299)</f>
        <v>0</v>
      </c>
      <c r="M643" s="360">
        <f t="shared" si="47"/>
        <v>0</v>
      </c>
      <c r="N643" s="360">
        <f t="shared" si="47"/>
        <v>0</v>
      </c>
    </row>
    <row r="645" spans="1:15" customFormat="1" ht="12.75" x14ac:dyDescent="0.2">
      <c r="A645" s="36" t="s">
        <v>376</v>
      </c>
      <c r="B645" s="36"/>
      <c r="E645" s="36"/>
    </row>
    <row r="646" spans="1:15" customFormat="1" ht="12.75" x14ac:dyDescent="0.2"/>
    <row r="647" spans="1:15" customFormat="1" ht="12.75" x14ac:dyDescent="0.2">
      <c r="A647" s="1" t="s">
        <v>377</v>
      </c>
      <c r="B647" s="1"/>
      <c r="E647" s="1"/>
    </row>
    <row r="648" spans="1:15" customFormat="1" ht="12.75" x14ac:dyDescent="0.2">
      <c r="A648" s="1" t="s">
        <v>378</v>
      </c>
      <c r="B648" s="1"/>
      <c r="E648" s="1"/>
    </row>
    <row r="649" spans="1:15" customFormat="1" ht="12.75" x14ac:dyDescent="0.2"/>
    <row r="650" spans="1:15" customFormat="1" ht="12.75" x14ac:dyDescent="0.2"/>
    <row r="651" spans="1:15" customFormat="1" ht="12.75" x14ac:dyDescent="0.2"/>
    <row r="652" spans="1:15" customFormat="1" ht="12.75" x14ac:dyDescent="0.2"/>
    <row r="653" spans="1:15" customFormat="1" ht="12.75" x14ac:dyDescent="0.2"/>
    <row r="654" spans="1:15" customFormat="1" ht="12.75" x14ac:dyDescent="0.2"/>
    <row r="655" spans="1:15" customFormat="1" ht="12.75" x14ac:dyDescent="0.2">
      <c r="A655" s="36" t="s">
        <v>380</v>
      </c>
      <c r="D655" s="39" t="s">
        <v>381</v>
      </c>
      <c r="F655" s="39" t="s">
        <v>382</v>
      </c>
      <c r="K655" s="39"/>
      <c r="L655" s="39"/>
      <c r="M655" s="39"/>
      <c r="N655" s="39"/>
      <c r="O655" s="39"/>
    </row>
    <row r="656" spans="1:15" customFormat="1" ht="12.75" x14ac:dyDescent="0.2">
      <c r="A656" s="1" t="s">
        <v>377</v>
      </c>
    </row>
    <row r="657" spans="1:1" customFormat="1" ht="12.75" x14ac:dyDescent="0.2">
      <c r="A657" s="1" t="s">
        <v>378</v>
      </c>
    </row>
    <row r="658" spans="1:1" customFormat="1" ht="12.75" x14ac:dyDescent="0.2"/>
    <row r="683" spans="1:14" ht="12.75" x14ac:dyDescent="0.2">
      <c r="A683" s="232"/>
      <c r="B683" s="85"/>
      <c r="C683" s="85" t="s">
        <v>62</v>
      </c>
      <c r="D683" s="363">
        <f>COUNTIFS($A$28:$A$280,$A683,$B$28:$B$280,$B683)</f>
        <v>0</v>
      </c>
      <c r="E683" s="124"/>
      <c r="F683" s="124"/>
      <c r="G683" s="124"/>
      <c r="H683" s="124"/>
      <c r="I683" s="124"/>
      <c r="J683" s="124"/>
      <c r="K683" s="354">
        <f t="shared" ref="K683:N702" si="48">SUMIF($C$28:$C$280,$C683,K$28:K$280)</f>
        <v>500</v>
      </c>
      <c r="L683" s="354">
        <f t="shared" si="48"/>
        <v>487.5</v>
      </c>
      <c r="M683" s="354">
        <f t="shared" si="48"/>
        <v>1762.5</v>
      </c>
      <c r="N683" s="354">
        <f t="shared" si="48"/>
        <v>1775</v>
      </c>
    </row>
    <row r="684" spans="1:14" s="430" customFormat="1" ht="12.75" x14ac:dyDescent="0.2">
      <c r="A684" s="232"/>
      <c r="B684" s="85"/>
      <c r="C684" s="85" t="s">
        <v>118</v>
      </c>
      <c r="D684" s="363"/>
      <c r="E684" s="124"/>
      <c r="F684" s="124"/>
      <c r="G684" s="124"/>
      <c r="H684" s="124"/>
      <c r="I684" s="124"/>
      <c r="J684" s="124"/>
      <c r="K684" s="354">
        <f t="shared" si="48"/>
        <v>0</v>
      </c>
      <c r="L684" s="354">
        <f t="shared" si="48"/>
        <v>0</v>
      </c>
      <c r="M684" s="354">
        <f t="shared" si="48"/>
        <v>0</v>
      </c>
      <c r="N684" s="354">
        <f t="shared" si="48"/>
        <v>0</v>
      </c>
    </row>
    <row r="685" spans="1:14" s="430" customFormat="1" ht="12.75" x14ac:dyDescent="0.2">
      <c r="A685" s="232"/>
      <c r="B685" s="85"/>
      <c r="C685" s="85" t="s">
        <v>119</v>
      </c>
      <c r="D685" s="363"/>
      <c r="E685" s="124"/>
      <c r="F685" s="124"/>
      <c r="G685" s="124"/>
      <c r="H685" s="124"/>
      <c r="I685" s="124"/>
      <c r="J685" s="124"/>
      <c r="K685" s="354">
        <f t="shared" si="48"/>
        <v>0</v>
      </c>
      <c r="L685" s="354">
        <f t="shared" si="48"/>
        <v>0</v>
      </c>
      <c r="M685" s="354">
        <f t="shared" si="48"/>
        <v>0</v>
      </c>
      <c r="N685" s="354">
        <f t="shared" si="48"/>
        <v>256.17</v>
      </c>
    </row>
    <row r="686" spans="1:14" s="430" customFormat="1" ht="12.75" x14ac:dyDescent="0.2">
      <c r="A686" s="232"/>
      <c r="B686" s="85"/>
      <c r="C686" s="85" t="s">
        <v>142</v>
      </c>
      <c r="D686" s="363"/>
      <c r="E686" s="124"/>
      <c r="F686" s="124"/>
      <c r="G686" s="124"/>
      <c r="H686" s="124"/>
      <c r="I686" s="124"/>
      <c r="J686" s="124"/>
      <c r="K686" s="354">
        <f t="shared" si="48"/>
        <v>0</v>
      </c>
      <c r="L686" s="354">
        <f t="shared" si="48"/>
        <v>0</v>
      </c>
      <c r="M686" s="354">
        <f t="shared" si="48"/>
        <v>0</v>
      </c>
      <c r="N686" s="354">
        <f t="shared" si="48"/>
        <v>236.26</v>
      </c>
    </row>
    <row r="687" spans="1:14" s="430" customFormat="1" ht="12.75" x14ac:dyDescent="0.2">
      <c r="A687" s="232"/>
      <c r="B687" s="85"/>
      <c r="C687" s="85" t="s">
        <v>161</v>
      </c>
      <c r="D687" s="363"/>
      <c r="E687" s="124"/>
      <c r="F687" s="124"/>
      <c r="G687" s="124"/>
      <c r="H687" s="124"/>
      <c r="I687" s="124"/>
      <c r="J687" s="124"/>
      <c r="K687" s="354">
        <f t="shared" si="48"/>
        <v>0</v>
      </c>
      <c r="L687" s="354">
        <f t="shared" si="48"/>
        <v>0</v>
      </c>
      <c r="M687" s="354">
        <f t="shared" si="48"/>
        <v>0</v>
      </c>
      <c r="N687" s="354">
        <f t="shared" si="48"/>
        <v>0</v>
      </c>
    </row>
    <row r="688" spans="1:14" s="430" customFormat="1" ht="12.75" x14ac:dyDescent="0.2">
      <c r="A688" s="232"/>
      <c r="B688" s="85"/>
      <c r="C688" s="85" t="s">
        <v>1136</v>
      </c>
      <c r="D688" s="363"/>
      <c r="E688" s="124"/>
      <c r="F688" s="124"/>
      <c r="G688" s="124"/>
      <c r="H688" s="124"/>
      <c r="I688" s="124"/>
      <c r="J688" s="124"/>
      <c r="K688" s="354">
        <f t="shared" si="48"/>
        <v>0</v>
      </c>
      <c r="L688" s="354">
        <f t="shared" si="48"/>
        <v>0</v>
      </c>
      <c r="M688" s="354">
        <f t="shared" si="48"/>
        <v>0</v>
      </c>
      <c r="N688" s="354">
        <f t="shared" si="48"/>
        <v>0</v>
      </c>
    </row>
    <row r="689" spans="1:14" s="514" customFormat="1" ht="12.75" x14ac:dyDescent="0.2">
      <c r="A689" s="232"/>
      <c r="B689" s="85"/>
      <c r="C689" s="669" t="s">
        <v>1475</v>
      </c>
      <c r="D689" s="363"/>
      <c r="E689" s="124"/>
      <c r="F689" s="124"/>
      <c r="G689" s="124"/>
      <c r="H689" s="124"/>
      <c r="I689" s="124"/>
      <c r="J689" s="124"/>
      <c r="K689" s="354">
        <f t="shared" si="48"/>
        <v>0</v>
      </c>
      <c r="L689" s="354">
        <f t="shared" si="48"/>
        <v>0</v>
      </c>
      <c r="M689" s="354">
        <f t="shared" si="48"/>
        <v>0</v>
      </c>
      <c r="N689" s="354">
        <f t="shared" si="48"/>
        <v>0</v>
      </c>
    </row>
    <row r="690" spans="1:14" s="430" customFormat="1" ht="12.75" x14ac:dyDescent="0.2">
      <c r="A690" s="232"/>
      <c r="B690" s="85"/>
      <c r="C690" s="85" t="s">
        <v>133</v>
      </c>
      <c r="D690" s="363"/>
      <c r="E690" s="124"/>
      <c r="F690" s="124"/>
      <c r="G690" s="124"/>
      <c r="H690" s="124"/>
      <c r="I690" s="124"/>
      <c r="J690" s="124"/>
      <c r="K690" s="354">
        <f t="shared" si="48"/>
        <v>0</v>
      </c>
      <c r="L690" s="354">
        <f t="shared" si="48"/>
        <v>0</v>
      </c>
      <c r="M690" s="354">
        <f t="shared" si="48"/>
        <v>0</v>
      </c>
      <c r="N690" s="354">
        <f t="shared" si="48"/>
        <v>694.91</v>
      </c>
    </row>
    <row r="691" spans="1:14" s="430" customFormat="1" ht="12.75" x14ac:dyDescent="0.2">
      <c r="A691" s="232"/>
      <c r="B691" s="85"/>
      <c r="C691" s="85" t="s">
        <v>136</v>
      </c>
      <c r="D691" s="363"/>
      <c r="E691" s="124"/>
      <c r="F691" s="124"/>
      <c r="G691" s="124"/>
      <c r="H691" s="124"/>
      <c r="I691" s="124"/>
      <c r="J691" s="124"/>
      <c r="K691" s="354">
        <f t="shared" si="48"/>
        <v>0</v>
      </c>
      <c r="L691" s="354">
        <f t="shared" si="48"/>
        <v>0</v>
      </c>
      <c r="M691" s="354">
        <f t="shared" si="48"/>
        <v>0</v>
      </c>
      <c r="N691" s="354">
        <f t="shared" si="48"/>
        <v>0</v>
      </c>
    </row>
    <row r="692" spans="1:14" s="430" customFormat="1" ht="12.75" x14ac:dyDescent="0.2">
      <c r="A692" s="232"/>
      <c r="B692" s="85"/>
      <c r="C692" s="85" t="s">
        <v>134</v>
      </c>
      <c r="D692" s="363"/>
      <c r="E692" s="124"/>
      <c r="F692" s="124"/>
      <c r="G692" s="124"/>
      <c r="H692" s="124"/>
      <c r="I692" s="124"/>
      <c r="J692" s="124"/>
      <c r="K692" s="354">
        <f t="shared" si="48"/>
        <v>0</v>
      </c>
      <c r="L692" s="354">
        <f t="shared" si="48"/>
        <v>0</v>
      </c>
      <c r="M692" s="354">
        <f t="shared" si="48"/>
        <v>0</v>
      </c>
      <c r="N692" s="354">
        <f t="shared" si="48"/>
        <v>0</v>
      </c>
    </row>
    <row r="693" spans="1:14" s="430" customFormat="1" ht="12.75" x14ac:dyDescent="0.2">
      <c r="A693" s="232"/>
      <c r="B693" s="85"/>
      <c r="C693" s="85" t="s">
        <v>131</v>
      </c>
      <c r="D693" s="363"/>
      <c r="E693" s="124"/>
      <c r="F693" s="124"/>
      <c r="G693" s="124"/>
      <c r="H693" s="124"/>
      <c r="I693" s="124"/>
      <c r="J693" s="124"/>
      <c r="K693" s="354">
        <f t="shared" si="48"/>
        <v>0</v>
      </c>
      <c r="L693" s="354">
        <f t="shared" si="48"/>
        <v>0</v>
      </c>
      <c r="M693" s="354">
        <f t="shared" si="48"/>
        <v>0</v>
      </c>
      <c r="N693" s="354">
        <f t="shared" si="48"/>
        <v>0</v>
      </c>
    </row>
    <row r="694" spans="1:14" s="430" customFormat="1" ht="12.75" x14ac:dyDescent="0.2">
      <c r="A694" s="232"/>
      <c r="B694" s="85"/>
      <c r="C694" s="85" t="s">
        <v>137</v>
      </c>
      <c r="D694" s="363"/>
      <c r="E694" s="124"/>
      <c r="F694" s="124"/>
      <c r="G694" s="124"/>
      <c r="H694" s="124"/>
      <c r="I694" s="124"/>
      <c r="J694" s="124"/>
      <c r="K694" s="354">
        <f t="shared" si="48"/>
        <v>0</v>
      </c>
      <c r="L694" s="354">
        <f t="shared" si="48"/>
        <v>0</v>
      </c>
      <c r="M694" s="354">
        <f t="shared" si="48"/>
        <v>0</v>
      </c>
      <c r="N694" s="354">
        <f t="shared" si="48"/>
        <v>0</v>
      </c>
    </row>
    <row r="695" spans="1:14" s="430" customFormat="1" ht="12.75" x14ac:dyDescent="0.2">
      <c r="A695" s="232"/>
      <c r="B695" s="85"/>
      <c r="C695" s="85" t="s">
        <v>132</v>
      </c>
      <c r="D695" s="363"/>
      <c r="E695" s="124"/>
      <c r="F695" s="124"/>
      <c r="G695" s="124"/>
      <c r="H695" s="124"/>
      <c r="I695" s="124"/>
      <c r="J695" s="124"/>
      <c r="K695" s="354">
        <f t="shared" si="48"/>
        <v>0</v>
      </c>
      <c r="L695" s="354">
        <f t="shared" si="48"/>
        <v>0</v>
      </c>
      <c r="M695" s="354">
        <f t="shared" si="48"/>
        <v>0</v>
      </c>
      <c r="N695" s="354">
        <f t="shared" si="48"/>
        <v>0</v>
      </c>
    </row>
    <row r="696" spans="1:14" s="430" customFormat="1" ht="12.75" x14ac:dyDescent="0.2">
      <c r="A696" s="232"/>
      <c r="B696" s="85"/>
      <c r="C696" s="85" t="s">
        <v>160</v>
      </c>
      <c r="D696" s="363"/>
      <c r="E696" s="124"/>
      <c r="F696" s="124"/>
      <c r="G696" s="124"/>
      <c r="H696" s="124"/>
      <c r="I696" s="124"/>
      <c r="J696" s="124"/>
      <c r="K696" s="354">
        <f t="shared" si="48"/>
        <v>0</v>
      </c>
      <c r="L696" s="354">
        <f t="shared" si="48"/>
        <v>0</v>
      </c>
      <c r="M696" s="354">
        <f t="shared" si="48"/>
        <v>0</v>
      </c>
      <c r="N696" s="354">
        <f t="shared" si="48"/>
        <v>0</v>
      </c>
    </row>
    <row r="697" spans="1:14" s="430" customFormat="1" ht="12.75" x14ac:dyDescent="0.2">
      <c r="A697" s="232"/>
      <c r="B697" s="85"/>
      <c r="C697" s="85" t="s">
        <v>135</v>
      </c>
      <c r="D697" s="363"/>
      <c r="E697" s="124"/>
      <c r="F697" s="124"/>
      <c r="G697" s="124"/>
      <c r="H697" s="124"/>
      <c r="I697" s="124"/>
      <c r="J697" s="124"/>
      <c r="K697" s="354">
        <f t="shared" si="48"/>
        <v>0</v>
      </c>
      <c r="L697" s="354">
        <f t="shared" si="48"/>
        <v>0</v>
      </c>
      <c r="M697" s="354">
        <f t="shared" si="48"/>
        <v>0</v>
      </c>
      <c r="N697" s="354">
        <f t="shared" si="48"/>
        <v>0</v>
      </c>
    </row>
    <row r="698" spans="1:14" s="430" customFormat="1" ht="12.75" x14ac:dyDescent="0.2">
      <c r="A698" s="232"/>
      <c r="B698" s="85"/>
      <c r="C698" s="85" t="s">
        <v>114</v>
      </c>
      <c r="D698" s="363"/>
      <c r="E698" s="124"/>
      <c r="F698" s="124"/>
      <c r="G698" s="124"/>
      <c r="H698" s="124"/>
      <c r="I698" s="124"/>
      <c r="J698" s="124"/>
      <c r="K698" s="354">
        <f t="shared" si="48"/>
        <v>4500</v>
      </c>
      <c r="L698" s="354">
        <f t="shared" si="48"/>
        <v>163.61000000000001</v>
      </c>
      <c r="M698" s="354">
        <f t="shared" si="48"/>
        <v>1962.45</v>
      </c>
      <c r="N698" s="354">
        <f t="shared" si="48"/>
        <v>6241.5</v>
      </c>
    </row>
    <row r="699" spans="1:14" s="430" customFormat="1" ht="12.75" x14ac:dyDescent="0.2">
      <c r="A699" s="232"/>
      <c r="B699" s="85"/>
      <c r="C699" s="85" t="s">
        <v>140</v>
      </c>
      <c r="D699" s="363"/>
      <c r="E699" s="124"/>
      <c r="F699" s="124"/>
      <c r="G699" s="124"/>
      <c r="H699" s="124"/>
      <c r="I699" s="124"/>
      <c r="J699" s="124"/>
      <c r="K699" s="354">
        <f t="shared" si="48"/>
        <v>0</v>
      </c>
      <c r="L699" s="354">
        <f t="shared" si="48"/>
        <v>0</v>
      </c>
      <c r="M699" s="354">
        <f t="shared" si="48"/>
        <v>0</v>
      </c>
      <c r="N699" s="354">
        <f t="shared" si="48"/>
        <v>0</v>
      </c>
    </row>
    <row r="700" spans="1:14" s="430" customFormat="1" ht="12.75" x14ac:dyDescent="0.2">
      <c r="A700" s="232"/>
      <c r="B700" s="85"/>
      <c r="C700" s="85" t="s">
        <v>166</v>
      </c>
      <c r="D700" s="363"/>
      <c r="E700" s="124"/>
      <c r="F700" s="124"/>
      <c r="G700" s="124"/>
      <c r="H700" s="124"/>
      <c r="I700" s="124"/>
      <c r="J700" s="124"/>
      <c r="K700" s="354">
        <f t="shared" si="48"/>
        <v>0</v>
      </c>
      <c r="L700" s="354">
        <f t="shared" si="48"/>
        <v>0</v>
      </c>
      <c r="M700" s="354">
        <f t="shared" si="48"/>
        <v>0</v>
      </c>
      <c r="N700" s="354">
        <f t="shared" si="48"/>
        <v>0</v>
      </c>
    </row>
    <row r="701" spans="1:14" s="430" customFormat="1" ht="12.75" x14ac:dyDescent="0.2">
      <c r="A701" s="232"/>
      <c r="B701" s="85"/>
      <c r="C701" s="85" t="s">
        <v>63</v>
      </c>
      <c r="D701" s="363"/>
      <c r="E701" s="124"/>
      <c r="F701" s="124"/>
      <c r="G701" s="124"/>
      <c r="H701" s="124"/>
      <c r="I701" s="124"/>
      <c r="J701" s="124"/>
      <c r="K701" s="354">
        <f t="shared" si="48"/>
        <v>0</v>
      </c>
      <c r="L701" s="354">
        <f t="shared" si="48"/>
        <v>0</v>
      </c>
      <c r="M701" s="354">
        <f t="shared" si="48"/>
        <v>0</v>
      </c>
      <c r="N701" s="354">
        <f t="shared" si="48"/>
        <v>820.02</v>
      </c>
    </row>
    <row r="702" spans="1:14" s="430" customFormat="1" ht="12.75" x14ac:dyDescent="0.2">
      <c r="A702" s="232"/>
      <c r="B702" s="85"/>
      <c r="C702" s="85" t="s">
        <v>64</v>
      </c>
      <c r="D702" s="363"/>
      <c r="E702" s="124"/>
      <c r="F702" s="124"/>
      <c r="G702" s="124"/>
      <c r="H702" s="124"/>
      <c r="I702" s="124"/>
      <c r="J702" s="124"/>
      <c r="K702" s="354">
        <f t="shared" si="48"/>
        <v>0</v>
      </c>
      <c r="L702" s="354">
        <f t="shared" si="48"/>
        <v>0</v>
      </c>
      <c r="M702" s="354">
        <f t="shared" si="48"/>
        <v>0</v>
      </c>
      <c r="N702" s="354">
        <f t="shared" si="48"/>
        <v>820.01</v>
      </c>
    </row>
    <row r="703" spans="1:14" s="430" customFormat="1" ht="12.75" x14ac:dyDescent="0.2">
      <c r="A703" s="232"/>
      <c r="B703" s="85"/>
      <c r="C703" s="85" t="s">
        <v>796</v>
      </c>
      <c r="D703" s="363"/>
      <c r="E703" s="124"/>
      <c r="F703" s="124"/>
      <c r="G703" s="124"/>
      <c r="H703" s="124"/>
      <c r="I703" s="124"/>
      <c r="J703" s="124"/>
      <c r="K703" s="354">
        <f t="shared" ref="K703:N722" si="49">SUMIF($C$28:$C$280,$C703,K$28:K$280)</f>
        <v>0</v>
      </c>
      <c r="L703" s="354">
        <f t="shared" si="49"/>
        <v>0</v>
      </c>
      <c r="M703" s="354">
        <f t="shared" si="49"/>
        <v>0</v>
      </c>
      <c r="N703" s="354">
        <f t="shared" si="49"/>
        <v>800</v>
      </c>
    </row>
    <row r="704" spans="1:14" s="430" customFormat="1" ht="12.75" x14ac:dyDescent="0.2">
      <c r="A704" s="232"/>
      <c r="B704" s="85"/>
      <c r="C704" s="85" t="s">
        <v>145</v>
      </c>
      <c r="D704" s="363"/>
      <c r="E704" s="124"/>
      <c r="F704" s="124"/>
      <c r="G704" s="124"/>
      <c r="H704" s="124"/>
      <c r="I704" s="124"/>
      <c r="J704" s="124"/>
      <c r="K704" s="354">
        <f t="shared" si="49"/>
        <v>0</v>
      </c>
      <c r="L704" s="354">
        <f t="shared" si="49"/>
        <v>0</v>
      </c>
      <c r="M704" s="354">
        <f t="shared" si="49"/>
        <v>0</v>
      </c>
      <c r="N704" s="354">
        <f t="shared" si="49"/>
        <v>0</v>
      </c>
    </row>
    <row r="705" spans="1:14" s="430" customFormat="1" ht="12.75" x14ac:dyDescent="0.2">
      <c r="A705" s="232"/>
      <c r="B705" s="85"/>
      <c r="C705" s="85" t="s">
        <v>159</v>
      </c>
      <c r="D705" s="363"/>
      <c r="E705" s="124"/>
      <c r="F705" s="124"/>
      <c r="G705" s="124"/>
      <c r="H705" s="124"/>
      <c r="I705" s="124"/>
      <c r="J705" s="124"/>
      <c r="K705" s="354">
        <f t="shared" si="49"/>
        <v>200</v>
      </c>
      <c r="L705" s="354">
        <f t="shared" si="49"/>
        <v>0</v>
      </c>
      <c r="M705" s="354">
        <f t="shared" si="49"/>
        <v>0</v>
      </c>
      <c r="N705" s="354">
        <f t="shared" si="49"/>
        <v>100</v>
      </c>
    </row>
    <row r="706" spans="1:14" s="430" customFormat="1" ht="12.75" x14ac:dyDescent="0.2">
      <c r="A706" s="232"/>
      <c r="B706" s="85"/>
      <c r="C706" s="85" t="s">
        <v>147</v>
      </c>
      <c r="D706" s="363"/>
      <c r="E706" s="124"/>
      <c r="F706" s="124"/>
      <c r="G706" s="124"/>
      <c r="H706" s="124"/>
      <c r="I706" s="124"/>
      <c r="J706" s="124"/>
      <c r="K706" s="354">
        <f t="shared" si="49"/>
        <v>0</v>
      </c>
      <c r="L706" s="354">
        <f t="shared" si="49"/>
        <v>0</v>
      </c>
      <c r="M706" s="354">
        <f t="shared" si="49"/>
        <v>0</v>
      </c>
      <c r="N706" s="354">
        <f t="shared" si="49"/>
        <v>0</v>
      </c>
    </row>
    <row r="707" spans="1:14" s="430" customFormat="1" ht="12.75" x14ac:dyDescent="0.2">
      <c r="A707" s="232"/>
      <c r="B707" s="85"/>
      <c r="C707" s="85" t="s">
        <v>150</v>
      </c>
      <c r="D707" s="363"/>
      <c r="E707" s="124"/>
      <c r="F707" s="124"/>
      <c r="G707" s="124"/>
      <c r="H707" s="124"/>
      <c r="I707" s="124"/>
      <c r="J707" s="124"/>
      <c r="K707" s="354">
        <f t="shared" si="49"/>
        <v>0</v>
      </c>
      <c r="L707" s="354">
        <f t="shared" si="49"/>
        <v>0</v>
      </c>
      <c r="M707" s="354">
        <f t="shared" si="49"/>
        <v>0</v>
      </c>
      <c r="N707" s="354">
        <f t="shared" si="49"/>
        <v>0</v>
      </c>
    </row>
    <row r="708" spans="1:14" s="430" customFormat="1" ht="12.75" x14ac:dyDescent="0.2">
      <c r="A708" s="232"/>
      <c r="B708" s="85"/>
      <c r="C708" s="85" t="s">
        <v>151</v>
      </c>
      <c r="D708" s="363"/>
      <c r="E708" s="124"/>
      <c r="F708" s="124"/>
      <c r="G708" s="124"/>
      <c r="H708" s="124"/>
      <c r="I708" s="124"/>
      <c r="J708" s="124"/>
      <c r="K708" s="354">
        <f t="shared" si="49"/>
        <v>0</v>
      </c>
      <c r="L708" s="354">
        <f t="shared" si="49"/>
        <v>0</v>
      </c>
      <c r="M708" s="354">
        <f t="shared" si="49"/>
        <v>0</v>
      </c>
      <c r="N708" s="354">
        <f t="shared" si="49"/>
        <v>0</v>
      </c>
    </row>
    <row r="709" spans="1:14" s="430" customFormat="1" ht="12.75" x14ac:dyDescent="0.2">
      <c r="A709" s="232"/>
      <c r="B709" s="85"/>
      <c r="C709" s="85" t="s">
        <v>154</v>
      </c>
      <c r="D709" s="363"/>
      <c r="E709" s="124"/>
      <c r="F709" s="124"/>
      <c r="G709" s="124"/>
      <c r="H709" s="124"/>
      <c r="I709" s="124"/>
      <c r="J709" s="124"/>
      <c r="K709" s="354">
        <f t="shared" si="49"/>
        <v>0</v>
      </c>
      <c r="L709" s="354">
        <f t="shared" si="49"/>
        <v>0</v>
      </c>
      <c r="M709" s="354">
        <f t="shared" si="49"/>
        <v>0</v>
      </c>
      <c r="N709" s="354">
        <f t="shared" si="49"/>
        <v>0</v>
      </c>
    </row>
    <row r="710" spans="1:14" s="430" customFormat="1" ht="12.75" x14ac:dyDescent="0.2">
      <c r="A710" s="232"/>
      <c r="B710" s="85"/>
      <c r="C710" s="85" t="s">
        <v>149</v>
      </c>
      <c r="D710" s="363"/>
      <c r="E710" s="124"/>
      <c r="F710" s="124"/>
      <c r="G710" s="124"/>
      <c r="H710" s="124"/>
      <c r="I710" s="124"/>
      <c r="J710" s="124"/>
      <c r="K710" s="354">
        <f t="shared" si="49"/>
        <v>0</v>
      </c>
      <c r="L710" s="354">
        <f t="shared" si="49"/>
        <v>0</v>
      </c>
      <c r="M710" s="354">
        <f t="shared" si="49"/>
        <v>0</v>
      </c>
      <c r="N710" s="354">
        <f t="shared" si="49"/>
        <v>0</v>
      </c>
    </row>
    <row r="711" spans="1:14" s="430" customFormat="1" ht="12.75" x14ac:dyDescent="0.2">
      <c r="A711" s="232"/>
      <c r="B711" s="85"/>
      <c r="C711" s="85" t="s">
        <v>152</v>
      </c>
      <c r="D711" s="363"/>
      <c r="E711" s="124"/>
      <c r="F711" s="124"/>
      <c r="G711" s="124"/>
      <c r="H711" s="124"/>
      <c r="I711" s="124"/>
      <c r="J711" s="124"/>
      <c r="K711" s="354">
        <f t="shared" si="49"/>
        <v>0</v>
      </c>
      <c r="L711" s="354">
        <f t="shared" si="49"/>
        <v>0</v>
      </c>
      <c r="M711" s="354">
        <f t="shared" si="49"/>
        <v>0</v>
      </c>
      <c r="N711" s="354">
        <f t="shared" si="49"/>
        <v>0</v>
      </c>
    </row>
    <row r="712" spans="1:14" s="430" customFormat="1" ht="12.75" x14ac:dyDescent="0.2">
      <c r="A712" s="232"/>
      <c r="B712" s="85"/>
      <c r="C712" s="85" t="s">
        <v>167</v>
      </c>
      <c r="D712" s="363"/>
      <c r="E712" s="124"/>
      <c r="F712" s="124"/>
      <c r="G712" s="124"/>
      <c r="H712" s="124"/>
      <c r="I712" s="124"/>
      <c r="J712" s="124"/>
      <c r="K712" s="354">
        <f t="shared" si="49"/>
        <v>0</v>
      </c>
      <c r="L712" s="354">
        <f t="shared" si="49"/>
        <v>0</v>
      </c>
      <c r="M712" s="354">
        <f t="shared" si="49"/>
        <v>0</v>
      </c>
      <c r="N712" s="354">
        <f t="shared" si="49"/>
        <v>232.97</v>
      </c>
    </row>
    <row r="713" spans="1:14" s="430" customFormat="1" ht="12.75" x14ac:dyDescent="0.2">
      <c r="A713" s="232"/>
      <c r="B713" s="85"/>
      <c r="C713" s="85" t="s">
        <v>130</v>
      </c>
      <c r="D713" s="363"/>
      <c r="E713" s="124"/>
      <c r="F713" s="124"/>
      <c r="G713" s="124"/>
      <c r="H713" s="124"/>
      <c r="I713" s="124"/>
      <c r="J713" s="124"/>
      <c r="K713" s="354">
        <f t="shared" si="49"/>
        <v>0</v>
      </c>
      <c r="L713" s="354">
        <f t="shared" si="49"/>
        <v>0</v>
      </c>
      <c r="M713" s="354">
        <f t="shared" si="49"/>
        <v>0</v>
      </c>
      <c r="N713" s="354">
        <f t="shared" si="49"/>
        <v>0</v>
      </c>
    </row>
    <row r="714" spans="1:14" s="430" customFormat="1" ht="12.75" x14ac:dyDescent="0.2">
      <c r="A714" s="232"/>
      <c r="B714" s="85"/>
      <c r="C714" s="85" t="s">
        <v>157</v>
      </c>
      <c r="D714" s="363"/>
      <c r="E714" s="124"/>
      <c r="F714" s="124"/>
      <c r="G714" s="124"/>
      <c r="H714" s="124"/>
      <c r="I714" s="124"/>
      <c r="J714" s="124"/>
      <c r="K714" s="354">
        <f t="shared" si="49"/>
        <v>0</v>
      </c>
      <c r="L714" s="354">
        <f t="shared" si="49"/>
        <v>0</v>
      </c>
      <c r="M714" s="354">
        <f t="shared" si="49"/>
        <v>0</v>
      </c>
      <c r="N714" s="354">
        <f t="shared" si="49"/>
        <v>0</v>
      </c>
    </row>
    <row r="715" spans="1:14" s="430" customFormat="1" ht="12.75" x14ac:dyDescent="0.2">
      <c r="A715" s="232"/>
      <c r="B715" s="85"/>
      <c r="C715" s="85" t="s">
        <v>158</v>
      </c>
      <c r="D715" s="363"/>
      <c r="E715" s="124"/>
      <c r="F715" s="124"/>
      <c r="G715" s="124"/>
      <c r="H715" s="124"/>
      <c r="I715" s="124"/>
      <c r="J715" s="124"/>
      <c r="K715" s="354">
        <f t="shared" si="49"/>
        <v>0</v>
      </c>
      <c r="L715" s="354">
        <f t="shared" si="49"/>
        <v>0</v>
      </c>
      <c r="M715" s="354">
        <f t="shared" si="49"/>
        <v>0</v>
      </c>
      <c r="N715" s="354">
        <f t="shared" si="49"/>
        <v>0</v>
      </c>
    </row>
    <row r="716" spans="1:14" s="430" customFormat="1" ht="12.75" x14ac:dyDescent="0.2">
      <c r="A716" s="232"/>
      <c r="B716" s="85"/>
      <c r="C716" s="85" t="s">
        <v>162</v>
      </c>
      <c r="D716" s="363"/>
      <c r="E716" s="124"/>
      <c r="F716" s="124"/>
      <c r="G716" s="124"/>
      <c r="H716" s="124"/>
      <c r="I716" s="124"/>
      <c r="J716" s="124"/>
      <c r="K716" s="354">
        <f t="shared" si="49"/>
        <v>2192</v>
      </c>
      <c r="L716" s="354">
        <f t="shared" si="49"/>
        <v>0</v>
      </c>
      <c r="M716" s="354">
        <f t="shared" si="49"/>
        <v>0</v>
      </c>
      <c r="N716" s="354">
        <f t="shared" si="49"/>
        <v>1509.5</v>
      </c>
    </row>
    <row r="717" spans="1:14" s="430" customFormat="1" ht="12.75" x14ac:dyDescent="0.2">
      <c r="A717" s="232"/>
      <c r="B717" s="85"/>
      <c r="C717" s="85" t="s">
        <v>124</v>
      </c>
      <c r="D717" s="363"/>
      <c r="E717" s="124"/>
      <c r="F717" s="124"/>
      <c r="G717" s="124"/>
      <c r="H717" s="124"/>
      <c r="I717" s="124"/>
      <c r="J717" s="124"/>
      <c r="K717" s="354">
        <f t="shared" si="49"/>
        <v>1369</v>
      </c>
      <c r="L717" s="354">
        <f t="shared" si="49"/>
        <v>0</v>
      </c>
      <c r="M717" s="354">
        <f t="shared" si="49"/>
        <v>0</v>
      </c>
      <c r="N717" s="354">
        <f t="shared" si="49"/>
        <v>897.14</v>
      </c>
    </row>
    <row r="718" spans="1:14" s="430" customFormat="1" ht="12.75" x14ac:dyDescent="0.2">
      <c r="A718" s="232"/>
      <c r="B718" s="85"/>
      <c r="C718" s="85" t="s">
        <v>125</v>
      </c>
      <c r="D718" s="363"/>
      <c r="E718" s="124"/>
      <c r="F718" s="124"/>
      <c r="G718" s="124"/>
      <c r="H718" s="124"/>
      <c r="I718" s="124"/>
      <c r="J718" s="124"/>
      <c r="K718" s="354">
        <f t="shared" si="49"/>
        <v>0</v>
      </c>
      <c r="L718" s="354">
        <f t="shared" si="49"/>
        <v>0</v>
      </c>
      <c r="M718" s="354">
        <f t="shared" si="49"/>
        <v>0</v>
      </c>
      <c r="N718" s="354">
        <f t="shared" si="49"/>
        <v>16000</v>
      </c>
    </row>
    <row r="719" spans="1:14" s="430" customFormat="1" ht="12.75" x14ac:dyDescent="0.2">
      <c r="A719" s="232"/>
      <c r="B719" s="85"/>
      <c r="C719" s="85" t="s">
        <v>156</v>
      </c>
      <c r="D719" s="363"/>
      <c r="E719" s="124"/>
      <c r="F719" s="124"/>
      <c r="G719" s="124"/>
      <c r="H719" s="124"/>
      <c r="I719" s="124"/>
      <c r="J719" s="124"/>
      <c r="K719" s="354">
        <f t="shared" si="49"/>
        <v>0</v>
      </c>
      <c r="L719" s="354">
        <f t="shared" si="49"/>
        <v>0</v>
      </c>
      <c r="M719" s="354">
        <f t="shared" si="49"/>
        <v>0</v>
      </c>
      <c r="N719" s="354">
        <f t="shared" si="49"/>
        <v>0</v>
      </c>
    </row>
    <row r="720" spans="1:14" s="430" customFormat="1" ht="12.75" x14ac:dyDescent="0.2">
      <c r="A720" s="232"/>
      <c r="B720" s="85"/>
      <c r="C720" s="85" t="s">
        <v>144</v>
      </c>
      <c r="D720" s="363"/>
      <c r="E720" s="124"/>
      <c r="F720" s="124"/>
      <c r="G720" s="124"/>
      <c r="H720" s="124"/>
      <c r="I720" s="124"/>
      <c r="J720" s="124"/>
      <c r="K720" s="354">
        <f t="shared" si="49"/>
        <v>0</v>
      </c>
      <c r="L720" s="354">
        <f t="shared" si="49"/>
        <v>0</v>
      </c>
      <c r="M720" s="354">
        <f t="shared" si="49"/>
        <v>0</v>
      </c>
      <c r="N720" s="354">
        <f t="shared" si="49"/>
        <v>4156.3900000000003</v>
      </c>
    </row>
    <row r="721" spans="1:14" s="430" customFormat="1" ht="12.75" x14ac:dyDescent="0.2">
      <c r="A721" s="232"/>
      <c r="B721" s="85"/>
      <c r="C721" s="85" t="s">
        <v>155</v>
      </c>
      <c r="D721" s="363"/>
      <c r="E721" s="124"/>
      <c r="F721" s="124"/>
      <c r="G721" s="124"/>
      <c r="H721" s="124"/>
      <c r="I721" s="124"/>
      <c r="J721" s="124"/>
      <c r="K721" s="354">
        <f t="shared" si="49"/>
        <v>0</v>
      </c>
      <c r="L721" s="354">
        <f t="shared" si="49"/>
        <v>0</v>
      </c>
      <c r="M721" s="354">
        <f t="shared" si="49"/>
        <v>0</v>
      </c>
      <c r="N721" s="354">
        <f t="shared" si="49"/>
        <v>0</v>
      </c>
    </row>
    <row r="722" spans="1:14" s="430" customFormat="1" ht="12.75" x14ac:dyDescent="0.2">
      <c r="A722" s="232"/>
      <c r="B722" s="85"/>
      <c r="C722" s="85" t="s">
        <v>139</v>
      </c>
      <c r="D722" s="363"/>
      <c r="E722" s="124"/>
      <c r="F722" s="124"/>
      <c r="G722" s="124"/>
      <c r="H722" s="124"/>
      <c r="I722" s="124"/>
      <c r="J722" s="124"/>
      <c r="K722" s="354">
        <f t="shared" si="49"/>
        <v>0</v>
      </c>
      <c r="L722" s="354">
        <f t="shared" si="49"/>
        <v>0</v>
      </c>
      <c r="M722" s="354">
        <f t="shared" si="49"/>
        <v>0</v>
      </c>
      <c r="N722" s="354">
        <f t="shared" si="49"/>
        <v>300.16000000000003</v>
      </c>
    </row>
    <row r="723" spans="1:14" s="430" customFormat="1" ht="12.75" x14ac:dyDescent="0.2">
      <c r="A723" s="232"/>
      <c r="B723" s="85"/>
      <c r="C723" s="85" t="s">
        <v>138</v>
      </c>
      <c r="D723" s="363"/>
      <c r="E723" s="124"/>
      <c r="F723" s="124"/>
      <c r="G723" s="124"/>
      <c r="H723" s="124"/>
      <c r="I723" s="124"/>
      <c r="J723" s="124"/>
      <c r="K723" s="354">
        <f t="shared" ref="K723:N746" si="50">SUMIF($C$28:$C$280,$C723,K$28:K$280)</f>
        <v>0</v>
      </c>
      <c r="L723" s="354">
        <f t="shared" si="50"/>
        <v>0</v>
      </c>
      <c r="M723" s="354">
        <f t="shared" si="50"/>
        <v>0</v>
      </c>
      <c r="N723" s="354">
        <f t="shared" si="50"/>
        <v>0</v>
      </c>
    </row>
    <row r="724" spans="1:14" s="430" customFormat="1" ht="12.75" x14ac:dyDescent="0.2">
      <c r="A724" s="232"/>
      <c r="B724" s="85"/>
      <c r="C724" s="85" t="s">
        <v>115</v>
      </c>
      <c r="D724" s="363"/>
      <c r="E724" s="124"/>
      <c r="F724" s="124"/>
      <c r="G724" s="124"/>
      <c r="H724" s="124"/>
      <c r="I724" s="124"/>
      <c r="J724" s="124"/>
      <c r="K724" s="354">
        <f t="shared" si="50"/>
        <v>0</v>
      </c>
      <c r="L724" s="354">
        <f t="shared" si="50"/>
        <v>0</v>
      </c>
      <c r="M724" s="354">
        <f t="shared" si="50"/>
        <v>0</v>
      </c>
      <c r="N724" s="354">
        <f t="shared" si="50"/>
        <v>519.39</v>
      </c>
    </row>
    <row r="725" spans="1:14" s="430" customFormat="1" ht="12.75" x14ac:dyDescent="0.2">
      <c r="A725" s="232"/>
      <c r="B725" s="85"/>
      <c r="C725" s="85" t="s">
        <v>65</v>
      </c>
      <c r="D725" s="363"/>
      <c r="E725" s="124"/>
      <c r="F725" s="124"/>
      <c r="G725" s="124"/>
      <c r="H725" s="124"/>
      <c r="I725" s="124"/>
      <c r="J725" s="124"/>
      <c r="K725" s="354">
        <f t="shared" si="50"/>
        <v>0</v>
      </c>
      <c r="L725" s="354">
        <f t="shared" si="50"/>
        <v>0</v>
      </c>
      <c r="M725" s="354">
        <f t="shared" si="50"/>
        <v>0</v>
      </c>
      <c r="N725" s="354">
        <f t="shared" si="50"/>
        <v>0</v>
      </c>
    </row>
    <row r="726" spans="1:14" s="514" customFormat="1" ht="12.75" x14ac:dyDescent="0.2">
      <c r="A726" s="232"/>
      <c r="B726" s="85"/>
      <c r="C726" s="669" t="s">
        <v>1445</v>
      </c>
      <c r="D726" s="363"/>
      <c r="E726" s="124"/>
      <c r="F726" s="124"/>
      <c r="G726" s="124"/>
      <c r="H726" s="124"/>
      <c r="I726" s="124"/>
      <c r="J726" s="124"/>
      <c r="K726" s="354">
        <f t="shared" si="50"/>
        <v>0</v>
      </c>
      <c r="L726" s="354">
        <f t="shared" si="50"/>
        <v>0</v>
      </c>
      <c r="M726" s="354">
        <f t="shared" si="50"/>
        <v>0</v>
      </c>
      <c r="N726" s="354">
        <f t="shared" si="50"/>
        <v>0</v>
      </c>
    </row>
    <row r="727" spans="1:14" s="430" customFormat="1" ht="12.75" x14ac:dyDescent="0.2">
      <c r="A727" s="232"/>
      <c r="B727" s="85"/>
      <c r="C727" s="85" t="s">
        <v>116</v>
      </c>
      <c r="D727" s="363"/>
      <c r="E727" s="124"/>
      <c r="F727" s="124"/>
      <c r="G727" s="124"/>
      <c r="H727" s="124"/>
      <c r="I727" s="124"/>
      <c r="J727" s="124"/>
      <c r="K727" s="354">
        <f t="shared" si="50"/>
        <v>0</v>
      </c>
      <c r="L727" s="354">
        <f t="shared" si="50"/>
        <v>0</v>
      </c>
      <c r="M727" s="354">
        <f t="shared" si="50"/>
        <v>0</v>
      </c>
      <c r="N727" s="354">
        <f t="shared" si="50"/>
        <v>4516.82</v>
      </c>
    </row>
    <row r="728" spans="1:14" s="430" customFormat="1" ht="12.75" x14ac:dyDescent="0.2">
      <c r="A728" s="232"/>
      <c r="B728" s="85"/>
      <c r="C728" s="85" t="s">
        <v>117</v>
      </c>
      <c r="D728" s="363"/>
      <c r="E728" s="124"/>
      <c r="F728" s="124"/>
      <c r="G728" s="124"/>
      <c r="H728" s="124"/>
      <c r="I728" s="124"/>
      <c r="J728" s="124"/>
      <c r="K728" s="354">
        <f t="shared" si="50"/>
        <v>680</v>
      </c>
      <c r="L728" s="354">
        <f t="shared" si="50"/>
        <v>942.94</v>
      </c>
      <c r="M728" s="354">
        <f t="shared" si="50"/>
        <v>1380</v>
      </c>
      <c r="N728" s="354">
        <f t="shared" si="50"/>
        <v>1880</v>
      </c>
    </row>
    <row r="729" spans="1:14" s="430" customFormat="1" ht="12.75" x14ac:dyDescent="0.2">
      <c r="A729" s="232"/>
      <c r="B729" s="85"/>
      <c r="C729" s="85" t="s">
        <v>120</v>
      </c>
      <c r="D729" s="363"/>
      <c r="E729" s="124"/>
      <c r="F729" s="124"/>
      <c r="G729" s="124"/>
      <c r="H729" s="124"/>
      <c r="I729" s="124"/>
      <c r="J729" s="124"/>
      <c r="K729" s="354">
        <f t="shared" si="50"/>
        <v>0</v>
      </c>
      <c r="L729" s="354">
        <f t="shared" si="50"/>
        <v>0</v>
      </c>
      <c r="M729" s="354">
        <f t="shared" si="50"/>
        <v>0</v>
      </c>
      <c r="N729" s="354">
        <f t="shared" si="50"/>
        <v>1125</v>
      </c>
    </row>
    <row r="730" spans="1:14" s="430" customFormat="1" ht="12.75" x14ac:dyDescent="0.2">
      <c r="A730" s="232"/>
      <c r="B730" s="85"/>
      <c r="C730" s="85" t="s">
        <v>148</v>
      </c>
      <c r="D730" s="363"/>
      <c r="E730" s="124"/>
      <c r="F730" s="124"/>
      <c r="G730" s="124"/>
      <c r="H730" s="124"/>
      <c r="I730" s="124"/>
      <c r="J730" s="124"/>
      <c r="K730" s="354">
        <f t="shared" si="50"/>
        <v>0</v>
      </c>
      <c r="L730" s="354">
        <f t="shared" si="50"/>
        <v>0</v>
      </c>
      <c r="M730" s="354">
        <f t="shared" si="50"/>
        <v>0</v>
      </c>
      <c r="N730" s="354">
        <f t="shared" si="50"/>
        <v>0</v>
      </c>
    </row>
    <row r="731" spans="1:14" s="430" customFormat="1" ht="12.75" x14ac:dyDescent="0.2">
      <c r="A731" s="232"/>
      <c r="B731" s="85"/>
      <c r="C731" s="85" t="s">
        <v>121</v>
      </c>
      <c r="D731" s="363"/>
      <c r="E731" s="124"/>
      <c r="F731" s="124"/>
      <c r="G731" s="124"/>
      <c r="H731" s="124"/>
      <c r="I731" s="124"/>
      <c r="J731" s="124"/>
      <c r="K731" s="354">
        <f t="shared" si="50"/>
        <v>7651.34</v>
      </c>
      <c r="L731" s="354">
        <f t="shared" si="50"/>
        <v>7656.08</v>
      </c>
      <c r="M731" s="354">
        <f t="shared" si="50"/>
        <v>9161.34</v>
      </c>
      <c r="N731" s="354">
        <f t="shared" si="50"/>
        <v>8870</v>
      </c>
    </row>
    <row r="732" spans="1:14" s="430" customFormat="1" ht="12.75" x14ac:dyDescent="0.2">
      <c r="A732" s="232"/>
      <c r="B732" s="85"/>
      <c r="C732" s="85" t="s">
        <v>122</v>
      </c>
      <c r="D732" s="363"/>
      <c r="E732" s="124"/>
      <c r="F732" s="124"/>
      <c r="G732" s="124"/>
      <c r="H732" s="124"/>
      <c r="I732" s="124"/>
      <c r="J732" s="124"/>
      <c r="K732" s="354">
        <f t="shared" si="50"/>
        <v>0</v>
      </c>
      <c r="L732" s="354">
        <f t="shared" si="50"/>
        <v>0</v>
      </c>
      <c r="M732" s="354">
        <f t="shared" si="50"/>
        <v>0</v>
      </c>
      <c r="N732" s="354">
        <f t="shared" si="50"/>
        <v>97.45</v>
      </c>
    </row>
    <row r="733" spans="1:14" s="514" customFormat="1" ht="12.75" x14ac:dyDescent="0.2">
      <c r="A733" s="232"/>
      <c r="B733" s="85"/>
      <c r="C733" s="669" t="s">
        <v>1459</v>
      </c>
      <c r="D733" s="363"/>
      <c r="E733" s="124"/>
      <c r="F733" s="124"/>
      <c r="G733" s="124"/>
      <c r="H733" s="124"/>
      <c r="I733" s="124"/>
      <c r="J733" s="124"/>
      <c r="K733" s="354">
        <f t="shared" si="50"/>
        <v>0</v>
      </c>
      <c r="L733" s="354">
        <f t="shared" si="50"/>
        <v>0</v>
      </c>
      <c r="M733" s="354">
        <f t="shared" si="50"/>
        <v>0</v>
      </c>
      <c r="N733" s="354">
        <f t="shared" si="50"/>
        <v>0</v>
      </c>
    </row>
    <row r="734" spans="1:14" s="430" customFormat="1" ht="12.75" x14ac:dyDescent="0.2">
      <c r="A734" s="232"/>
      <c r="B734" s="85"/>
      <c r="C734" s="85" t="s">
        <v>163</v>
      </c>
      <c r="D734" s="363"/>
      <c r="E734" s="124"/>
      <c r="F734" s="124"/>
      <c r="G734" s="124"/>
      <c r="H734" s="124"/>
      <c r="I734" s="124"/>
      <c r="J734" s="124"/>
      <c r="K734" s="354">
        <f t="shared" si="50"/>
        <v>0</v>
      </c>
      <c r="L734" s="354">
        <f t="shared" si="50"/>
        <v>0</v>
      </c>
      <c r="M734" s="354">
        <f t="shared" si="50"/>
        <v>0</v>
      </c>
      <c r="N734" s="354">
        <f t="shared" si="50"/>
        <v>0</v>
      </c>
    </row>
    <row r="735" spans="1:14" s="430" customFormat="1" ht="12.75" x14ac:dyDescent="0.2">
      <c r="A735" s="232"/>
      <c r="B735" s="85"/>
      <c r="C735" s="85" t="s">
        <v>123</v>
      </c>
      <c r="D735" s="363"/>
      <c r="E735" s="124"/>
      <c r="F735" s="124"/>
      <c r="G735" s="124"/>
      <c r="H735" s="124"/>
      <c r="I735" s="124"/>
      <c r="J735" s="124"/>
      <c r="K735" s="354">
        <f t="shared" si="50"/>
        <v>0</v>
      </c>
      <c r="L735" s="354">
        <f t="shared" si="50"/>
        <v>0</v>
      </c>
      <c r="M735" s="354">
        <f t="shared" si="50"/>
        <v>0</v>
      </c>
      <c r="N735" s="354">
        <f t="shared" si="50"/>
        <v>0</v>
      </c>
    </row>
    <row r="736" spans="1:14" s="430" customFormat="1" ht="12.75" x14ac:dyDescent="0.2">
      <c r="A736" s="232"/>
      <c r="B736" s="85"/>
      <c r="C736" s="85" t="s">
        <v>153</v>
      </c>
      <c r="D736" s="363"/>
      <c r="E736" s="124"/>
      <c r="F736" s="124"/>
      <c r="G736" s="124"/>
      <c r="H736" s="124"/>
      <c r="I736" s="124"/>
      <c r="J736" s="124"/>
      <c r="K736" s="354">
        <f t="shared" si="50"/>
        <v>0</v>
      </c>
      <c r="L736" s="354">
        <f t="shared" si="50"/>
        <v>0</v>
      </c>
      <c r="M736" s="354">
        <f t="shared" si="50"/>
        <v>0</v>
      </c>
      <c r="N736" s="354">
        <f t="shared" si="50"/>
        <v>0</v>
      </c>
    </row>
    <row r="737" spans="1:14" s="430" customFormat="1" ht="12.75" x14ac:dyDescent="0.2">
      <c r="A737" s="232"/>
      <c r="B737" s="85"/>
      <c r="C737" s="85" t="s">
        <v>127</v>
      </c>
      <c r="D737" s="363"/>
      <c r="E737" s="124"/>
      <c r="F737" s="124"/>
      <c r="G737" s="124"/>
      <c r="H737" s="124"/>
      <c r="I737" s="124"/>
      <c r="J737" s="124"/>
      <c r="K737" s="354">
        <f t="shared" si="50"/>
        <v>0</v>
      </c>
      <c r="L737" s="354">
        <f t="shared" si="50"/>
        <v>0</v>
      </c>
      <c r="M737" s="354">
        <f t="shared" si="50"/>
        <v>0</v>
      </c>
      <c r="N737" s="354">
        <f t="shared" si="50"/>
        <v>3991.94</v>
      </c>
    </row>
    <row r="738" spans="1:14" s="430" customFormat="1" ht="12.75" x14ac:dyDescent="0.2">
      <c r="A738" s="232"/>
      <c r="B738" s="85"/>
      <c r="C738" s="85" t="s">
        <v>141</v>
      </c>
      <c r="D738" s="363"/>
      <c r="E738" s="124"/>
      <c r="F738" s="124"/>
      <c r="G738" s="124"/>
      <c r="H738" s="124"/>
      <c r="I738" s="124"/>
      <c r="J738" s="124"/>
      <c r="K738" s="354">
        <f t="shared" si="50"/>
        <v>0</v>
      </c>
      <c r="L738" s="354">
        <f t="shared" si="50"/>
        <v>0</v>
      </c>
      <c r="M738" s="354">
        <f t="shared" si="50"/>
        <v>0</v>
      </c>
      <c r="N738" s="354">
        <f t="shared" si="50"/>
        <v>257.77</v>
      </c>
    </row>
    <row r="739" spans="1:14" s="430" customFormat="1" ht="12.75" x14ac:dyDescent="0.2">
      <c r="A739" s="232"/>
      <c r="B739" s="85"/>
      <c r="C739" s="85" t="s">
        <v>66</v>
      </c>
      <c r="D739" s="363"/>
      <c r="E739" s="124"/>
      <c r="F739" s="124"/>
      <c r="G739" s="124"/>
      <c r="H739" s="124"/>
      <c r="I739" s="124"/>
      <c r="J739" s="124"/>
      <c r="K739" s="354">
        <f t="shared" si="50"/>
        <v>0</v>
      </c>
      <c r="L739" s="354">
        <f t="shared" si="50"/>
        <v>0</v>
      </c>
      <c r="M739" s="354">
        <f t="shared" si="50"/>
        <v>0</v>
      </c>
      <c r="N739" s="354">
        <f t="shared" si="50"/>
        <v>0</v>
      </c>
    </row>
    <row r="740" spans="1:14" s="430" customFormat="1" ht="12.75" x14ac:dyDescent="0.2">
      <c r="A740" s="232"/>
      <c r="B740" s="85"/>
      <c r="C740" s="85" t="s">
        <v>128</v>
      </c>
      <c r="D740" s="363"/>
      <c r="E740" s="124"/>
      <c r="F740" s="124"/>
      <c r="G740" s="124"/>
      <c r="H740" s="124"/>
      <c r="I740" s="124"/>
      <c r="J740" s="124"/>
      <c r="K740" s="354">
        <f t="shared" si="50"/>
        <v>55458</v>
      </c>
      <c r="L740" s="354">
        <f t="shared" si="50"/>
        <v>36732.35</v>
      </c>
      <c r="M740" s="354">
        <f t="shared" si="50"/>
        <v>44386.67</v>
      </c>
      <c r="N740" s="354">
        <f t="shared" si="50"/>
        <v>63450.67</v>
      </c>
    </row>
    <row r="741" spans="1:14" s="430" customFormat="1" ht="12.75" x14ac:dyDescent="0.2">
      <c r="A741" s="232"/>
      <c r="B741" s="85"/>
      <c r="C741" s="85" t="s">
        <v>126</v>
      </c>
      <c r="D741" s="363"/>
      <c r="E741" s="124"/>
      <c r="F741" s="124"/>
      <c r="G741" s="124"/>
      <c r="H741" s="124"/>
      <c r="I741" s="124"/>
      <c r="J741" s="124"/>
      <c r="K741" s="354">
        <f t="shared" si="50"/>
        <v>0</v>
      </c>
      <c r="L741" s="354">
        <f t="shared" si="50"/>
        <v>0</v>
      </c>
      <c r="M741" s="354">
        <f t="shared" si="50"/>
        <v>0</v>
      </c>
      <c r="N741" s="354">
        <f t="shared" si="50"/>
        <v>11215.59</v>
      </c>
    </row>
    <row r="742" spans="1:14" s="430" customFormat="1" ht="12.75" x14ac:dyDescent="0.2">
      <c r="A742" s="232"/>
      <c r="B742" s="85"/>
      <c r="C742" s="85" t="s">
        <v>129</v>
      </c>
      <c r="D742" s="363"/>
      <c r="E742" s="124"/>
      <c r="F742" s="124"/>
      <c r="G742" s="124"/>
      <c r="H742" s="124"/>
      <c r="I742" s="124"/>
      <c r="J742" s="124"/>
      <c r="K742" s="354">
        <f t="shared" si="50"/>
        <v>384</v>
      </c>
      <c r="L742" s="354">
        <f t="shared" si="50"/>
        <v>125</v>
      </c>
      <c r="M742" s="354">
        <f t="shared" si="50"/>
        <v>125</v>
      </c>
      <c r="N742" s="354">
        <f t="shared" si="50"/>
        <v>861.21</v>
      </c>
    </row>
    <row r="743" spans="1:14" s="430" customFormat="1" ht="12.75" x14ac:dyDescent="0.2">
      <c r="A743" s="232"/>
      <c r="B743" s="85"/>
      <c r="C743" s="85" t="s">
        <v>692</v>
      </c>
      <c r="D743" s="363"/>
      <c r="E743" s="124"/>
      <c r="F743" s="124"/>
      <c r="G743" s="124"/>
      <c r="H743" s="124"/>
      <c r="I743" s="124"/>
      <c r="J743" s="124"/>
      <c r="K743" s="354">
        <f t="shared" si="50"/>
        <v>827914.53</v>
      </c>
      <c r="L743" s="354">
        <f t="shared" si="50"/>
        <v>308134.65999999997</v>
      </c>
      <c r="M743" s="354">
        <f t="shared" si="50"/>
        <v>507925.34</v>
      </c>
      <c r="N743" s="354">
        <f t="shared" si="50"/>
        <v>1103212.75</v>
      </c>
    </row>
    <row r="744" spans="1:14" s="430" customFormat="1" ht="12.75" x14ac:dyDescent="0.2">
      <c r="A744" s="232"/>
      <c r="B744" s="85"/>
      <c r="C744" s="85" t="s">
        <v>472</v>
      </c>
      <c r="D744" s="363"/>
      <c r="E744" s="124"/>
      <c r="F744" s="124"/>
      <c r="G744" s="124"/>
      <c r="H744" s="124"/>
      <c r="I744" s="124"/>
      <c r="J744" s="124"/>
      <c r="K744" s="354">
        <f t="shared" si="50"/>
        <v>15442</v>
      </c>
      <c r="L744" s="354">
        <f t="shared" si="50"/>
        <v>9565</v>
      </c>
      <c r="M744" s="354">
        <f t="shared" si="50"/>
        <v>9660</v>
      </c>
      <c r="N744" s="354">
        <f t="shared" si="50"/>
        <v>16430.77</v>
      </c>
    </row>
    <row r="745" spans="1:14" s="430" customFormat="1" ht="12.75" x14ac:dyDescent="0.2">
      <c r="A745" s="232"/>
      <c r="B745" s="85"/>
      <c r="C745" s="85" t="s">
        <v>143</v>
      </c>
      <c r="D745" s="363"/>
      <c r="E745" s="124"/>
      <c r="F745" s="124"/>
      <c r="G745" s="124"/>
      <c r="H745" s="124"/>
      <c r="I745" s="124"/>
      <c r="J745" s="124"/>
      <c r="K745" s="354">
        <f t="shared" si="50"/>
        <v>0</v>
      </c>
      <c r="L745" s="354">
        <f t="shared" si="50"/>
        <v>0</v>
      </c>
      <c r="M745" s="354">
        <f t="shared" si="50"/>
        <v>0</v>
      </c>
      <c r="N745" s="354">
        <f t="shared" si="50"/>
        <v>2756.82</v>
      </c>
    </row>
    <row r="746" spans="1:14" s="430" customFormat="1" ht="12.75" x14ac:dyDescent="0.2">
      <c r="A746" s="232"/>
      <c r="B746" s="85"/>
      <c r="C746" s="85" t="s">
        <v>146</v>
      </c>
      <c r="D746" s="363"/>
      <c r="E746" s="124"/>
      <c r="F746" s="124"/>
      <c r="G746" s="124"/>
      <c r="H746" s="124"/>
      <c r="I746" s="124"/>
      <c r="J746" s="124"/>
      <c r="K746" s="354">
        <f t="shared" si="50"/>
        <v>0</v>
      </c>
      <c r="L746" s="354">
        <f t="shared" si="50"/>
        <v>0</v>
      </c>
      <c r="M746" s="354">
        <f t="shared" si="50"/>
        <v>0</v>
      </c>
      <c r="N746" s="354">
        <f t="shared" si="50"/>
        <v>0</v>
      </c>
    </row>
    <row r="747" spans="1:14" s="430" customFormat="1" ht="15.75" thickBot="1" x14ac:dyDescent="0.3">
      <c r="A747" s="325"/>
      <c r="B747" s="443"/>
      <c r="C747" s="226"/>
      <c r="D747" s="444"/>
      <c r="E747" s="227"/>
      <c r="F747" s="227"/>
      <c r="G747" s="227"/>
      <c r="H747" s="227"/>
      <c r="I747" s="227"/>
      <c r="J747" s="227"/>
      <c r="K747" s="327"/>
      <c r="L747" s="327"/>
      <c r="M747" s="327"/>
      <c r="N747" s="327"/>
    </row>
    <row r="748" spans="1:14" s="447" customFormat="1" ht="15.75" thickBot="1" x14ac:dyDescent="0.3">
      <c r="A748" s="445"/>
      <c r="B748" s="446"/>
      <c r="C748" s="362"/>
      <c r="D748" s="364"/>
      <c r="E748" s="361"/>
      <c r="F748" s="361"/>
      <c r="G748" s="361"/>
      <c r="H748" s="361"/>
      <c r="I748" s="361"/>
      <c r="J748" s="361"/>
      <c r="K748" s="360">
        <f>K281-SUM(K683:K746)</f>
        <v>0</v>
      </c>
      <c r="L748" s="360">
        <f t="shared" ref="L748:N748" si="51">L281-SUM(L683:L746)</f>
        <v>0</v>
      </c>
      <c r="M748" s="360">
        <f t="shared" si="51"/>
        <v>0</v>
      </c>
      <c r="N748" s="360">
        <f t="shared" si="51"/>
        <v>0</v>
      </c>
    </row>
  </sheetData>
  <autoFilter ref="A27:N641"/>
  <sortState ref="A28:N194">
    <sortCondition ref="B28:B194"/>
    <sortCondition ref="C28:C194"/>
  </sortState>
  <dataValidations xWindow="173" yWindow="747" count="11">
    <dataValidation type="date" errorStyle="warning" allowBlank="1" showInputMessage="1" showErrorMessage="1" errorTitle="End Date" error="Enter the end date." promptTitle="End Date" prompt="Enter the End Date" sqref="I28:I178 I180:I280 H179">
      <formula1>42552</formula1>
      <formula2>42916</formula2>
    </dataValidation>
    <dataValidation type="date" errorStyle="warning" allowBlank="1" showInputMessage="1" showErrorMessage="1" errorTitle="Start Date" error="Enter the start date." promptTitle="Start Date" prompt="Enter the Start Date." sqref="H28:H178 H180:H280 G179">
      <formula1>42552</formula1>
      <formula2>42916</formula2>
    </dataValidation>
    <dataValidation type="list" allowBlank="1" showInputMessage="1" showErrorMessage="1" errorTitle="Error" error="You must choose Yes or No." promptTitle="Existing Contract" prompt="Yes or No" sqref="I281">
      <formula1>Existing</formula1>
    </dataValidation>
    <dataValidation type="list" allowBlank="1" showInputMessage="1" showErrorMessage="1" errorTitle="Error" error="You must choose a funding source from the list." promptTitle="Funding Source" prompt="Choose the appropriate funding source." sqref="C28:C280">
      <formula1>Funding</formula1>
    </dataValidation>
    <dataValidation type="list" allowBlank="1" showInputMessage="1" showErrorMessage="1" errorTitle="Error" error="You must choose a budget unit from the list." promptTitle="Budget Unit" prompt="Choose the appropriate budget unit." sqref="B28:B280">
      <formula1>Budgets</formula1>
    </dataValidation>
    <dataValidation type="list" allowBlank="1" showInputMessage="1" showErrorMessage="1" errorTitle="Error" error="You must choose from the list." promptTitle="Type of Supply/Services" prompt="Chose the type of supply/service from the list." sqref="J180:J280 J28:J178 I179">
      <formula1>OtherExpenses</formula1>
    </dataValidation>
    <dataValidation errorStyle="warning" allowBlank="1" showInputMessage="1" showErrorMessage="1" errorTitle="Vendor/Supplier" error="Enter the vendor/supplier." promptTitle="Vendor/Supplier" prompt="Enter the supplier's name if applicable." sqref="F28:F280"/>
    <dataValidation allowBlank="1" showInputMessage="1" showErrorMessage="1" promptTitle="Old Contractor" prompt="Enter the old contractor's name if applicable." sqref="D281"/>
    <dataValidation allowBlank="1" showInputMessage="1" showErrorMessage="1" promptTitle="Contract End Date" prompt="Enter the Contract End Date" sqref="H281"/>
    <dataValidation allowBlank="1" showInputMessage="1" showErrorMessage="1" promptTitle="Contract Start Date" prompt="Enter the Contract Start Date." sqref="G281"/>
    <dataValidation type="list" errorStyle="warning" allowBlank="1" showInputMessage="1" showErrorMessage="1" errorTitle="Warning" error="Choose the appropriate option." promptTitle="Existing/State Contract" prompt="Select the most appropriate answer. If there is an existing LHC contract, enter the contract number (see Sharepoint)." sqref="E28:E280">
      <formula1>ContractStatus</formula1>
    </dataValidation>
  </dataValidations>
  <printOptions horizontalCentered="1"/>
  <pageMargins left="0.2" right="0.2" top="0.5" bottom="0.5" header="0.3" footer="0.3"/>
  <pageSetup scale="60" orientation="landscape"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5"/>
  <sheetViews>
    <sheetView topLeftCell="B40" zoomScale="75" zoomScaleNormal="75" workbookViewId="0">
      <selection activeCell="O70" sqref="O70"/>
    </sheetView>
  </sheetViews>
  <sheetFormatPr defaultRowHeight="15" x14ac:dyDescent="0.25"/>
  <cols>
    <col min="1" max="1" width="9.7109375" style="4" hidden="1" customWidth="1"/>
    <col min="2" max="3" width="17.140625" style="3" customWidth="1"/>
    <col min="4" max="4" width="42.42578125" style="4" customWidth="1"/>
    <col min="5" max="5" width="19" style="4" customWidth="1"/>
    <col min="6" max="6" width="28.140625" style="4" customWidth="1"/>
    <col min="7" max="7" width="33.28515625" style="4" hidden="1" customWidth="1"/>
    <col min="8" max="8" width="17.85546875" style="4" customWidth="1"/>
    <col min="9" max="9" width="11.140625" style="4" hidden="1" customWidth="1"/>
    <col min="10" max="10" width="15.7109375" style="4" customWidth="1"/>
    <col min="11" max="11" width="13.140625" style="4" hidden="1" customWidth="1"/>
    <col min="12" max="12" width="13" style="4" customWidth="1"/>
    <col min="13" max="14" width="14.5703125" style="4" customWidth="1"/>
    <col min="15" max="20" width="9.140625" style="4" customWidth="1"/>
    <col min="21" max="16384" width="9.140625" style="4"/>
  </cols>
  <sheetData>
    <row r="1" spans="1:14" ht="19.5" thickBot="1" x14ac:dyDescent="0.35">
      <c r="A1" s="27" t="s">
        <v>727</v>
      </c>
      <c r="B1" s="646" t="s">
        <v>540</v>
      </c>
      <c r="D1" s="3"/>
      <c r="E1" s="3"/>
      <c r="F1" s="3"/>
      <c r="G1" s="3"/>
      <c r="H1" s="3"/>
      <c r="I1" s="3"/>
      <c r="J1" s="3"/>
      <c r="K1" s="3"/>
      <c r="L1" s="3"/>
      <c r="M1" s="3"/>
      <c r="N1" s="3"/>
    </row>
    <row r="2" spans="1:14" ht="19.5" thickBot="1" x14ac:dyDescent="0.35">
      <c r="A2" s="27"/>
      <c r="D2" s="3"/>
      <c r="E2" s="3"/>
      <c r="F2" s="643" t="s">
        <v>1410</v>
      </c>
      <c r="G2" s="644"/>
      <c r="H2" s="645" t="s">
        <v>575</v>
      </c>
      <c r="I2" s="3"/>
      <c r="J2" s="3"/>
      <c r="K2" s="3"/>
      <c r="L2" s="3"/>
      <c r="M2" s="3"/>
      <c r="N2" s="3"/>
    </row>
    <row r="3" spans="1:14" customFormat="1" ht="18.75" x14ac:dyDescent="0.3">
      <c r="A3" s="4"/>
      <c r="B3" s="96" t="s">
        <v>515</v>
      </c>
      <c r="C3" s="87"/>
      <c r="D3" s="88"/>
      <c r="E3" s="238">
        <f>E4+E11+E14+E15+E16+E19+E22+E23+E24+E25</f>
        <v>100150</v>
      </c>
      <c r="F3" s="594">
        <f t="shared" ref="F3:H3" si="0">F4+F11+F14+F15+F16+F19+F22+F23+F24+F25</f>
        <v>21300</v>
      </c>
      <c r="G3" s="239">
        <f t="shared" si="0"/>
        <v>0</v>
      </c>
      <c r="H3" s="91">
        <f t="shared" si="0"/>
        <v>78850</v>
      </c>
    </row>
    <row r="4" spans="1:14" customFormat="1" ht="15" customHeight="1" x14ac:dyDescent="0.25">
      <c r="A4" s="4"/>
      <c r="B4" s="648" t="s">
        <v>511</v>
      </c>
      <c r="C4" s="649"/>
      <c r="D4" s="29"/>
      <c r="E4" s="239">
        <f>SUM(E5:E10)</f>
        <v>46450</v>
      </c>
      <c r="F4" s="594">
        <f t="shared" ref="F4:H4" si="1">SUM(F5:F10)</f>
        <v>0</v>
      </c>
      <c r="G4" s="239">
        <f t="shared" si="1"/>
        <v>0</v>
      </c>
      <c r="H4" s="91">
        <f t="shared" si="1"/>
        <v>46450</v>
      </c>
    </row>
    <row r="5" spans="1:14" customFormat="1" ht="15" customHeight="1" x14ac:dyDescent="0.25">
      <c r="A5" s="4"/>
      <c r="B5" s="648"/>
      <c r="C5" s="649" t="s">
        <v>513</v>
      </c>
      <c r="D5" s="29"/>
      <c r="E5" s="239">
        <f>N278+N296</f>
        <v>5150</v>
      </c>
      <c r="F5" s="594">
        <f>N296</f>
        <v>0</v>
      </c>
      <c r="G5" s="239">
        <f t="shared" ref="G5" si="2">P278+P296</f>
        <v>0</v>
      </c>
      <c r="H5" s="91">
        <f>N278</f>
        <v>5150</v>
      </c>
    </row>
    <row r="6" spans="1:14" customFormat="1" ht="15" customHeight="1" x14ac:dyDescent="0.25">
      <c r="A6" s="4"/>
      <c r="B6" s="648"/>
      <c r="C6" s="649" t="s">
        <v>32</v>
      </c>
      <c r="D6" s="29"/>
      <c r="E6" s="239">
        <f>N280+N298</f>
        <v>1000</v>
      </c>
      <c r="F6" s="594">
        <f>N298</f>
        <v>0</v>
      </c>
      <c r="G6" s="239">
        <f t="shared" ref="G6" si="3">P280+P298</f>
        <v>0</v>
      </c>
      <c r="H6" s="91">
        <f>N280</f>
        <v>1000</v>
      </c>
    </row>
    <row r="7" spans="1:14" customFormat="1" ht="15" customHeight="1" x14ac:dyDescent="0.25">
      <c r="A7" s="4"/>
      <c r="B7" s="648"/>
      <c r="C7" s="649" t="s">
        <v>536</v>
      </c>
      <c r="D7" s="29"/>
      <c r="E7" s="239">
        <f>N286+N304</f>
        <v>300</v>
      </c>
      <c r="F7" s="594">
        <f>N304</f>
        <v>0</v>
      </c>
      <c r="G7" s="239">
        <f t="shared" ref="G7" si="4">P286+P304</f>
        <v>0</v>
      </c>
      <c r="H7" s="91">
        <f>N286</f>
        <v>300</v>
      </c>
    </row>
    <row r="8" spans="1:14" customFormat="1" ht="15" customHeight="1" x14ac:dyDescent="0.25">
      <c r="A8" s="4"/>
      <c r="B8" s="648"/>
      <c r="C8" s="649" t="s">
        <v>36</v>
      </c>
      <c r="D8" s="29"/>
      <c r="E8" s="239">
        <f>N287+N305</f>
        <v>5000</v>
      </c>
      <c r="F8" s="594">
        <f>N305</f>
        <v>0</v>
      </c>
      <c r="G8" s="239">
        <f t="shared" ref="G8" si="5">P287+P305</f>
        <v>0</v>
      </c>
      <c r="H8" s="91">
        <f>N287</f>
        <v>5000</v>
      </c>
    </row>
    <row r="9" spans="1:14" customFormat="1" ht="15" customHeight="1" x14ac:dyDescent="0.25">
      <c r="A9" s="4"/>
      <c r="B9" s="648"/>
      <c r="C9" s="649" t="s">
        <v>683</v>
      </c>
      <c r="D9" s="29"/>
      <c r="E9" s="239">
        <f>N291+N309</f>
        <v>35000</v>
      </c>
      <c r="F9" s="594">
        <f>N309</f>
        <v>0</v>
      </c>
      <c r="G9" s="239">
        <f t="shared" ref="G9" si="6">P291+P309</f>
        <v>0</v>
      </c>
      <c r="H9" s="91">
        <f>N291</f>
        <v>35000</v>
      </c>
    </row>
    <row r="10" spans="1:14" customFormat="1" ht="15" customHeight="1" x14ac:dyDescent="0.25">
      <c r="A10" s="4"/>
      <c r="B10" s="648"/>
      <c r="C10" s="649" t="s">
        <v>35</v>
      </c>
      <c r="D10" s="29"/>
      <c r="E10" s="239">
        <f>N293+N311</f>
        <v>0</v>
      </c>
      <c r="F10" s="594">
        <f>N311</f>
        <v>0</v>
      </c>
      <c r="G10" s="239">
        <f t="shared" ref="G10" si="7">P293+P311</f>
        <v>0</v>
      </c>
      <c r="H10" s="91">
        <f>N293</f>
        <v>0</v>
      </c>
    </row>
    <row r="11" spans="1:14" customFormat="1" ht="15" customHeight="1" x14ac:dyDescent="0.25">
      <c r="A11" s="4"/>
      <c r="B11" s="648" t="s">
        <v>514</v>
      </c>
      <c r="C11" s="649"/>
      <c r="D11" s="29"/>
      <c r="E11" s="239">
        <f>SUM(E12:E13)</f>
        <v>3500</v>
      </c>
      <c r="F11" s="594">
        <f t="shared" ref="F11:H11" si="8">SUM(F12:F13)</f>
        <v>0</v>
      </c>
      <c r="G11" s="239">
        <f t="shared" si="8"/>
        <v>0</v>
      </c>
      <c r="H11" s="91">
        <f t="shared" si="8"/>
        <v>3500</v>
      </c>
    </row>
    <row r="12" spans="1:14" customFormat="1" ht="15" customHeight="1" x14ac:dyDescent="0.25">
      <c r="A12" s="4"/>
      <c r="B12" s="648"/>
      <c r="C12" s="649" t="s">
        <v>682</v>
      </c>
      <c r="D12" s="29"/>
      <c r="E12" s="239">
        <f>N281+N299</f>
        <v>3000</v>
      </c>
      <c r="F12" s="594">
        <f>N299</f>
        <v>0</v>
      </c>
      <c r="G12" s="239">
        <f t="shared" ref="G12" si="9">P281+P299</f>
        <v>0</v>
      </c>
      <c r="H12" s="91">
        <f>N281</f>
        <v>3000</v>
      </c>
    </row>
    <row r="13" spans="1:14" customFormat="1" ht="15" customHeight="1" x14ac:dyDescent="0.25">
      <c r="A13" s="4"/>
      <c r="B13" s="648"/>
      <c r="C13" s="649" t="s">
        <v>41</v>
      </c>
      <c r="D13" s="29"/>
      <c r="E13" s="239">
        <f>N282+N300</f>
        <v>500</v>
      </c>
      <c r="F13" s="594">
        <f>N300</f>
        <v>0</v>
      </c>
      <c r="G13" s="239">
        <f t="shared" ref="G13" si="10">P282+P300</f>
        <v>0</v>
      </c>
      <c r="H13" s="91">
        <f>N282</f>
        <v>500</v>
      </c>
    </row>
    <row r="14" spans="1:14" customFormat="1" ht="15" customHeight="1" x14ac:dyDescent="0.3">
      <c r="A14" s="4"/>
      <c r="B14" s="648" t="s">
        <v>775</v>
      </c>
      <c r="C14" s="649"/>
      <c r="D14" s="29"/>
      <c r="E14" s="215">
        <f>N283+N301</f>
        <v>5050</v>
      </c>
      <c r="F14" s="594">
        <f>N301</f>
        <v>0</v>
      </c>
      <c r="G14" s="239">
        <f t="shared" ref="G14" si="11">P283+P301</f>
        <v>0</v>
      </c>
      <c r="H14" s="91">
        <f>N283</f>
        <v>5050</v>
      </c>
    </row>
    <row r="15" spans="1:14" customFormat="1" ht="15" customHeight="1" x14ac:dyDescent="0.3">
      <c r="A15" s="4"/>
      <c r="B15" s="648" t="s">
        <v>660</v>
      </c>
      <c r="C15" s="649"/>
      <c r="D15" s="29"/>
      <c r="E15" s="215">
        <f>N284+N302</f>
        <v>3000</v>
      </c>
      <c r="F15" s="594">
        <f>N302</f>
        <v>0</v>
      </c>
      <c r="G15" s="239">
        <f t="shared" ref="G15" si="12">P284+P302</f>
        <v>0</v>
      </c>
      <c r="H15" s="91">
        <f>N284</f>
        <v>3000</v>
      </c>
    </row>
    <row r="16" spans="1:14" customFormat="1" ht="15" customHeight="1" x14ac:dyDescent="0.3">
      <c r="A16" s="4"/>
      <c r="B16" s="648" t="s">
        <v>518</v>
      </c>
      <c r="C16" s="649"/>
      <c r="D16" s="29"/>
      <c r="E16" s="215">
        <f>SUM(E17:E18)</f>
        <v>30900</v>
      </c>
      <c r="F16" s="594">
        <f t="shared" ref="F16:H16" si="13">SUM(F17:F18)</f>
        <v>21300</v>
      </c>
      <c r="G16" s="239">
        <f t="shared" si="13"/>
        <v>0</v>
      </c>
      <c r="H16" s="91">
        <f t="shared" si="13"/>
        <v>9600</v>
      </c>
    </row>
    <row r="17" spans="1:17" customFormat="1" ht="15" customHeight="1" x14ac:dyDescent="0.3">
      <c r="A17" s="4"/>
      <c r="B17" s="648"/>
      <c r="C17" s="649" t="s">
        <v>512</v>
      </c>
      <c r="D17" s="29"/>
      <c r="E17" s="215">
        <f>N279+N297</f>
        <v>26000</v>
      </c>
      <c r="F17" s="594">
        <f>N297</f>
        <v>20000</v>
      </c>
      <c r="G17" s="239">
        <f t="shared" ref="G17" si="14">P279+P297</f>
        <v>0</v>
      </c>
      <c r="H17" s="91">
        <f>N279</f>
        <v>6000</v>
      </c>
    </row>
    <row r="18" spans="1:17" customFormat="1" ht="15" customHeight="1" x14ac:dyDescent="0.3">
      <c r="A18" s="4"/>
      <c r="B18" s="648"/>
      <c r="C18" s="649" t="s">
        <v>29</v>
      </c>
      <c r="D18" s="29"/>
      <c r="E18" s="215">
        <f>N285+N303</f>
        <v>4900</v>
      </c>
      <c r="F18" s="594">
        <f>N303</f>
        <v>1300</v>
      </c>
      <c r="G18" s="239">
        <f t="shared" ref="G18" si="15">P285+P303</f>
        <v>0</v>
      </c>
      <c r="H18" s="91">
        <f>N285</f>
        <v>3600</v>
      </c>
    </row>
    <row r="19" spans="1:17" customFormat="1" ht="15" customHeight="1" x14ac:dyDescent="0.3">
      <c r="A19" s="4"/>
      <c r="B19" s="648" t="s">
        <v>519</v>
      </c>
      <c r="C19" s="649"/>
      <c r="D19" s="29"/>
      <c r="E19" s="215">
        <f>SUM(E20:E21)</f>
        <v>600</v>
      </c>
      <c r="F19" s="594">
        <f t="shared" ref="F19:H19" si="16">SUM(F20:F21)</f>
        <v>0</v>
      </c>
      <c r="G19" s="239">
        <f t="shared" si="16"/>
        <v>0</v>
      </c>
      <c r="H19" s="91">
        <f t="shared" si="16"/>
        <v>600</v>
      </c>
    </row>
    <row r="20" spans="1:17" customFormat="1" ht="15" customHeight="1" x14ac:dyDescent="0.3">
      <c r="A20" s="4"/>
      <c r="B20" s="648"/>
      <c r="C20" s="649" t="s">
        <v>526</v>
      </c>
      <c r="D20" s="29"/>
      <c r="E20" s="215">
        <f>N294</f>
        <v>400</v>
      </c>
      <c r="F20" s="594">
        <f>N312</f>
        <v>0</v>
      </c>
      <c r="G20" s="239">
        <f t="shared" ref="G20" si="17">P294</f>
        <v>0</v>
      </c>
      <c r="H20" s="91">
        <f>N294</f>
        <v>400</v>
      </c>
    </row>
    <row r="21" spans="1:17" customFormat="1" ht="15" customHeight="1" x14ac:dyDescent="0.3">
      <c r="A21" s="4"/>
      <c r="B21" s="648"/>
      <c r="C21" s="649" t="s">
        <v>525</v>
      </c>
      <c r="D21" s="29"/>
      <c r="E21" s="215">
        <f>N295</f>
        <v>200</v>
      </c>
      <c r="F21" s="594">
        <f>N313</f>
        <v>0</v>
      </c>
      <c r="G21" s="239">
        <f t="shared" ref="G21" si="18">P295</f>
        <v>0</v>
      </c>
      <c r="H21" s="91">
        <f>N295</f>
        <v>200</v>
      </c>
    </row>
    <row r="22" spans="1:17" customFormat="1" ht="15" customHeight="1" x14ac:dyDescent="0.3">
      <c r="A22" s="4"/>
      <c r="B22" s="648" t="s">
        <v>31</v>
      </c>
      <c r="C22" s="649"/>
      <c r="D22" s="29"/>
      <c r="E22" s="215">
        <f>N288+N306</f>
        <v>2000</v>
      </c>
      <c r="F22" s="594">
        <f>N306</f>
        <v>0</v>
      </c>
      <c r="G22" s="239">
        <f t="shared" ref="G22" si="19">P288+P306</f>
        <v>0</v>
      </c>
      <c r="H22" s="91">
        <f>N288</f>
        <v>2000</v>
      </c>
    </row>
    <row r="23" spans="1:17" customFormat="1" ht="15" customHeight="1" x14ac:dyDescent="0.3">
      <c r="A23" s="4"/>
      <c r="B23" s="648" t="s">
        <v>516</v>
      </c>
      <c r="C23" s="649"/>
      <c r="D23" s="29"/>
      <c r="E23" s="215">
        <f>N289+N307</f>
        <v>400</v>
      </c>
      <c r="F23" s="594">
        <f>N307</f>
        <v>0</v>
      </c>
      <c r="G23" s="239">
        <f t="shared" ref="G23" si="20">P289+P307</f>
        <v>0</v>
      </c>
      <c r="H23" s="91">
        <f>N289</f>
        <v>400</v>
      </c>
    </row>
    <row r="24" spans="1:17" customFormat="1" ht="15" customHeight="1" x14ac:dyDescent="0.3">
      <c r="A24" s="4"/>
      <c r="B24" s="648" t="s">
        <v>517</v>
      </c>
      <c r="C24" s="649"/>
      <c r="D24" s="29"/>
      <c r="E24" s="215">
        <f>N290+N308</f>
        <v>8000</v>
      </c>
      <c r="F24" s="594">
        <f>N308</f>
        <v>0</v>
      </c>
      <c r="G24" s="239">
        <f t="shared" ref="G24" si="21">P290+P308</f>
        <v>0</v>
      </c>
      <c r="H24" s="91">
        <f>N290</f>
        <v>8000</v>
      </c>
    </row>
    <row r="25" spans="1:17" customFormat="1" ht="15" customHeight="1" thickBot="1" x14ac:dyDescent="0.35">
      <c r="A25" s="4"/>
      <c r="B25" s="650" t="s">
        <v>759</v>
      </c>
      <c r="C25" s="651"/>
      <c r="D25" s="94"/>
      <c r="E25" s="216">
        <f>N292+N310</f>
        <v>250</v>
      </c>
      <c r="F25" s="595">
        <f>N310</f>
        <v>0</v>
      </c>
      <c r="G25" s="421">
        <f t="shared" ref="G25" si="22">P292+P310</f>
        <v>0</v>
      </c>
      <c r="H25" s="422">
        <f>N292</f>
        <v>250</v>
      </c>
    </row>
    <row r="26" spans="1:17" ht="19.5" thickBot="1" x14ac:dyDescent="0.35">
      <c r="A26" s="27"/>
      <c r="D26" s="3"/>
      <c r="E26" s="3"/>
      <c r="F26" s="3"/>
      <c r="G26" s="3"/>
      <c r="H26" s="3"/>
      <c r="I26" s="3"/>
      <c r="J26" s="3"/>
      <c r="K26" s="3"/>
      <c r="L26" s="3"/>
      <c r="M26" s="3"/>
      <c r="N26" s="3"/>
      <c r="O26" s="3"/>
      <c r="P26" s="3"/>
      <c r="Q26" s="3"/>
    </row>
    <row r="27" spans="1:17" ht="30.75" thickTop="1" x14ac:dyDescent="0.25">
      <c r="A27" s="5" t="s">
        <v>464</v>
      </c>
      <c r="B27" s="8" t="s">
        <v>379</v>
      </c>
      <c r="C27" s="8" t="s">
        <v>15</v>
      </c>
      <c r="D27" s="6" t="s">
        <v>8</v>
      </c>
      <c r="E27" s="6" t="s">
        <v>500</v>
      </c>
      <c r="F27" s="6" t="s">
        <v>508</v>
      </c>
      <c r="G27" s="6" t="s">
        <v>10</v>
      </c>
      <c r="H27" s="6" t="s">
        <v>501</v>
      </c>
      <c r="I27" s="6" t="s">
        <v>502</v>
      </c>
      <c r="J27" s="6" t="s">
        <v>506</v>
      </c>
      <c r="K27" s="7" t="s">
        <v>503</v>
      </c>
      <c r="L27" s="6" t="s">
        <v>14</v>
      </c>
      <c r="M27" s="6" t="s">
        <v>474</v>
      </c>
      <c r="N27" s="8" t="s">
        <v>504</v>
      </c>
    </row>
    <row r="28" spans="1:17" x14ac:dyDescent="0.25">
      <c r="A28" s="254">
        <f t="shared" ref="A28:A45" si="23">VLOOKUP(J28,SuppliesExpCodes,2)</f>
        <v>6370</v>
      </c>
      <c r="B28" s="518" t="s">
        <v>28</v>
      </c>
      <c r="C28" s="518" t="s">
        <v>692</v>
      </c>
      <c r="D28" s="518" t="s">
        <v>1003</v>
      </c>
      <c r="E28" s="518" t="s">
        <v>17</v>
      </c>
      <c r="F28" s="518" t="s">
        <v>1004</v>
      </c>
      <c r="G28" s="518" t="s">
        <v>1005</v>
      </c>
      <c r="H28" s="596"/>
      <c r="I28" s="596"/>
      <c r="J28" s="518" t="s">
        <v>575</v>
      </c>
      <c r="K28" s="520">
        <v>314</v>
      </c>
      <c r="L28" s="520">
        <v>300.36</v>
      </c>
      <c r="M28" s="520">
        <v>300.36</v>
      </c>
      <c r="N28" s="520">
        <v>600</v>
      </c>
      <c r="O28" s="4" t="s">
        <v>1287</v>
      </c>
    </row>
    <row r="29" spans="1:17" x14ac:dyDescent="0.25">
      <c r="A29" s="254">
        <f t="shared" si="23"/>
        <v>6370</v>
      </c>
      <c r="B29" s="518" t="s">
        <v>28</v>
      </c>
      <c r="C29" s="518" t="s">
        <v>692</v>
      </c>
      <c r="D29" s="467" t="s">
        <v>1006</v>
      </c>
      <c r="E29" s="467" t="s">
        <v>17</v>
      </c>
      <c r="F29" s="467" t="s">
        <v>881</v>
      </c>
      <c r="G29" s="467" t="s">
        <v>1007</v>
      </c>
      <c r="H29" s="466"/>
      <c r="I29" s="466"/>
      <c r="J29" s="467" t="s">
        <v>575</v>
      </c>
      <c r="K29" s="586"/>
      <c r="L29" s="520">
        <v>2753.96</v>
      </c>
      <c r="M29" s="520">
        <v>3900</v>
      </c>
      <c r="N29" s="520">
        <v>3700</v>
      </c>
      <c r="O29" s="4" t="s">
        <v>1287</v>
      </c>
    </row>
    <row r="30" spans="1:17" x14ac:dyDescent="0.25">
      <c r="A30" s="350">
        <f t="shared" si="23"/>
        <v>6370</v>
      </c>
      <c r="B30" s="518" t="s">
        <v>28</v>
      </c>
      <c r="C30" s="518" t="s">
        <v>692</v>
      </c>
      <c r="D30" s="467" t="s">
        <v>1008</v>
      </c>
      <c r="E30" s="467" t="s">
        <v>17</v>
      </c>
      <c r="F30" s="588" t="s">
        <v>1009</v>
      </c>
      <c r="G30" s="467" t="s">
        <v>1010</v>
      </c>
      <c r="H30" s="466"/>
      <c r="I30" s="466"/>
      <c r="J30" s="467" t="s">
        <v>575</v>
      </c>
      <c r="K30" s="586">
        <v>101.22</v>
      </c>
      <c r="L30" s="520">
        <v>101.11</v>
      </c>
      <c r="M30" s="520">
        <v>101.11</v>
      </c>
      <c r="N30" s="520">
        <v>100</v>
      </c>
      <c r="O30" s="4" t="s">
        <v>1287</v>
      </c>
    </row>
    <row r="31" spans="1:17" ht="30" x14ac:dyDescent="0.25">
      <c r="A31" s="431">
        <f t="shared" si="23"/>
        <v>6370</v>
      </c>
      <c r="B31" s="518" t="s">
        <v>28</v>
      </c>
      <c r="C31" s="518" t="s">
        <v>692</v>
      </c>
      <c r="D31" s="467" t="s">
        <v>1011</v>
      </c>
      <c r="E31" s="467" t="s">
        <v>17</v>
      </c>
      <c r="F31" s="588" t="s">
        <v>1012</v>
      </c>
      <c r="G31" s="588" t="s">
        <v>1013</v>
      </c>
      <c r="H31" s="466"/>
      <c r="I31" s="466"/>
      <c r="J31" s="467" t="s">
        <v>575</v>
      </c>
      <c r="K31" s="586">
        <v>129</v>
      </c>
      <c r="L31" s="520">
        <v>129</v>
      </c>
      <c r="M31" s="520">
        <v>129</v>
      </c>
      <c r="N31" s="520">
        <v>150</v>
      </c>
      <c r="O31" s="4" t="s">
        <v>1287</v>
      </c>
    </row>
    <row r="32" spans="1:17" s="430" customFormat="1" x14ac:dyDescent="0.25">
      <c r="A32" s="431">
        <f t="shared" si="23"/>
        <v>6370</v>
      </c>
      <c r="B32" s="518" t="s">
        <v>28</v>
      </c>
      <c r="C32" s="518" t="s">
        <v>692</v>
      </c>
      <c r="D32" s="467" t="s">
        <v>1014</v>
      </c>
      <c r="E32" s="467" t="s">
        <v>17</v>
      </c>
      <c r="F32" s="588" t="s">
        <v>872</v>
      </c>
      <c r="G32" s="588"/>
      <c r="H32" s="466"/>
      <c r="I32" s="466"/>
      <c r="J32" s="467" t="s">
        <v>575</v>
      </c>
      <c r="K32" s="586">
        <v>529.32000000000005</v>
      </c>
      <c r="L32" s="520"/>
      <c r="M32" s="520"/>
      <c r="N32" s="520">
        <v>600</v>
      </c>
      <c r="O32" s="430" t="s">
        <v>1287</v>
      </c>
    </row>
    <row r="33" spans="1:15" x14ac:dyDescent="0.25">
      <c r="A33" s="356">
        <f t="shared" si="23"/>
        <v>6370</v>
      </c>
      <c r="B33" s="518" t="s">
        <v>27</v>
      </c>
      <c r="C33" s="518" t="s">
        <v>62</v>
      </c>
      <c r="D33" s="518" t="s">
        <v>1094</v>
      </c>
      <c r="E33" s="518" t="s">
        <v>17</v>
      </c>
      <c r="F33" s="518" t="s">
        <v>1095</v>
      </c>
      <c r="G33" s="518"/>
      <c r="H33" s="596">
        <v>42552</v>
      </c>
      <c r="I33" s="596">
        <v>42916</v>
      </c>
      <c r="J33" s="518" t="s">
        <v>575</v>
      </c>
      <c r="K33" s="520">
        <v>9000</v>
      </c>
      <c r="L33" s="520">
        <v>0</v>
      </c>
      <c r="M33" s="520">
        <v>1000</v>
      </c>
      <c r="N33" s="520">
        <v>1200</v>
      </c>
      <c r="O33" s="4" t="s">
        <v>1287</v>
      </c>
    </row>
    <row r="34" spans="1:15" x14ac:dyDescent="0.25">
      <c r="A34" s="356">
        <f t="shared" si="23"/>
        <v>6370</v>
      </c>
      <c r="B34" s="518" t="s">
        <v>27</v>
      </c>
      <c r="C34" s="518" t="s">
        <v>62</v>
      </c>
      <c r="D34" s="467" t="s">
        <v>1096</v>
      </c>
      <c r="E34" s="467" t="s">
        <v>17</v>
      </c>
      <c r="F34" s="467" t="s">
        <v>1097</v>
      </c>
      <c r="G34" s="467"/>
      <c r="H34" s="466">
        <v>42552</v>
      </c>
      <c r="I34" s="466">
        <v>42916</v>
      </c>
      <c r="J34" s="467" t="s">
        <v>575</v>
      </c>
      <c r="K34" s="586">
        <v>3000</v>
      </c>
      <c r="L34" s="520">
        <v>0</v>
      </c>
      <c r="M34" s="520">
        <v>1000</v>
      </c>
      <c r="N34" s="520">
        <v>1200</v>
      </c>
      <c r="O34" s="4" t="s">
        <v>1287</v>
      </c>
    </row>
    <row r="35" spans="1:15" x14ac:dyDescent="0.25">
      <c r="A35" s="356">
        <f t="shared" si="23"/>
        <v>6370</v>
      </c>
      <c r="B35" s="518" t="s">
        <v>27</v>
      </c>
      <c r="C35" s="518" t="s">
        <v>62</v>
      </c>
      <c r="D35" s="467" t="s">
        <v>1098</v>
      </c>
      <c r="E35" s="467" t="s">
        <v>17</v>
      </c>
      <c r="F35" s="588" t="s">
        <v>1099</v>
      </c>
      <c r="G35" s="588"/>
      <c r="H35" s="466">
        <v>42552</v>
      </c>
      <c r="I35" s="466">
        <v>42916</v>
      </c>
      <c r="J35" s="467" t="s">
        <v>575</v>
      </c>
      <c r="K35" s="586"/>
      <c r="L35" s="520"/>
      <c r="M35" s="520"/>
      <c r="N35" s="520">
        <v>1200</v>
      </c>
      <c r="O35" s="4" t="s">
        <v>1287</v>
      </c>
    </row>
    <row r="36" spans="1:15" x14ac:dyDescent="0.25">
      <c r="A36" s="356">
        <f t="shared" si="23"/>
        <v>6370</v>
      </c>
      <c r="B36" s="518" t="s">
        <v>27</v>
      </c>
      <c r="C36" s="518" t="s">
        <v>62</v>
      </c>
      <c r="D36" s="467" t="s">
        <v>1096</v>
      </c>
      <c r="E36" s="467" t="s">
        <v>17</v>
      </c>
      <c r="F36" s="588" t="s">
        <v>1100</v>
      </c>
      <c r="G36" s="588"/>
      <c r="H36" s="466">
        <v>42552</v>
      </c>
      <c r="I36" s="466">
        <v>42916</v>
      </c>
      <c r="J36" s="467" t="s">
        <v>575</v>
      </c>
      <c r="K36" s="586">
        <v>3000</v>
      </c>
      <c r="L36" s="520">
        <v>0</v>
      </c>
      <c r="M36" s="520">
        <v>1000</v>
      </c>
      <c r="N36" s="520">
        <v>1200</v>
      </c>
      <c r="O36" s="4" t="s">
        <v>1287</v>
      </c>
    </row>
    <row r="37" spans="1:15" x14ac:dyDescent="0.25">
      <c r="A37" s="356">
        <f t="shared" si="23"/>
        <v>6370</v>
      </c>
      <c r="B37" s="518" t="s">
        <v>27</v>
      </c>
      <c r="C37" s="518" t="s">
        <v>62</v>
      </c>
      <c r="D37" s="467" t="s">
        <v>1094</v>
      </c>
      <c r="E37" s="467" t="s">
        <v>17</v>
      </c>
      <c r="F37" s="588" t="s">
        <v>1101</v>
      </c>
      <c r="G37" s="588"/>
      <c r="H37" s="466">
        <v>42552</v>
      </c>
      <c r="I37" s="466">
        <v>42916</v>
      </c>
      <c r="J37" s="467" t="s">
        <v>575</v>
      </c>
      <c r="K37" s="586">
        <v>9000</v>
      </c>
      <c r="L37" s="520">
        <v>585.67999999999995</v>
      </c>
      <c r="M37" s="520">
        <v>1500</v>
      </c>
      <c r="N37" s="520">
        <v>1200</v>
      </c>
      <c r="O37" s="4" t="s">
        <v>1287</v>
      </c>
    </row>
    <row r="38" spans="1:15" x14ac:dyDescent="0.25">
      <c r="A38" s="359">
        <f t="shared" si="23"/>
        <v>6390</v>
      </c>
      <c r="B38" s="518" t="s">
        <v>27</v>
      </c>
      <c r="C38" s="518" t="s">
        <v>62</v>
      </c>
      <c r="D38" s="467" t="s">
        <v>1102</v>
      </c>
      <c r="E38" s="467" t="s">
        <v>17</v>
      </c>
      <c r="F38" s="588" t="s">
        <v>1103</v>
      </c>
      <c r="G38" s="588"/>
      <c r="H38" s="466">
        <v>42552</v>
      </c>
      <c r="I38" s="466">
        <v>42916</v>
      </c>
      <c r="J38" s="518" t="s">
        <v>763</v>
      </c>
      <c r="K38" s="586">
        <v>4800</v>
      </c>
      <c r="L38" s="520">
        <v>0</v>
      </c>
      <c r="M38" s="520">
        <v>700</v>
      </c>
      <c r="N38" s="520">
        <v>3000</v>
      </c>
      <c r="O38" s="4" t="s">
        <v>1287</v>
      </c>
    </row>
    <row r="39" spans="1:15" x14ac:dyDescent="0.25">
      <c r="A39" s="359">
        <f t="shared" si="23"/>
        <v>6390</v>
      </c>
      <c r="B39" s="518" t="s">
        <v>27</v>
      </c>
      <c r="C39" s="518" t="s">
        <v>62</v>
      </c>
      <c r="D39" s="467" t="s">
        <v>1102</v>
      </c>
      <c r="E39" s="467" t="s">
        <v>17</v>
      </c>
      <c r="F39" s="588" t="s">
        <v>1104</v>
      </c>
      <c r="G39" s="588"/>
      <c r="H39" s="596">
        <v>42552</v>
      </c>
      <c r="I39" s="596">
        <v>42916</v>
      </c>
      <c r="J39" s="518" t="s">
        <v>763</v>
      </c>
      <c r="K39" s="520">
        <v>12000</v>
      </c>
      <c r="L39" s="520">
        <v>1440.51</v>
      </c>
      <c r="M39" s="520">
        <v>5000</v>
      </c>
      <c r="N39" s="520">
        <v>5000</v>
      </c>
      <c r="O39" s="4" t="s">
        <v>1287</v>
      </c>
    </row>
    <row r="40" spans="1:15" x14ac:dyDescent="0.25">
      <c r="A40" s="359">
        <f t="shared" si="23"/>
        <v>6390</v>
      </c>
      <c r="B40" s="518" t="s">
        <v>27</v>
      </c>
      <c r="C40" s="518" t="s">
        <v>62</v>
      </c>
      <c r="D40" s="467" t="s">
        <v>1102</v>
      </c>
      <c r="E40" s="467" t="s">
        <v>17</v>
      </c>
      <c r="F40" s="588" t="s">
        <v>1105</v>
      </c>
      <c r="G40" s="588"/>
      <c r="H40" s="466">
        <v>42552</v>
      </c>
      <c r="I40" s="466">
        <v>42916</v>
      </c>
      <c r="J40" s="467" t="s">
        <v>763</v>
      </c>
      <c r="K40" s="589">
        <v>18000</v>
      </c>
      <c r="L40" s="516">
        <v>4223.3999999999996</v>
      </c>
      <c r="M40" s="516">
        <v>9000</v>
      </c>
      <c r="N40" s="516">
        <v>12000</v>
      </c>
      <c r="O40" s="4" t="s">
        <v>1287</v>
      </c>
    </row>
    <row r="41" spans="1:15" ht="15" customHeight="1" x14ac:dyDescent="0.25">
      <c r="A41" s="359">
        <f t="shared" si="23"/>
        <v>6370</v>
      </c>
      <c r="B41" s="518" t="s">
        <v>32</v>
      </c>
      <c r="C41" s="518" t="s">
        <v>62</v>
      </c>
      <c r="D41" s="518" t="s">
        <v>575</v>
      </c>
      <c r="E41" s="518" t="s">
        <v>16</v>
      </c>
      <c r="F41" s="518"/>
      <c r="G41" s="518"/>
      <c r="H41" s="596"/>
      <c r="I41" s="596"/>
      <c r="J41" s="518" t="s">
        <v>575</v>
      </c>
      <c r="K41" s="520"/>
      <c r="L41" s="520"/>
      <c r="M41" s="520">
        <v>500</v>
      </c>
      <c r="N41" s="520">
        <v>500</v>
      </c>
      <c r="O41" s="4" t="s">
        <v>1287</v>
      </c>
    </row>
    <row r="42" spans="1:15" x14ac:dyDescent="0.25">
      <c r="A42" s="517">
        <f t="shared" si="23"/>
        <v>6370</v>
      </c>
      <c r="B42" s="518" t="s">
        <v>32</v>
      </c>
      <c r="C42" s="518" t="s">
        <v>62</v>
      </c>
      <c r="D42" s="467" t="s">
        <v>1434</v>
      </c>
      <c r="E42" s="467"/>
      <c r="F42" s="467" t="s">
        <v>1435</v>
      </c>
      <c r="G42" s="467"/>
      <c r="H42" s="466"/>
      <c r="I42" s="466"/>
      <c r="J42" s="467" t="s">
        <v>575</v>
      </c>
      <c r="K42" s="589"/>
      <c r="L42" s="516"/>
      <c r="M42" s="516"/>
      <c r="N42" s="516">
        <v>500</v>
      </c>
      <c r="O42" s="4" t="s">
        <v>1287</v>
      </c>
    </row>
    <row r="43" spans="1:15" x14ac:dyDescent="0.25">
      <c r="A43" s="359">
        <f t="shared" si="23"/>
        <v>6370</v>
      </c>
      <c r="B43" s="518" t="s">
        <v>685</v>
      </c>
      <c r="C43" s="518" t="s">
        <v>114</v>
      </c>
      <c r="D43" s="467" t="s">
        <v>1109</v>
      </c>
      <c r="E43" s="467" t="s">
        <v>17</v>
      </c>
      <c r="F43" s="467" t="s">
        <v>881</v>
      </c>
      <c r="G43" s="467"/>
      <c r="H43" s="466">
        <v>42552</v>
      </c>
      <c r="I43" s="466">
        <v>42916</v>
      </c>
      <c r="J43" s="467" t="s">
        <v>575</v>
      </c>
      <c r="K43" s="586">
        <v>1750</v>
      </c>
      <c r="L43" s="520"/>
      <c r="M43" s="520"/>
      <c r="N43" s="520">
        <v>1750</v>
      </c>
      <c r="O43" s="4" t="s">
        <v>1287</v>
      </c>
    </row>
    <row r="44" spans="1:15" x14ac:dyDescent="0.25">
      <c r="A44" s="369">
        <f t="shared" si="23"/>
        <v>6370</v>
      </c>
      <c r="B44" s="518" t="s">
        <v>685</v>
      </c>
      <c r="C44" s="518" t="s">
        <v>692</v>
      </c>
      <c r="D44" s="518" t="s">
        <v>929</v>
      </c>
      <c r="E44" s="518" t="s">
        <v>17</v>
      </c>
      <c r="F44" s="518" t="s">
        <v>881</v>
      </c>
      <c r="G44" s="518"/>
      <c r="H44" s="596">
        <v>42552</v>
      </c>
      <c r="I44" s="596">
        <v>42916</v>
      </c>
      <c r="J44" s="518" t="s">
        <v>575</v>
      </c>
      <c r="K44" s="520">
        <v>1250</v>
      </c>
      <c r="L44" s="520">
        <v>59.99</v>
      </c>
      <c r="M44" s="520">
        <v>400</v>
      </c>
      <c r="N44" s="520">
        <v>1250</v>
      </c>
      <c r="O44" s="4" t="s">
        <v>1287</v>
      </c>
    </row>
    <row r="45" spans="1:15" x14ac:dyDescent="0.25">
      <c r="A45" s="370">
        <f t="shared" si="23"/>
        <v>6370</v>
      </c>
      <c r="B45" s="518" t="s">
        <v>41</v>
      </c>
      <c r="C45" s="518" t="s">
        <v>62</v>
      </c>
      <c r="D45" s="518" t="s">
        <v>1431</v>
      </c>
      <c r="E45" s="518" t="s">
        <v>16</v>
      </c>
      <c r="F45" s="518"/>
      <c r="G45" s="518"/>
      <c r="H45" s="596"/>
      <c r="I45" s="596"/>
      <c r="J45" s="518" t="s">
        <v>575</v>
      </c>
      <c r="K45" s="520">
        <v>500</v>
      </c>
      <c r="L45" s="516"/>
      <c r="M45" s="516"/>
      <c r="N45" s="516">
        <f>K45</f>
        <v>500</v>
      </c>
      <c r="O45" s="4" t="s">
        <v>1287</v>
      </c>
    </row>
    <row r="46" spans="1:15" x14ac:dyDescent="0.25">
      <c r="A46" s="521">
        <v>6370</v>
      </c>
      <c r="B46" s="518" t="s">
        <v>775</v>
      </c>
      <c r="C46" s="518" t="s">
        <v>159</v>
      </c>
      <c r="D46" s="467" t="s">
        <v>1457</v>
      </c>
      <c r="E46" s="467" t="s">
        <v>17</v>
      </c>
      <c r="F46" s="467"/>
      <c r="G46" s="467"/>
      <c r="H46" s="465"/>
      <c r="I46" s="465"/>
      <c r="J46" s="467" t="s">
        <v>575</v>
      </c>
      <c r="K46" s="586">
        <v>500</v>
      </c>
      <c r="L46" s="520"/>
      <c r="M46" s="520"/>
      <c r="N46" s="520">
        <v>200</v>
      </c>
      <c r="O46" s="4" t="s">
        <v>1287</v>
      </c>
    </row>
    <row r="47" spans="1:15" x14ac:dyDescent="0.25">
      <c r="A47" s="521">
        <v>6370</v>
      </c>
      <c r="B47" s="518" t="s">
        <v>775</v>
      </c>
      <c r="C47" s="518" t="s">
        <v>162</v>
      </c>
      <c r="D47" s="518" t="s">
        <v>1457</v>
      </c>
      <c r="E47" s="518" t="s">
        <v>17</v>
      </c>
      <c r="F47" s="518"/>
      <c r="G47" s="518"/>
      <c r="H47" s="587"/>
      <c r="I47" s="587"/>
      <c r="J47" s="518" t="s">
        <v>575</v>
      </c>
      <c r="K47" s="520">
        <v>1000</v>
      </c>
      <c r="L47" s="520"/>
      <c r="M47" s="520"/>
      <c r="N47" s="520">
        <v>400</v>
      </c>
      <c r="O47" s="4" t="s">
        <v>1287</v>
      </c>
    </row>
    <row r="48" spans="1:15" x14ac:dyDescent="0.25">
      <c r="A48" s="521">
        <v>6370</v>
      </c>
      <c r="B48" s="518" t="s">
        <v>775</v>
      </c>
      <c r="C48" s="518" t="s">
        <v>124</v>
      </c>
      <c r="D48" s="467" t="s">
        <v>1458</v>
      </c>
      <c r="E48" s="467"/>
      <c r="F48" s="588"/>
      <c r="G48" s="588"/>
      <c r="H48" s="465"/>
      <c r="I48" s="465"/>
      <c r="J48" s="467" t="s">
        <v>575</v>
      </c>
      <c r="K48" s="586">
        <v>1220</v>
      </c>
      <c r="L48" s="520"/>
      <c r="M48" s="520"/>
      <c r="N48" s="520">
        <v>450</v>
      </c>
      <c r="O48" s="4" t="s">
        <v>1287</v>
      </c>
    </row>
    <row r="49" spans="1:15" x14ac:dyDescent="0.25">
      <c r="A49" s="419">
        <f>VLOOKUP(J49,SuppliesExpCodes,2)</f>
        <v>6370</v>
      </c>
      <c r="B49" s="518" t="s">
        <v>775</v>
      </c>
      <c r="C49" s="518" t="s">
        <v>125</v>
      </c>
      <c r="D49" s="518"/>
      <c r="E49" s="518" t="s">
        <v>16</v>
      </c>
      <c r="F49" s="518"/>
      <c r="G49" s="518"/>
      <c r="H49" s="596"/>
      <c r="I49" s="596"/>
      <c r="J49" s="518" t="s">
        <v>575</v>
      </c>
      <c r="K49" s="520"/>
      <c r="L49" s="520"/>
      <c r="M49" s="520"/>
      <c r="N49" s="520">
        <v>1000</v>
      </c>
      <c r="O49" s="4" t="s">
        <v>1287</v>
      </c>
    </row>
    <row r="50" spans="1:15" x14ac:dyDescent="0.25">
      <c r="A50" s="419">
        <f>VLOOKUP(J50,SuppliesExpCodes,2)</f>
        <v>6370</v>
      </c>
      <c r="B50" s="518" t="s">
        <v>775</v>
      </c>
      <c r="C50" s="518" t="s">
        <v>692</v>
      </c>
      <c r="D50" s="467" t="s">
        <v>1411</v>
      </c>
      <c r="E50" s="467" t="s">
        <v>17</v>
      </c>
      <c r="F50" s="467"/>
      <c r="G50" s="467"/>
      <c r="H50" s="466"/>
      <c r="I50" s="466"/>
      <c r="J50" s="467" t="s">
        <v>575</v>
      </c>
      <c r="K50" s="586"/>
      <c r="L50" s="520"/>
      <c r="M50" s="520"/>
      <c r="N50" s="520">
        <v>3000</v>
      </c>
      <c r="O50" s="4" t="s">
        <v>1287</v>
      </c>
    </row>
    <row r="51" spans="1:15" x14ac:dyDescent="0.25">
      <c r="A51" s="420">
        <f>VLOOKUP(J51,SuppliesExpCodes,2)</f>
        <v>6370</v>
      </c>
      <c r="B51" s="518" t="s">
        <v>37</v>
      </c>
      <c r="C51" s="518" t="s">
        <v>116</v>
      </c>
      <c r="D51" s="467" t="s">
        <v>1453</v>
      </c>
      <c r="E51" s="467" t="s">
        <v>17</v>
      </c>
      <c r="F51" s="467"/>
      <c r="G51" s="467"/>
      <c r="H51" s="466"/>
      <c r="I51" s="466"/>
      <c r="J51" s="467" t="s">
        <v>575</v>
      </c>
      <c r="K51" s="586"/>
      <c r="L51" s="520"/>
      <c r="M51" s="520"/>
      <c r="N51" s="520">
        <v>1500</v>
      </c>
      <c r="O51" s="4" t="s">
        <v>1287</v>
      </c>
    </row>
    <row r="52" spans="1:15" x14ac:dyDescent="0.25">
      <c r="A52" s="420">
        <f>VLOOKUP(J52,SuppliesExpCodes,2)</f>
        <v>6370</v>
      </c>
      <c r="B52" s="518" t="s">
        <v>37</v>
      </c>
      <c r="C52" s="518" t="s">
        <v>143</v>
      </c>
      <c r="D52" s="518" t="s">
        <v>1453</v>
      </c>
      <c r="E52" s="518" t="s">
        <v>17</v>
      </c>
      <c r="F52" s="518"/>
      <c r="G52" s="518"/>
      <c r="H52" s="596"/>
      <c r="I52" s="596"/>
      <c r="J52" s="518" t="s">
        <v>575</v>
      </c>
      <c r="K52" s="520"/>
      <c r="L52" s="520"/>
      <c r="M52" s="520"/>
      <c r="N52" s="520">
        <v>1500</v>
      </c>
      <c r="O52" s="4" t="s">
        <v>1287</v>
      </c>
    </row>
    <row r="53" spans="1:15" x14ac:dyDescent="0.25">
      <c r="A53" s="429">
        <f>VLOOKUP(J53,SuppliesExpCodes,2)</f>
        <v>6370</v>
      </c>
      <c r="B53" s="518" t="s">
        <v>29</v>
      </c>
      <c r="C53" s="518" t="s">
        <v>692</v>
      </c>
      <c r="D53" s="467" t="s">
        <v>1015</v>
      </c>
      <c r="E53" s="467" t="s">
        <v>17</v>
      </c>
      <c r="F53" s="588" t="s">
        <v>872</v>
      </c>
      <c r="G53" s="588"/>
      <c r="H53" s="466"/>
      <c r="I53" s="466"/>
      <c r="J53" s="518" t="s">
        <v>575</v>
      </c>
      <c r="K53" s="586">
        <v>343.84</v>
      </c>
      <c r="L53" s="520"/>
      <c r="M53" s="520"/>
      <c r="N53" s="520">
        <v>400</v>
      </c>
      <c r="O53" s="4" t="s">
        <v>1287</v>
      </c>
    </row>
    <row r="54" spans="1:15" ht="16.5" customHeight="1" x14ac:dyDescent="0.25">
      <c r="A54" s="429">
        <v>6370</v>
      </c>
      <c r="B54" s="518" t="s">
        <v>29</v>
      </c>
      <c r="C54" s="518" t="s">
        <v>692</v>
      </c>
      <c r="D54" s="518" t="s">
        <v>1037</v>
      </c>
      <c r="E54" s="518"/>
      <c r="F54" s="518" t="s">
        <v>1263</v>
      </c>
      <c r="G54" s="518"/>
      <c r="H54" s="466">
        <v>42552</v>
      </c>
      <c r="I54" s="466">
        <v>42916</v>
      </c>
      <c r="J54" s="518" t="s">
        <v>575</v>
      </c>
      <c r="K54" s="520"/>
      <c r="L54" s="520"/>
      <c r="M54" s="520"/>
      <c r="N54" s="520">
        <v>1000</v>
      </c>
      <c r="O54" s="4" t="s">
        <v>1287</v>
      </c>
    </row>
    <row r="55" spans="1:15" x14ac:dyDescent="0.25">
      <c r="A55" s="429">
        <v>6370</v>
      </c>
      <c r="B55" s="518" t="s">
        <v>29</v>
      </c>
      <c r="C55" s="518" t="s">
        <v>692</v>
      </c>
      <c r="D55" s="467" t="s">
        <v>1037</v>
      </c>
      <c r="E55" s="467"/>
      <c r="F55" s="467" t="s">
        <v>872</v>
      </c>
      <c r="G55" s="467"/>
      <c r="H55" s="466">
        <v>42552</v>
      </c>
      <c r="I55" s="466">
        <v>42916</v>
      </c>
      <c r="J55" s="467" t="s">
        <v>575</v>
      </c>
      <c r="K55" s="586"/>
      <c r="L55" s="520"/>
      <c r="M55" s="520"/>
      <c r="N55" s="520">
        <v>1000</v>
      </c>
      <c r="O55" s="4" t="s">
        <v>1287</v>
      </c>
    </row>
    <row r="56" spans="1:15" x14ac:dyDescent="0.25">
      <c r="A56" s="429">
        <v>6370</v>
      </c>
      <c r="B56" s="518" t="s">
        <v>29</v>
      </c>
      <c r="C56" s="518" t="s">
        <v>692</v>
      </c>
      <c r="D56" s="467" t="s">
        <v>1037</v>
      </c>
      <c r="E56" s="467"/>
      <c r="F56" s="588" t="s">
        <v>881</v>
      </c>
      <c r="G56" s="588"/>
      <c r="H56" s="466">
        <v>42552</v>
      </c>
      <c r="I56" s="466">
        <v>42916</v>
      </c>
      <c r="J56" s="467" t="s">
        <v>575</v>
      </c>
      <c r="K56" s="586"/>
      <c r="L56" s="520">
        <v>838.96</v>
      </c>
      <c r="M56" s="520">
        <v>1200</v>
      </c>
      <c r="N56" s="520">
        <v>1200</v>
      </c>
      <c r="O56" s="4" t="s">
        <v>1287</v>
      </c>
    </row>
    <row r="57" spans="1:15" x14ac:dyDescent="0.25">
      <c r="A57" s="429">
        <v>6390</v>
      </c>
      <c r="B57" s="518" t="s">
        <v>29</v>
      </c>
      <c r="C57" s="518" t="s">
        <v>692</v>
      </c>
      <c r="D57" s="467" t="s">
        <v>1264</v>
      </c>
      <c r="E57" s="467"/>
      <c r="F57" s="588" t="s">
        <v>1265</v>
      </c>
      <c r="G57" s="588"/>
      <c r="H57" s="466">
        <v>42552</v>
      </c>
      <c r="I57" s="466">
        <v>42916</v>
      </c>
      <c r="J57" s="758" t="s">
        <v>763</v>
      </c>
      <c r="K57" s="586">
        <v>4800</v>
      </c>
      <c r="L57" s="520">
        <v>683.55</v>
      </c>
      <c r="M57" s="520">
        <v>1300</v>
      </c>
      <c r="N57" s="756">
        <v>1300</v>
      </c>
      <c r="O57" s="4" t="s">
        <v>1287</v>
      </c>
    </row>
    <row r="58" spans="1:15" x14ac:dyDescent="0.25">
      <c r="A58" s="429">
        <f t="shared" ref="A58" si="24">VLOOKUP(J58,SuppliesExpCodes,2)</f>
        <v>6370</v>
      </c>
      <c r="B58" s="518" t="s">
        <v>536</v>
      </c>
      <c r="C58" s="518" t="s">
        <v>692</v>
      </c>
      <c r="D58" s="700" t="s">
        <v>1571</v>
      </c>
      <c r="E58" s="518"/>
      <c r="F58" s="700" t="s">
        <v>881</v>
      </c>
      <c r="G58" s="518"/>
      <c r="H58" s="596"/>
      <c r="I58" s="596"/>
      <c r="J58" s="518" t="s">
        <v>575</v>
      </c>
      <c r="K58" s="520"/>
      <c r="L58" s="520"/>
      <c r="M58" s="520"/>
      <c r="N58" s="520">
        <v>300</v>
      </c>
      <c r="O58" s="4" t="s">
        <v>1287</v>
      </c>
    </row>
    <row r="59" spans="1:15" x14ac:dyDescent="0.25">
      <c r="A59" s="690">
        <f t="shared" ref="A59:A92" si="25">VLOOKUP(J59,SuppliesExpCodes,2)</f>
        <v>6370</v>
      </c>
      <c r="B59" s="700" t="s">
        <v>36</v>
      </c>
      <c r="C59" s="700" t="s">
        <v>692</v>
      </c>
      <c r="D59" s="700" t="s">
        <v>896</v>
      </c>
      <c r="E59" s="700" t="s">
        <v>17</v>
      </c>
      <c r="F59" s="700" t="s">
        <v>897</v>
      </c>
      <c r="G59" s="700"/>
      <c r="H59" s="596"/>
      <c r="I59" s="596"/>
      <c r="J59" s="700" t="s">
        <v>575</v>
      </c>
      <c r="K59" s="689"/>
      <c r="L59" s="689"/>
      <c r="M59" s="689"/>
      <c r="N59" s="689">
        <v>5000</v>
      </c>
      <c r="O59" s="4" t="s">
        <v>1287</v>
      </c>
    </row>
    <row r="60" spans="1:15" x14ac:dyDescent="0.25">
      <c r="A60" s="690">
        <f t="shared" si="25"/>
        <v>6370</v>
      </c>
      <c r="B60" s="700" t="s">
        <v>31</v>
      </c>
      <c r="C60" s="700" t="s">
        <v>692</v>
      </c>
      <c r="D60" s="700" t="s">
        <v>1452</v>
      </c>
      <c r="E60" s="700"/>
      <c r="F60" s="700" t="s">
        <v>825</v>
      </c>
      <c r="G60" s="700"/>
      <c r="H60" s="596">
        <v>42552</v>
      </c>
      <c r="I60" s="596">
        <v>42916</v>
      </c>
      <c r="J60" s="700" t="s">
        <v>575</v>
      </c>
      <c r="K60" s="689">
        <v>2000</v>
      </c>
      <c r="L60" s="689"/>
      <c r="M60" s="689"/>
      <c r="N60" s="689">
        <v>2000</v>
      </c>
      <c r="O60" s="4" t="s">
        <v>1287</v>
      </c>
    </row>
    <row r="61" spans="1:15" x14ac:dyDescent="0.25">
      <c r="A61" s="690">
        <f t="shared" si="25"/>
        <v>6370</v>
      </c>
      <c r="B61" s="700" t="s">
        <v>30</v>
      </c>
      <c r="C61" s="700" t="s">
        <v>692</v>
      </c>
      <c r="D61" s="700" t="s">
        <v>830</v>
      </c>
      <c r="E61" s="700" t="s">
        <v>17</v>
      </c>
      <c r="F61" s="700"/>
      <c r="G61" s="700"/>
      <c r="H61" s="596"/>
      <c r="I61" s="596"/>
      <c r="J61" s="700" t="s">
        <v>575</v>
      </c>
      <c r="K61" s="666">
        <v>400</v>
      </c>
      <c r="L61" s="689"/>
      <c r="M61" s="689"/>
      <c r="N61" s="689">
        <f>K61</f>
        <v>400</v>
      </c>
      <c r="O61" s="4" t="s">
        <v>1287</v>
      </c>
    </row>
    <row r="62" spans="1:15" x14ac:dyDescent="0.25">
      <c r="A62" s="690">
        <f t="shared" si="25"/>
        <v>6370</v>
      </c>
      <c r="B62" s="700" t="s">
        <v>38</v>
      </c>
      <c r="C62" s="700" t="s">
        <v>133</v>
      </c>
      <c r="D62" s="700" t="s">
        <v>973</v>
      </c>
      <c r="E62" s="700"/>
      <c r="F62" s="700"/>
      <c r="G62" s="700"/>
      <c r="H62" s="596"/>
      <c r="I62" s="596"/>
      <c r="J62" s="700" t="s">
        <v>575</v>
      </c>
      <c r="K62" s="699">
        <v>500</v>
      </c>
      <c r="L62" s="699"/>
      <c r="M62" s="699"/>
      <c r="N62" s="699">
        <v>500</v>
      </c>
      <c r="O62" s="4" t="s">
        <v>1287</v>
      </c>
    </row>
    <row r="63" spans="1:15" x14ac:dyDescent="0.25">
      <c r="A63" s="690">
        <f t="shared" si="25"/>
        <v>6370</v>
      </c>
      <c r="B63" s="700" t="s">
        <v>38</v>
      </c>
      <c r="C63" s="700" t="s">
        <v>144</v>
      </c>
      <c r="D63" s="700" t="s">
        <v>973</v>
      </c>
      <c r="E63" s="700"/>
      <c r="F63" s="700"/>
      <c r="G63" s="700"/>
      <c r="H63" s="596"/>
      <c r="I63" s="596"/>
      <c r="J63" s="700" t="s">
        <v>575</v>
      </c>
      <c r="K63" s="699">
        <v>500</v>
      </c>
      <c r="L63" s="699"/>
      <c r="M63" s="699"/>
      <c r="N63" s="699">
        <v>500</v>
      </c>
      <c r="O63" s="4" t="s">
        <v>1287</v>
      </c>
    </row>
    <row r="64" spans="1:15" x14ac:dyDescent="0.25">
      <c r="A64" s="690">
        <f t="shared" si="25"/>
        <v>6370</v>
      </c>
      <c r="B64" s="700" t="s">
        <v>38</v>
      </c>
      <c r="C64" s="700" t="s">
        <v>128</v>
      </c>
      <c r="D64" s="700" t="s">
        <v>575</v>
      </c>
      <c r="E64" s="700" t="s">
        <v>16</v>
      </c>
      <c r="F64" s="700" t="s">
        <v>881</v>
      </c>
      <c r="G64" s="700"/>
      <c r="H64" s="596"/>
      <c r="I64" s="596"/>
      <c r="J64" s="700" t="s">
        <v>575</v>
      </c>
      <c r="K64" s="689">
        <v>5000</v>
      </c>
      <c r="L64" s="689"/>
      <c r="M64" s="689"/>
      <c r="N64" s="689">
        <v>5000</v>
      </c>
      <c r="O64" s="4" t="s">
        <v>1287</v>
      </c>
    </row>
    <row r="65" spans="1:15" x14ac:dyDescent="0.25">
      <c r="A65" s="690">
        <f t="shared" si="25"/>
        <v>6370</v>
      </c>
      <c r="B65" s="700" t="s">
        <v>38</v>
      </c>
      <c r="C65" s="700" t="s">
        <v>129</v>
      </c>
      <c r="D65" s="700" t="s">
        <v>973</v>
      </c>
      <c r="E65" s="700"/>
      <c r="F65" s="698"/>
      <c r="G65" s="700"/>
      <c r="H65" s="596"/>
      <c r="I65" s="596"/>
      <c r="J65" s="700" t="s">
        <v>575</v>
      </c>
      <c r="K65" s="689">
        <v>1000</v>
      </c>
      <c r="L65" s="689"/>
      <c r="M65" s="689"/>
      <c r="N65" s="689">
        <v>1000</v>
      </c>
      <c r="O65" s="4" t="s">
        <v>1287</v>
      </c>
    </row>
    <row r="66" spans="1:15" x14ac:dyDescent="0.25">
      <c r="A66" s="690">
        <f t="shared" si="25"/>
        <v>6370</v>
      </c>
      <c r="B66" s="700" t="s">
        <v>38</v>
      </c>
      <c r="C66" s="700" t="s">
        <v>472</v>
      </c>
      <c r="D66" s="700" t="s">
        <v>973</v>
      </c>
      <c r="E66" s="700"/>
      <c r="F66" s="700"/>
      <c r="G66" s="700"/>
      <c r="H66" s="596"/>
      <c r="I66" s="596"/>
      <c r="J66" s="700" t="s">
        <v>575</v>
      </c>
      <c r="K66" s="699">
        <v>1000</v>
      </c>
      <c r="L66" s="699"/>
      <c r="M66" s="699"/>
      <c r="N66" s="699">
        <v>1000</v>
      </c>
      <c r="O66" s="4" t="s">
        <v>1287</v>
      </c>
    </row>
    <row r="67" spans="1:15" x14ac:dyDescent="0.25">
      <c r="A67" s="691">
        <f t="shared" si="25"/>
        <v>6370</v>
      </c>
      <c r="B67" s="700" t="s">
        <v>684</v>
      </c>
      <c r="C67" s="700" t="s">
        <v>692</v>
      </c>
      <c r="D67" s="698" t="s">
        <v>1037</v>
      </c>
      <c r="E67" s="698"/>
      <c r="F67" s="698"/>
      <c r="G67" s="698"/>
      <c r="H67" s="466"/>
      <c r="I67" s="466"/>
      <c r="J67" s="698" t="s">
        <v>575</v>
      </c>
      <c r="K67" s="589"/>
      <c r="L67" s="699">
        <v>21085.97</v>
      </c>
      <c r="M67" s="699"/>
      <c r="N67" s="699">
        <v>35000</v>
      </c>
      <c r="O67" s="4" t="s">
        <v>1287</v>
      </c>
    </row>
    <row r="68" spans="1:15" x14ac:dyDescent="0.25">
      <c r="A68" s="690">
        <f t="shared" si="25"/>
        <v>6370</v>
      </c>
      <c r="B68" s="700" t="s">
        <v>33</v>
      </c>
      <c r="C68" s="700" t="s">
        <v>127</v>
      </c>
      <c r="D68" s="700" t="s">
        <v>1032</v>
      </c>
      <c r="E68" s="700"/>
      <c r="F68" s="700"/>
      <c r="G68" s="700"/>
      <c r="H68" s="596"/>
      <c r="I68" s="596"/>
      <c r="J68" s="700" t="s">
        <v>575</v>
      </c>
      <c r="K68" s="689"/>
      <c r="L68" s="689"/>
      <c r="M68" s="689"/>
      <c r="N68" s="689">
        <v>250</v>
      </c>
      <c r="O68" s="4" t="s">
        <v>1287</v>
      </c>
    </row>
    <row r="69" spans="1:15" x14ac:dyDescent="0.25">
      <c r="A69" s="691">
        <f t="shared" si="25"/>
        <v>6370</v>
      </c>
      <c r="B69" s="700" t="s">
        <v>39</v>
      </c>
      <c r="C69" s="700" t="s">
        <v>114</v>
      </c>
      <c r="D69" s="698" t="s">
        <v>1006</v>
      </c>
      <c r="E69" s="698" t="s">
        <v>16</v>
      </c>
      <c r="F69" s="698" t="s">
        <v>881</v>
      </c>
      <c r="G69" s="698"/>
      <c r="H69" s="466"/>
      <c r="I69" s="466"/>
      <c r="J69" s="700" t="s">
        <v>575</v>
      </c>
      <c r="K69" s="589"/>
      <c r="L69" s="689"/>
      <c r="M69" s="689"/>
      <c r="N69" s="689">
        <v>200</v>
      </c>
      <c r="O69" s="4" t="s">
        <v>1287</v>
      </c>
    </row>
    <row r="70" spans="1:15" x14ac:dyDescent="0.25">
      <c r="A70" s="691">
        <f t="shared" si="25"/>
        <v>6370</v>
      </c>
      <c r="B70" s="700" t="s">
        <v>39</v>
      </c>
      <c r="C70" s="700" t="s">
        <v>117</v>
      </c>
      <c r="D70" s="698" t="s">
        <v>1006</v>
      </c>
      <c r="E70" s="698" t="s">
        <v>16</v>
      </c>
      <c r="F70" s="702" t="s">
        <v>881</v>
      </c>
      <c r="G70" s="698"/>
      <c r="H70" s="466"/>
      <c r="I70" s="466"/>
      <c r="J70" s="700" t="s">
        <v>575</v>
      </c>
      <c r="K70" s="589"/>
      <c r="L70" s="689"/>
      <c r="M70" s="689"/>
      <c r="N70" s="689">
        <v>200</v>
      </c>
      <c r="O70" s="4" t="s">
        <v>1287</v>
      </c>
    </row>
    <row r="71" spans="1:15" ht="15.75" thickBot="1" x14ac:dyDescent="0.3">
      <c r="A71" s="691">
        <f t="shared" si="25"/>
        <v>6370</v>
      </c>
      <c r="B71" s="700" t="s">
        <v>34</v>
      </c>
      <c r="C71" s="700" t="s">
        <v>121</v>
      </c>
      <c r="D71" s="700" t="s">
        <v>1006</v>
      </c>
      <c r="E71" s="700" t="s">
        <v>16</v>
      </c>
      <c r="F71" s="700" t="s">
        <v>881</v>
      </c>
      <c r="G71" s="698"/>
      <c r="H71" s="466"/>
      <c r="I71" s="466"/>
      <c r="J71" s="700" t="s">
        <v>575</v>
      </c>
      <c r="K71" s="589"/>
      <c r="L71" s="689">
        <v>20</v>
      </c>
      <c r="M71" s="689">
        <v>40</v>
      </c>
      <c r="N71" s="689">
        <v>200</v>
      </c>
      <c r="O71" s="4" t="s">
        <v>1287</v>
      </c>
    </row>
    <row r="72" spans="1:15" ht="15.75" hidden="1" thickBot="1" x14ac:dyDescent="0.3">
      <c r="A72" s="255" t="e">
        <f t="shared" si="25"/>
        <v>#N/A</v>
      </c>
      <c r="B72" s="266"/>
      <c r="C72" s="518"/>
      <c r="D72" s="467"/>
      <c r="E72" s="467"/>
      <c r="F72" s="467"/>
      <c r="G72" s="467"/>
      <c r="H72" s="466"/>
      <c r="I72" s="466"/>
      <c r="J72" s="467"/>
      <c r="K72" s="589"/>
      <c r="L72" s="516"/>
      <c r="M72" s="516"/>
      <c r="N72" s="516"/>
    </row>
    <row r="73" spans="1:15" hidden="1" x14ac:dyDescent="0.25">
      <c r="A73" s="255" t="e">
        <f t="shared" si="25"/>
        <v>#N/A</v>
      </c>
      <c r="B73" s="266"/>
      <c r="C73" s="518"/>
      <c r="D73" s="467"/>
      <c r="E73" s="467"/>
      <c r="F73" s="467"/>
      <c r="G73" s="467"/>
      <c r="H73" s="466"/>
      <c r="I73" s="466"/>
      <c r="J73" s="467"/>
      <c r="K73" s="589"/>
      <c r="L73" s="516"/>
      <c r="M73" s="516"/>
      <c r="N73" s="516"/>
    </row>
    <row r="74" spans="1:15" hidden="1" x14ac:dyDescent="0.25">
      <c r="A74" s="255" t="e">
        <f t="shared" si="25"/>
        <v>#N/A</v>
      </c>
      <c r="B74" s="266"/>
      <c r="C74" s="518"/>
      <c r="D74" s="467"/>
      <c r="E74" s="467"/>
      <c r="F74" s="467"/>
      <c r="G74" s="467"/>
      <c r="H74" s="466"/>
      <c r="I74" s="466"/>
      <c r="J74" s="467"/>
      <c r="K74" s="589"/>
      <c r="L74" s="516"/>
      <c r="M74" s="516"/>
      <c r="N74" s="516"/>
    </row>
    <row r="75" spans="1:15" hidden="1" x14ac:dyDescent="0.25">
      <c r="A75" s="255" t="e">
        <f t="shared" si="25"/>
        <v>#N/A</v>
      </c>
      <c r="B75" s="266"/>
      <c r="C75" s="518"/>
      <c r="D75" s="467"/>
      <c r="E75" s="467"/>
      <c r="F75" s="467"/>
      <c r="G75" s="467"/>
      <c r="H75" s="466"/>
      <c r="I75" s="466"/>
      <c r="J75" s="467"/>
      <c r="K75" s="589"/>
      <c r="L75" s="516"/>
      <c r="M75" s="516"/>
      <c r="N75" s="516"/>
    </row>
    <row r="76" spans="1:15" hidden="1" x14ac:dyDescent="0.25">
      <c r="A76" s="255" t="e">
        <f t="shared" si="25"/>
        <v>#N/A</v>
      </c>
      <c r="B76" s="266"/>
      <c r="C76" s="518"/>
      <c r="D76" s="467"/>
      <c r="E76" s="467"/>
      <c r="F76" s="467"/>
      <c r="G76" s="467"/>
      <c r="H76" s="466"/>
      <c r="I76" s="466"/>
      <c r="J76" s="467"/>
      <c r="K76" s="589"/>
      <c r="L76" s="516"/>
      <c r="M76" s="516"/>
      <c r="N76" s="516"/>
    </row>
    <row r="77" spans="1:15" hidden="1" x14ac:dyDescent="0.25">
      <c r="A77" s="255" t="e">
        <f t="shared" si="25"/>
        <v>#N/A</v>
      </c>
      <c r="B77" s="266"/>
      <c r="C77" s="518"/>
      <c r="D77" s="467"/>
      <c r="E77" s="467"/>
      <c r="F77" s="467"/>
      <c r="G77" s="467"/>
      <c r="H77" s="466"/>
      <c r="I77" s="466"/>
      <c r="J77" s="467"/>
      <c r="K77" s="589"/>
      <c r="L77" s="516"/>
      <c r="M77" s="516"/>
      <c r="N77" s="516"/>
    </row>
    <row r="78" spans="1:15" hidden="1" x14ac:dyDescent="0.25">
      <c r="A78" s="255" t="e">
        <f t="shared" si="25"/>
        <v>#N/A</v>
      </c>
      <c r="B78" s="266"/>
      <c r="C78" s="518"/>
      <c r="D78" s="467"/>
      <c r="E78" s="467"/>
      <c r="F78" s="467"/>
      <c r="G78" s="467"/>
      <c r="H78" s="466"/>
      <c r="I78" s="466"/>
      <c r="J78" s="467"/>
      <c r="K78" s="589"/>
      <c r="L78" s="516"/>
      <c r="M78" s="516"/>
      <c r="N78" s="516"/>
    </row>
    <row r="79" spans="1:15" hidden="1" x14ac:dyDescent="0.25">
      <c r="A79" s="255" t="e">
        <f t="shared" si="25"/>
        <v>#N/A</v>
      </c>
      <c r="B79" s="266"/>
      <c r="C79" s="518"/>
      <c r="D79" s="467"/>
      <c r="E79" s="467"/>
      <c r="F79" s="467"/>
      <c r="G79" s="467"/>
      <c r="H79" s="466"/>
      <c r="I79" s="466"/>
      <c r="J79" s="467"/>
      <c r="K79" s="589"/>
      <c r="L79" s="516"/>
      <c r="M79" s="516"/>
      <c r="N79" s="516"/>
    </row>
    <row r="80" spans="1:15" hidden="1" x14ac:dyDescent="0.25">
      <c r="A80" s="255" t="e">
        <f t="shared" si="25"/>
        <v>#N/A</v>
      </c>
      <c r="B80" s="266"/>
      <c r="C80" s="518"/>
      <c r="D80" s="467"/>
      <c r="E80" s="467"/>
      <c r="F80" s="467"/>
      <c r="G80" s="467"/>
      <c r="H80" s="466"/>
      <c r="I80" s="466"/>
      <c r="J80" s="467"/>
      <c r="K80" s="589"/>
      <c r="L80" s="516"/>
      <c r="M80" s="516"/>
      <c r="N80" s="516"/>
    </row>
    <row r="81" spans="1:14" ht="15.75" hidden="1" thickBot="1" x14ac:dyDescent="0.3">
      <c r="A81" s="255" t="e">
        <f t="shared" si="25"/>
        <v>#N/A</v>
      </c>
      <c r="B81" s="266"/>
      <c r="C81" s="518"/>
      <c r="D81" s="467"/>
      <c r="E81" s="467"/>
      <c r="F81" s="467"/>
      <c r="G81" s="467"/>
      <c r="H81" s="466"/>
      <c r="I81" s="466"/>
      <c r="J81" s="467"/>
      <c r="K81" s="589"/>
      <c r="L81" s="516"/>
      <c r="M81" s="516"/>
      <c r="N81" s="516"/>
    </row>
    <row r="82" spans="1:14" hidden="1" x14ac:dyDescent="0.25">
      <c r="A82" s="255" t="e">
        <f t="shared" si="25"/>
        <v>#N/A</v>
      </c>
      <c r="B82" s="266"/>
      <c r="C82" s="518"/>
      <c r="D82" s="467"/>
      <c r="E82" s="467"/>
      <c r="F82" s="467"/>
      <c r="G82" s="467"/>
      <c r="H82" s="466"/>
      <c r="I82" s="466"/>
      <c r="J82" s="467"/>
      <c r="K82" s="589"/>
      <c r="L82" s="516"/>
      <c r="M82" s="516"/>
      <c r="N82" s="516"/>
    </row>
    <row r="83" spans="1:14" hidden="1" x14ac:dyDescent="0.25">
      <c r="A83" s="255" t="e">
        <f t="shared" si="25"/>
        <v>#N/A</v>
      </c>
      <c r="B83" s="266"/>
      <c r="C83" s="518"/>
      <c r="D83" s="467"/>
      <c r="E83" s="467"/>
      <c r="F83" s="588"/>
      <c r="G83" s="467"/>
      <c r="H83" s="466"/>
      <c r="I83" s="466"/>
      <c r="J83" s="467"/>
      <c r="K83" s="589"/>
      <c r="L83" s="516"/>
      <c r="M83" s="516"/>
      <c r="N83" s="516"/>
    </row>
    <row r="84" spans="1:14" hidden="1" x14ac:dyDescent="0.25">
      <c r="A84" s="255" t="e">
        <f t="shared" si="25"/>
        <v>#N/A</v>
      </c>
      <c r="B84" s="266"/>
      <c r="C84" s="518"/>
      <c r="D84" s="467"/>
      <c r="E84" s="467"/>
      <c r="F84" s="588"/>
      <c r="G84" s="467"/>
      <c r="H84" s="466"/>
      <c r="I84" s="466"/>
      <c r="J84" s="467"/>
      <c r="K84" s="589"/>
      <c r="L84" s="516"/>
      <c r="M84" s="516"/>
      <c r="N84" s="516"/>
    </row>
    <row r="85" spans="1:14" hidden="1" x14ac:dyDescent="0.25">
      <c r="A85" s="255" t="e">
        <f t="shared" si="25"/>
        <v>#N/A</v>
      </c>
      <c r="B85" s="266"/>
      <c r="C85" s="518"/>
      <c r="D85" s="467"/>
      <c r="E85" s="467"/>
      <c r="F85" s="588"/>
      <c r="G85" s="467"/>
      <c r="H85" s="466"/>
      <c r="I85" s="466"/>
      <c r="J85" s="467"/>
      <c r="K85" s="589"/>
      <c r="L85" s="516"/>
      <c r="M85" s="516"/>
      <c r="N85" s="516"/>
    </row>
    <row r="86" spans="1:14" hidden="1" x14ac:dyDescent="0.25">
      <c r="A86" s="255" t="e">
        <f t="shared" si="25"/>
        <v>#N/A</v>
      </c>
      <c r="B86" s="266"/>
      <c r="C86" s="518"/>
      <c r="D86" s="467"/>
      <c r="E86" s="467"/>
      <c r="F86" s="588"/>
      <c r="G86" s="467"/>
      <c r="H86" s="466"/>
      <c r="I86" s="466"/>
      <c r="J86" s="467"/>
      <c r="K86" s="589"/>
      <c r="L86" s="516"/>
      <c r="M86" s="516"/>
      <c r="N86" s="516"/>
    </row>
    <row r="87" spans="1:14" hidden="1" x14ac:dyDescent="0.25">
      <c r="A87" s="255" t="e">
        <f t="shared" si="25"/>
        <v>#N/A</v>
      </c>
      <c r="B87" s="266"/>
      <c r="C87" s="518"/>
      <c r="D87" s="467"/>
      <c r="E87" s="467"/>
      <c r="F87" s="588"/>
      <c r="G87" s="467"/>
      <c r="H87" s="466"/>
      <c r="I87" s="466"/>
      <c r="J87" s="467"/>
      <c r="K87" s="589"/>
      <c r="L87" s="516"/>
      <c r="M87" s="516"/>
      <c r="N87" s="516"/>
    </row>
    <row r="88" spans="1:14" hidden="1" x14ac:dyDescent="0.25">
      <c r="A88" s="255" t="e">
        <f t="shared" si="25"/>
        <v>#N/A</v>
      </c>
      <c r="B88" s="266"/>
      <c r="C88" s="518"/>
      <c r="D88" s="467"/>
      <c r="E88" s="467"/>
      <c r="F88" s="588"/>
      <c r="G88" s="467"/>
      <c r="H88" s="466"/>
      <c r="I88" s="466"/>
      <c r="J88" s="467"/>
      <c r="K88" s="589"/>
      <c r="L88" s="516"/>
      <c r="M88" s="516"/>
      <c r="N88" s="516"/>
    </row>
    <row r="89" spans="1:14" hidden="1" x14ac:dyDescent="0.25">
      <c r="A89" s="255" t="e">
        <f t="shared" si="25"/>
        <v>#N/A</v>
      </c>
      <c r="B89" s="266"/>
      <c r="C89" s="518"/>
      <c r="D89" s="467"/>
      <c r="E89" s="467"/>
      <c r="F89" s="588"/>
      <c r="G89" s="467"/>
      <c r="H89" s="466"/>
      <c r="I89" s="466"/>
      <c r="J89" s="467"/>
      <c r="K89" s="589"/>
      <c r="L89" s="516"/>
      <c r="M89" s="516"/>
      <c r="N89" s="516"/>
    </row>
    <row r="90" spans="1:14" hidden="1" x14ac:dyDescent="0.25">
      <c r="A90" s="255" t="e">
        <f t="shared" si="25"/>
        <v>#N/A</v>
      </c>
      <c r="B90" s="266"/>
      <c r="C90" s="518"/>
      <c r="D90" s="467"/>
      <c r="E90" s="467"/>
      <c r="F90" s="588"/>
      <c r="G90" s="467"/>
      <c r="H90" s="466"/>
      <c r="I90" s="466"/>
      <c r="J90" s="467"/>
      <c r="K90" s="589"/>
      <c r="L90" s="516"/>
      <c r="M90" s="516"/>
      <c r="N90" s="516"/>
    </row>
    <row r="91" spans="1:14" hidden="1" x14ac:dyDescent="0.25">
      <c r="A91" s="255" t="e">
        <f t="shared" si="25"/>
        <v>#N/A</v>
      </c>
      <c r="B91" s="266"/>
      <c r="C91" s="518"/>
      <c r="D91" s="467"/>
      <c r="E91" s="467"/>
      <c r="F91" s="588"/>
      <c r="G91" s="467"/>
      <c r="H91" s="466"/>
      <c r="I91" s="466"/>
      <c r="J91" s="467"/>
      <c r="K91" s="589"/>
      <c r="L91" s="516"/>
      <c r="M91" s="516"/>
      <c r="N91" s="516"/>
    </row>
    <row r="92" spans="1:14" hidden="1" x14ac:dyDescent="0.25">
      <c r="A92" s="255" t="e">
        <f t="shared" si="25"/>
        <v>#N/A</v>
      </c>
      <c r="B92" s="266"/>
      <c r="C92" s="518"/>
      <c r="D92" s="467"/>
      <c r="E92" s="467"/>
      <c r="F92" s="588"/>
      <c r="G92" s="467"/>
      <c r="H92" s="466"/>
      <c r="I92" s="466"/>
      <c r="J92" s="467"/>
      <c r="K92" s="589"/>
      <c r="L92" s="516"/>
      <c r="M92" s="516"/>
      <c r="N92" s="516"/>
    </row>
    <row r="93" spans="1:14" hidden="1" x14ac:dyDescent="0.25">
      <c r="A93" s="255" t="e">
        <f t="shared" ref="A93:A156" si="26">VLOOKUP(J93,SuppliesExpCodes,2)</f>
        <v>#N/A</v>
      </c>
      <c r="B93" s="266"/>
      <c r="C93" s="518"/>
      <c r="D93" s="467"/>
      <c r="E93" s="467"/>
      <c r="F93" s="588"/>
      <c r="G93" s="467"/>
      <c r="H93" s="466"/>
      <c r="I93" s="466"/>
      <c r="J93" s="467"/>
      <c r="K93" s="589"/>
      <c r="L93" s="516"/>
      <c r="M93" s="516"/>
      <c r="N93" s="516"/>
    </row>
    <row r="94" spans="1:14" hidden="1" x14ac:dyDescent="0.25">
      <c r="A94" s="255" t="e">
        <f t="shared" si="26"/>
        <v>#N/A</v>
      </c>
      <c r="B94" s="266"/>
      <c r="C94" s="518"/>
      <c r="D94" s="467"/>
      <c r="E94" s="467"/>
      <c r="F94" s="467"/>
      <c r="G94" s="467"/>
      <c r="H94" s="466"/>
      <c r="I94" s="466"/>
      <c r="J94" s="467"/>
      <c r="K94" s="589"/>
      <c r="L94" s="516"/>
      <c r="M94" s="516"/>
      <c r="N94" s="516"/>
    </row>
    <row r="95" spans="1:14" hidden="1" x14ac:dyDescent="0.25">
      <c r="A95" s="255" t="e">
        <f t="shared" si="26"/>
        <v>#N/A</v>
      </c>
      <c r="B95" s="266"/>
      <c r="C95" s="518"/>
      <c r="D95" s="467"/>
      <c r="E95" s="467"/>
      <c r="F95" s="467"/>
      <c r="G95" s="467"/>
      <c r="H95" s="466"/>
      <c r="I95" s="466"/>
      <c r="J95" s="467"/>
      <c r="K95" s="589"/>
      <c r="L95" s="516"/>
      <c r="M95" s="516"/>
      <c r="N95" s="516"/>
    </row>
    <row r="96" spans="1:14" hidden="1" x14ac:dyDescent="0.25">
      <c r="A96" s="255" t="e">
        <f t="shared" si="26"/>
        <v>#N/A</v>
      </c>
      <c r="B96" s="266"/>
      <c r="C96" s="518"/>
      <c r="D96" s="467"/>
      <c r="E96" s="467"/>
      <c r="F96" s="467"/>
      <c r="G96" s="467"/>
      <c r="H96" s="466"/>
      <c r="I96" s="466"/>
      <c r="J96" s="467"/>
      <c r="K96" s="589"/>
      <c r="L96" s="516"/>
      <c r="M96" s="516"/>
      <c r="N96" s="516"/>
    </row>
    <row r="97" spans="1:14" hidden="1" x14ac:dyDescent="0.25">
      <c r="A97" s="255" t="e">
        <f t="shared" si="26"/>
        <v>#N/A</v>
      </c>
      <c r="B97" s="266"/>
      <c r="C97" s="518"/>
      <c r="D97" s="467"/>
      <c r="E97" s="467"/>
      <c r="F97" s="467"/>
      <c r="G97" s="467"/>
      <c r="H97" s="466"/>
      <c r="I97" s="466"/>
      <c r="J97" s="467"/>
      <c r="K97" s="589"/>
      <c r="L97" s="516"/>
      <c r="M97" s="516"/>
      <c r="N97" s="516"/>
    </row>
    <row r="98" spans="1:14" hidden="1" x14ac:dyDescent="0.25">
      <c r="A98" s="255" t="e">
        <f t="shared" si="26"/>
        <v>#N/A</v>
      </c>
      <c r="B98" s="266"/>
      <c r="C98" s="518"/>
      <c r="D98" s="467"/>
      <c r="E98" s="467"/>
      <c r="F98" s="467"/>
      <c r="G98" s="467"/>
      <c r="H98" s="466"/>
      <c r="I98" s="466"/>
      <c r="J98" s="467"/>
      <c r="K98" s="589"/>
      <c r="L98" s="516"/>
      <c r="M98" s="516"/>
      <c r="N98" s="516"/>
    </row>
    <row r="99" spans="1:14" ht="15.75" hidden="1" x14ac:dyDescent="0.3">
      <c r="A99" s="255" t="e">
        <f t="shared" si="26"/>
        <v>#N/A</v>
      </c>
      <c r="B99" s="266"/>
      <c r="C99" s="518"/>
      <c r="D99" s="638"/>
      <c r="E99" s="467"/>
      <c r="F99" s="467"/>
      <c r="G99" s="467"/>
      <c r="H99" s="466"/>
      <c r="I99" s="466"/>
      <c r="J99" s="467"/>
      <c r="K99" s="589"/>
      <c r="L99" s="516"/>
      <c r="M99" s="516"/>
      <c r="N99" s="516"/>
    </row>
    <row r="100" spans="1:14" hidden="1" x14ac:dyDescent="0.25">
      <c r="A100" s="255" t="e">
        <f t="shared" si="26"/>
        <v>#N/A</v>
      </c>
      <c r="B100" s="266"/>
      <c r="C100" s="518"/>
      <c r="D100" s="467"/>
      <c r="E100" s="467"/>
      <c r="F100" s="467"/>
      <c r="G100" s="467"/>
      <c r="H100" s="466"/>
      <c r="I100" s="466"/>
      <c r="J100" s="467"/>
      <c r="K100" s="589"/>
      <c r="L100" s="516"/>
      <c r="M100" s="516"/>
      <c r="N100" s="516"/>
    </row>
    <row r="101" spans="1:14" hidden="1" x14ac:dyDescent="0.25">
      <c r="A101" s="255" t="e">
        <f t="shared" si="26"/>
        <v>#N/A</v>
      </c>
      <c r="B101" s="266"/>
      <c r="C101" s="518"/>
      <c r="D101" s="467"/>
      <c r="E101" s="467"/>
      <c r="F101" s="467"/>
      <c r="G101" s="467"/>
      <c r="H101" s="466"/>
      <c r="I101" s="466"/>
      <c r="J101" s="467"/>
      <c r="K101" s="589"/>
      <c r="L101" s="516"/>
      <c r="M101" s="516"/>
      <c r="N101" s="516"/>
    </row>
    <row r="102" spans="1:14" hidden="1" x14ac:dyDescent="0.25">
      <c r="A102" s="255" t="e">
        <f t="shared" si="26"/>
        <v>#N/A</v>
      </c>
      <c r="B102" s="266"/>
      <c r="C102" s="518"/>
      <c r="D102" s="467"/>
      <c r="E102" s="467"/>
      <c r="F102" s="467"/>
      <c r="G102" s="467"/>
      <c r="H102" s="466"/>
      <c r="I102" s="466"/>
      <c r="J102" s="467"/>
      <c r="K102" s="589"/>
      <c r="L102" s="516"/>
      <c r="M102" s="516"/>
      <c r="N102" s="516"/>
    </row>
    <row r="103" spans="1:14" hidden="1" x14ac:dyDescent="0.25">
      <c r="A103" s="255" t="e">
        <f t="shared" si="26"/>
        <v>#N/A</v>
      </c>
      <c r="B103" s="266"/>
      <c r="C103" s="518"/>
      <c r="D103" s="467"/>
      <c r="E103" s="467"/>
      <c r="F103" s="467"/>
      <c r="G103" s="467"/>
      <c r="H103" s="466"/>
      <c r="I103" s="466"/>
      <c r="J103" s="467"/>
      <c r="K103" s="589"/>
      <c r="L103" s="516"/>
      <c r="M103" s="516"/>
      <c r="N103" s="516"/>
    </row>
    <row r="104" spans="1:14" hidden="1" x14ac:dyDescent="0.25">
      <c r="A104" s="255" t="e">
        <f t="shared" si="26"/>
        <v>#N/A</v>
      </c>
      <c r="B104" s="266"/>
      <c r="C104" s="518"/>
      <c r="D104" s="467"/>
      <c r="E104" s="467"/>
      <c r="F104" s="467"/>
      <c r="G104" s="639"/>
      <c r="H104" s="466"/>
      <c r="I104" s="466"/>
      <c r="J104" s="467"/>
      <c r="K104" s="589"/>
      <c r="L104" s="516"/>
      <c r="M104" s="516"/>
      <c r="N104" s="516"/>
    </row>
    <row r="105" spans="1:14" hidden="1" x14ac:dyDescent="0.25">
      <c r="A105" s="255" t="e">
        <f t="shared" si="26"/>
        <v>#N/A</v>
      </c>
      <c r="B105" s="266"/>
      <c r="C105" s="518"/>
      <c r="D105" s="467"/>
      <c r="E105" s="467"/>
      <c r="F105" s="467"/>
      <c r="G105" s="639"/>
      <c r="H105" s="466"/>
      <c r="I105" s="466"/>
      <c r="J105" s="467"/>
      <c r="K105" s="589"/>
      <c r="L105" s="516"/>
      <c r="M105" s="516"/>
      <c r="N105" s="516"/>
    </row>
    <row r="106" spans="1:14" hidden="1" x14ac:dyDescent="0.25">
      <c r="A106" s="255" t="e">
        <f t="shared" si="26"/>
        <v>#N/A</v>
      </c>
      <c r="B106" s="266"/>
      <c r="C106" s="518"/>
      <c r="D106" s="467"/>
      <c r="E106" s="467"/>
      <c r="F106" s="467"/>
      <c r="G106" s="467"/>
      <c r="H106" s="466"/>
      <c r="I106" s="466"/>
      <c r="J106" s="467"/>
      <c r="K106" s="589"/>
      <c r="L106" s="516"/>
      <c r="M106" s="516"/>
      <c r="N106" s="516"/>
    </row>
    <row r="107" spans="1:14" hidden="1" x14ac:dyDescent="0.25">
      <c r="A107" s="255" t="e">
        <f t="shared" si="26"/>
        <v>#N/A</v>
      </c>
      <c r="B107" s="266"/>
      <c r="C107" s="518"/>
      <c r="D107" s="467"/>
      <c r="E107" s="467"/>
      <c r="F107" s="467"/>
      <c r="G107" s="467"/>
      <c r="H107" s="466"/>
      <c r="I107" s="466"/>
      <c r="J107" s="467"/>
      <c r="K107" s="589"/>
      <c r="L107" s="516"/>
      <c r="M107" s="516"/>
      <c r="N107" s="516"/>
    </row>
    <row r="108" spans="1:14" hidden="1" x14ac:dyDescent="0.25">
      <c r="A108" s="255" t="e">
        <f t="shared" si="26"/>
        <v>#N/A</v>
      </c>
      <c r="B108" s="266"/>
      <c r="C108" s="518"/>
      <c r="D108" s="467"/>
      <c r="E108" s="467"/>
      <c r="F108" s="467"/>
      <c r="G108" s="467"/>
      <c r="H108" s="466"/>
      <c r="I108" s="466"/>
      <c r="J108" s="467"/>
      <c r="K108" s="589"/>
      <c r="L108" s="516"/>
      <c r="M108" s="516"/>
      <c r="N108" s="516"/>
    </row>
    <row r="109" spans="1:14" hidden="1" x14ac:dyDescent="0.25">
      <c r="A109" s="255" t="e">
        <f t="shared" si="26"/>
        <v>#N/A</v>
      </c>
      <c r="B109" s="266"/>
      <c r="C109" s="518"/>
      <c r="D109" s="467"/>
      <c r="E109" s="467"/>
      <c r="F109" s="467"/>
      <c r="G109" s="467"/>
      <c r="H109" s="466"/>
      <c r="I109" s="466"/>
      <c r="J109" s="467"/>
      <c r="K109" s="589"/>
      <c r="L109" s="516"/>
      <c r="M109" s="516"/>
      <c r="N109" s="516"/>
    </row>
    <row r="110" spans="1:14" hidden="1" x14ac:dyDescent="0.25">
      <c r="A110" s="255" t="e">
        <f t="shared" si="26"/>
        <v>#N/A</v>
      </c>
      <c r="B110" s="266"/>
      <c r="C110" s="518"/>
      <c r="D110" s="467"/>
      <c r="E110" s="467"/>
      <c r="F110" s="467"/>
      <c r="G110" s="467"/>
      <c r="H110" s="466"/>
      <c r="I110" s="466"/>
      <c r="J110" s="467"/>
      <c r="K110" s="589"/>
      <c r="L110" s="516"/>
      <c r="M110" s="516"/>
      <c r="N110" s="516"/>
    </row>
    <row r="111" spans="1:14" hidden="1" x14ac:dyDescent="0.25">
      <c r="A111" s="255" t="e">
        <f t="shared" si="26"/>
        <v>#N/A</v>
      </c>
      <c r="B111" s="266"/>
      <c r="C111" s="518"/>
      <c r="D111" s="467"/>
      <c r="E111" s="467"/>
      <c r="F111" s="467"/>
      <c r="G111" s="467"/>
      <c r="H111" s="466"/>
      <c r="I111" s="466"/>
      <c r="J111" s="467"/>
      <c r="K111" s="589"/>
      <c r="L111" s="516"/>
      <c r="M111" s="516"/>
      <c r="N111" s="516"/>
    </row>
    <row r="112" spans="1:14" hidden="1" x14ac:dyDescent="0.25">
      <c r="A112" s="255" t="e">
        <f t="shared" si="26"/>
        <v>#N/A</v>
      </c>
      <c r="B112" s="266"/>
      <c r="C112" s="518"/>
      <c r="D112" s="467"/>
      <c r="E112" s="467"/>
      <c r="F112" s="467"/>
      <c r="G112" s="467"/>
      <c r="H112" s="466"/>
      <c r="I112" s="466"/>
      <c r="J112" s="467"/>
      <c r="K112" s="589"/>
      <c r="L112" s="516"/>
      <c r="M112" s="516"/>
      <c r="N112" s="516"/>
    </row>
    <row r="113" spans="1:14" hidden="1" x14ac:dyDescent="0.25">
      <c r="A113" s="255" t="e">
        <f t="shared" si="26"/>
        <v>#N/A</v>
      </c>
      <c r="B113" s="266"/>
      <c r="C113" s="518"/>
      <c r="D113" s="467"/>
      <c r="E113" s="467"/>
      <c r="F113" s="639"/>
      <c r="G113" s="467"/>
      <c r="H113" s="466"/>
      <c r="I113" s="466"/>
      <c r="J113" s="467"/>
      <c r="K113" s="589"/>
      <c r="L113" s="516"/>
      <c r="M113" s="516"/>
      <c r="N113" s="516"/>
    </row>
    <row r="114" spans="1:14" hidden="1" x14ac:dyDescent="0.25">
      <c r="A114" s="255" t="e">
        <f t="shared" si="26"/>
        <v>#N/A</v>
      </c>
      <c r="B114" s="266"/>
      <c r="C114" s="518"/>
      <c r="D114" s="467"/>
      <c r="E114" s="467"/>
      <c r="F114" s="639"/>
      <c r="G114" s="467"/>
      <c r="H114" s="466"/>
      <c r="I114" s="466"/>
      <c r="J114" s="467"/>
      <c r="K114" s="589"/>
      <c r="L114" s="516"/>
      <c r="M114" s="516"/>
      <c r="N114" s="516"/>
    </row>
    <row r="115" spans="1:14" hidden="1" x14ac:dyDescent="0.25">
      <c r="A115" s="255" t="e">
        <f t="shared" si="26"/>
        <v>#N/A</v>
      </c>
      <c r="B115" s="266"/>
      <c r="C115" s="518"/>
      <c r="D115" s="467"/>
      <c r="E115" s="467"/>
      <c r="F115" s="639"/>
      <c r="G115" s="467"/>
      <c r="H115" s="466"/>
      <c r="I115" s="466"/>
      <c r="J115" s="467"/>
      <c r="K115" s="589"/>
      <c r="L115" s="516"/>
      <c r="M115" s="516"/>
      <c r="N115" s="516"/>
    </row>
    <row r="116" spans="1:14" hidden="1" x14ac:dyDescent="0.25">
      <c r="A116" s="255" t="e">
        <f t="shared" si="26"/>
        <v>#N/A</v>
      </c>
      <c r="B116" s="266"/>
      <c r="C116" s="518"/>
      <c r="D116" s="467"/>
      <c r="E116" s="467"/>
      <c r="F116" s="467"/>
      <c r="G116" s="467"/>
      <c r="H116" s="466"/>
      <c r="I116" s="466"/>
      <c r="J116" s="467"/>
      <c r="K116" s="589"/>
      <c r="L116" s="516"/>
      <c r="M116" s="516"/>
      <c r="N116" s="516"/>
    </row>
    <row r="117" spans="1:14" hidden="1" x14ac:dyDescent="0.25">
      <c r="A117" s="255" t="e">
        <f t="shared" si="26"/>
        <v>#N/A</v>
      </c>
      <c r="B117" s="266"/>
      <c r="C117" s="518"/>
      <c r="D117" s="467"/>
      <c r="E117" s="467"/>
      <c r="F117" s="467"/>
      <c r="G117" s="467"/>
      <c r="H117" s="466"/>
      <c r="I117" s="466"/>
      <c r="J117" s="467"/>
      <c r="K117" s="589"/>
      <c r="L117" s="516"/>
      <c r="M117" s="516"/>
      <c r="N117" s="516"/>
    </row>
    <row r="118" spans="1:14" hidden="1" x14ac:dyDescent="0.25">
      <c r="A118" s="255" t="e">
        <f t="shared" si="26"/>
        <v>#N/A</v>
      </c>
      <c r="B118" s="266"/>
      <c r="C118" s="518"/>
      <c r="D118" s="467"/>
      <c r="E118" s="467"/>
      <c r="F118" s="467"/>
      <c r="G118" s="467"/>
      <c r="H118" s="466"/>
      <c r="I118" s="466"/>
      <c r="J118" s="467"/>
      <c r="K118" s="589"/>
      <c r="L118" s="516"/>
      <c r="M118" s="516"/>
      <c r="N118" s="516"/>
    </row>
    <row r="119" spans="1:14" hidden="1" x14ac:dyDescent="0.25">
      <c r="A119" s="255" t="e">
        <f t="shared" si="26"/>
        <v>#N/A</v>
      </c>
      <c r="B119" s="266"/>
      <c r="C119" s="518"/>
      <c r="D119" s="467"/>
      <c r="E119" s="467"/>
      <c r="F119" s="467"/>
      <c r="G119" s="467"/>
      <c r="H119" s="466"/>
      <c r="I119" s="466"/>
      <c r="J119" s="467"/>
      <c r="K119" s="589"/>
      <c r="L119" s="516"/>
      <c r="M119" s="516"/>
      <c r="N119" s="516"/>
    </row>
    <row r="120" spans="1:14" hidden="1" x14ac:dyDescent="0.25">
      <c r="A120" s="255" t="e">
        <f t="shared" si="26"/>
        <v>#N/A</v>
      </c>
      <c r="B120" s="266"/>
      <c r="C120" s="518"/>
      <c r="D120" s="467"/>
      <c r="E120" s="467"/>
      <c r="F120" s="467"/>
      <c r="G120" s="467"/>
      <c r="H120" s="466"/>
      <c r="I120" s="466"/>
      <c r="J120" s="467"/>
      <c r="K120" s="589"/>
      <c r="L120" s="516"/>
      <c r="M120" s="516"/>
      <c r="N120" s="516"/>
    </row>
    <row r="121" spans="1:14" hidden="1" x14ac:dyDescent="0.25">
      <c r="A121" s="255" t="e">
        <f t="shared" si="26"/>
        <v>#N/A</v>
      </c>
      <c r="B121" s="266"/>
      <c r="C121" s="518"/>
      <c r="D121" s="467"/>
      <c r="E121" s="467"/>
      <c r="F121" s="467"/>
      <c r="G121" s="467"/>
      <c r="H121" s="466"/>
      <c r="I121" s="466"/>
      <c r="J121" s="467"/>
      <c r="K121" s="589"/>
      <c r="L121" s="516"/>
      <c r="M121" s="516"/>
      <c r="N121" s="516"/>
    </row>
    <row r="122" spans="1:14" hidden="1" x14ac:dyDescent="0.25">
      <c r="A122" s="255" t="e">
        <f t="shared" si="26"/>
        <v>#N/A</v>
      </c>
      <c r="B122" s="266"/>
      <c r="C122" s="518"/>
      <c r="D122" s="467"/>
      <c r="E122" s="467"/>
      <c r="F122" s="467"/>
      <c r="G122" s="467"/>
      <c r="H122" s="466"/>
      <c r="I122" s="466"/>
      <c r="J122" s="467"/>
      <c r="K122" s="589"/>
      <c r="L122" s="516"/>
      <c r="M122" s="516"/>
      <c r="N122" s="516"/>
    </row>
    <row r="123" spans="1:14" hidden="1" x14ac:dyDescent="0.25">
      <c r="A123" s="255" t="e">
        <f t="shared" si="26"/>
        <v>#N/A</v>
      </c>
      <c r="B123" s="266"/>
      <c r="C123" s="518"/>
      <c r="D123" s="467"/>
      <c r="E123" s="467"/>
      <c r="F123" s="467"/>
      <c r="G123" s="467"/>
      <c r="H123" s="466"/>
      <c r="I123" s="466"/>
      <c r="J123" s="467"/>
      <c r="K123" s="589"/>
      <c r="L123" s="516"/>
      <c r="M123" s="516"/>
      <c r="N123" s="516"/>
    </row>
    <row r="124" spans="1:14" hidden="1" x14ac:dyDescent="0.25">
      <c r="A124" s="255" t="e">
        <f t="shared" si="26"/>
        <v>#N/A</v>
      </c>
      <c r="B124" s="266"/>
      <c r="C124" s="518"/>
      <c r="D124" s="467"/>
      <c r="E124" s="467"/>
      <c r="F124" s="467"/>
      <c r="G124" s="467"/>
      <c r="H124" s="466"/>
      <c r="I124" s="466"/>
      <c r="J124" s="467"/>
      <c r="K124" s="589"/>
      <c r="L124" s="516"/>
      <c r="M124" s="516"/>
      <c r="N124" s="516"/>
    </row>
    <row r="125" spans="1:14" hidden="1" x14ac:dyDescent="0.25">
      <c r="A125" s="255" t="e">
        <f t="shared" si="26"/>
        <v>#N/A</v>
      </c>
      <c r="B125" s="266"/>
      <c r="C125" s="518"/>
      <c r="D125" s="467"/>
      <c r="E125" s="467"/>
      <c r="F125" s="467"/>
      <c r="G125" s="467"/>
      <c r="H125" s="466"/>
      <c r="I125" s="466"/>
      <c r="J125" s="467"/>
      <c r="K125" s="589"/>
      <c r="L125" s="516"/>
      <c r="M125" s="516"/>
      <c r="N125" s="516"/>
    </row>
    <row r="126" spans="1:14" hidden="1" x14ac:dyDescent="0.25">
      <c r="A126" s="255" t="e">
        <f t="shared" si="26"/>
        <v>#N/A</v>
      </c>
      <c r="B126" s="266"/>
      <c r="C126" s="518"/>
      <c r="D126" s="467"/>
      <c r="E126" s="467"/>
      <c r="F126" s="467"/>
      <c r="G126" s="467"/>
      <c r="H126" s="466"/>
      <c r="I126" s="466"/>
      <c r="J126" s="467"/>
      <c r="K126" s="589"/>
      <c r="L126" s="516"/>
      <c r="M126" s="516"/>
      <c r="N126" s="516"/>
    </row>
    <row r="127" spans="1:14" hidden="1" x14ac:dyDescent="0.25">
      <c r="A127" s="256" t="e">
        <f t="shared" si="26"/>
        <v>#N/A</v>
      </c>
      <c r="B127" s="266"/>
      <c r="C127" s="518"/>
      <c r="D127" s="590"/>
      <c r="E127" s="590"/>
      <c r="F127" s="590"/>
      <c r="G127" s="590"/>
      <c r="H127" s="597"/>
      <c r="I127" s="597"/>
      <c r="J127" s="590"/>
      <c r="K127" s="74"/>
      <c r="L127" s="74"/>
      <c r="M127" s="74"/>
      <c r="N127" s="74"/>
    </row>
    <row r="128" spans="1:14" hidden="1" x14ac:dyDescent="0.25">
      <c r="A128" s="256" t="e">
        <f t="shared" si="26"/>
        <v>#N/A</v>
      </c>
      <c r="B128" s="266"/>
      <c r="C128" s="518"/>
      <c r="D128" s="590"/>
      <c r="E128" s="590"/>
      <c r="F128" s="590"/>
      <c r="G128" s="590"/>
      <c r="H128" s="597"/>
      <c r="I128" s="597"/>
      <c r="J128" s="590"/>
      <c r="K128" s="74"/>
      <c r="L128" s="74"/>
      <c r="M128" s="74"/>
      <c r="N128" s="74"/>
    </row>
    <row r="129" spans="1:14" hidden="1" x14ac:dyDescent="0.25">
      <c r="A129" s="256" t="e">
        <f t="shared" si="26"/>
        <v>#N/A</v>
      </c>
      <c r="B129" s="266"/>
      <c r="C129" s="518"/>
      <c r="D129" s="590"/>
      <c r="E129" s="590"/>
      <c r="F129" s="590"/>
      <c r="G129" s="590"/>
      <c r="H129" s="597"/>
      <c r="I129" s="597"/>
      <c r="J129" s="590"/>
      <c r="K129" s="74"/>
      <c r="L129" s="74"/>
      <c r="M129" s="74"/>
      <c r="N129" s="74"/>
    </row>
    <row r="130" spans="1:14" hidden="1" x14ac:dyDescent="0.25">
      <c r="A130" s="256" t="e">
        <f t="shared" si="26"/>
        <v>#N/A</v>
      </c>
      <c r="B130" s="266"/>
      <c r="C130" s="518"/>
      <c r="D130" s="590"/>
      <c r="E130" s="590"/>
      <c r="F130" s="590"/>
      <c r="G130" s="590"/>
      <c r="H130" s="597"/>
      <c r="I130" s="597"/>
      <c r="J130" s="590"/>
      <c r="K130" s="74"/>
      <c r="L130" s="74"/>
      <c r="M130" s="74"/>
      <c r="N130" s="74"/>
    </row>
    <row r="131" spans="1:14" hidden="1" x14ac:dyDescent="0.25">
      <c r="A131" s="256" t="e">
        <f t="shared" si="26"/>
        <v>#N/A</v>
      </c>
      <c r="B131" s="266"/>
      <c r="C131" s="518"/>
      <c r="D131" s="590"/>
      <c r="E131" s="590"/>
      <c r="F131" s="590"/>
      <c r="G131" s="590"/>
      <c r="H131" s="597"/>
      <c r="I131" s="597"/>
      <c r="J131" s="590"/>
      <c r="K131" s="74"/>
      <c r="L131" s="74"/>
      <c r="M131" s="74"/>
      <c r="N131" s="74"/>
    </row>
    <row r="132" spans="1:14" hidden="1" x14ac:dyDescent="0.25">
      <c r="A132" s="256" t="e">
        <f t="shared" si="26"/>
        <v>#N/A</v>
      </c>
      <c r="B132" s="266"/>
      <c r="C132" s="518"/>
      <c r="D132" s="590"/>
      <c r="E132" s="590"/>
      <c r="F132" s="590"/>
      <c r="G132" s="590"/>
      <c r="H132" s="597"/>
      <c r="I132" s="597"/>
      <c r="J132" s="590"/>
      <c r="K132" s="74"/>
      <c r="L132" s="74"/>
      <c r="M132" s="74"/>
      <c r="N132" s="74"/>
    </row>
    <row r="133" spans="1:14" hidden="1" x14ac:dyDescent="0.25">
      <c r="A133" s="256" t="e">
        <f t="shared" si="26"/>
        <v>#N/A</v>
      </c>
      <c r="B133" s="266"/>
      <c r="C133" s="518"/>
      <c r="D133" s="590"/>
      <c r="E133" s="590"/>
      <c r="F133" s="590"/>
      <c r="G133" s="590"/>
      <c r="H133" s="597"/>
      <c r="I133" s="597"/>
      <c r="J133" s="590"/>
      <c r="K133" s="74"/>
      <c r="L133" s="74"/>
      <c r="M133" s="74"/>
      <c r="N133" s="74"/>
    </row>
    <row r="134" spans="1:14" hidden="1" x14ac:dyDescent="0.25">
      <c r="A134" s="256" t="e">
        <f t="shared" si="26"/>
        <v>#N/A</v>
      </c>
      <c r="B134" s="266"/>
      <c r="C134" s="518"/>
      <c r="D134" s="590"/>
      <c r="E134" s="590"/>
      <c r="F134" s="590"/>
      <c r="G134" s="590"/>
      <c r="H134" s="597"/>
      <c r="I134" s="597"/>
      <c r="J134" s="590"/>
      <c r="K134" s="74"/>
      <c r="L134" s="74"/>
      <c r="M134" s="74"/>
      <c r="N134" s="74"/>
    </row>
    <row r="135" spans="1:14" hidden="1" x14ac:dyDescent="0.25">
      <c r="A135" s="256" t="e">
        <f t="shared" si="26"/>
        <v>#N/A</v>
      </c>
      <c r="B135" s="266"/>
      <c r="C135" s="518"/>
      <c r="D135" s="590"/>
      <c r="E135" s="590"/>
      <c r="F135" s="590"/>
      <c r="G135" s="590"/>
      <c r="H135" s="597"/>
      <c r="I135" s="597"/>
      <c r="J135" s="590"/>
      <c r="K135" s="74"/>
      <c r="L135" s="74"/>
      <c r="M135" s="74"/>
      <c r="N135" s="74"/>
    </row>
    <row r="136" spans="1:14" hidden="1" x14ac:dyDescent="0.25">
      <c r="A136" s="256" t="e">
        <f t="shared" si="26"/>
        <v>#N/A</v>
      </c>
      <c r="B136" s="266"/>
      <c r="C136" s="518"/>
      <c r="D136" s="590"/>
      <c r="E136" s="590"/>
      <c r="F136" s="590"/>
      <c r="G136" s="590"/>
      <c r="H136" s="597"/>
      <c r="I136" s="597"/>
      <c r="J136" s="590"/>
      <c r="K136" s="74"/>
      <c r="L136" s="74"/>
      <c r="M136" s="74"/>
      <c r="N136" s="74"/>
    </row>
    <row r="137" spans="1:14" hidden="1" x14ac:dyDescent="0.25">
      <c r="A137" s="256" t="e">
        <f t="shared" si="26"/>
        <v>#N/A</v>
      </c>
      <c r="B137" s="266"/>
      <c r="C137" s="518"/>
      <c r="D137" s="590"/>
      <c r="E137" s="590"/>
      <c r="F137" s="590"/>
      <c r="G137" s="590"/>
      <c r="H137" s="597"/>
      <c r="I137" s="597"/>
      <c r="J137" s="590"/>
      <c r="K137" s="74"/>
      <c r="L137" s="74"/>
      <c r="M137" s="74"/>
      <c r="N137" s="74"/>
    </row>
    <row r="138" spans="1:14" hidden="1" x14ac:dyDescent="0.25">
      <c r="A138" s="256" t="e">
        <f t="shared" si="26"/>
        <v>#N/A</v>
      </c>
      <c r="B138" s="266"/>
      <c r="C138" s="518"/>
      <c r="D138" s="590"/>
      <c r="E138" s="590"/>
      <c r="F138" s="590"/>
      <c r="G138" s="590"/>
      <c r="H138" s="597"/>
      <c r="I138" s="597"/>
      <c r="J138" s="590"/>
      <c r="K138" s="74"/>
      <c r="L138" s="74"/>
      <c r="M138" s="74"/>
      <c r="N138" s="74"/>
    </row>
    <row r="139" spans="1:14" hidden="1" x14ac:dyDescent="0.25">
      <c r="A139" s="256" t="e">
        <f t="shared" si="26"/>
        <v>#N/A</v>
      </c>
      <c r="B139" s="266"/>
      <c r="C139" s="518"/>
      <c r="D139" s="590"/>
      <c r="E139" s="590"/>
      <c r="F139" s="590"/>
      <c r="G139" s="590"/>
      <c r="H139" s="597"/>
      <c r="I139" s="597"/>
      <c r="J139" s="590"/>
      <c r="K139" s="74"/>
      <c r="L139" s="74"/>
      <c r="M139" s="74"/>
      <c r="N139" s="74"/>
    </row>
    <row r="140" spans="1:14" hidden="1" x14ac:dyDescent="0.25">
      <c r="A140" s="256" t="e">
        <f t="shared" si="26"/>
        <v>#N/A</v>
      </c>
      <c r="B140" s="266"/>
      <c r="C140" s="518"/>
      <c r="D140" s="590"/>
      <c r="E140" s="590"/>
      <c r="F140" s="590"/>
      <c r="G140" s="590"/>
      <c r="H140" s="597"/>
      <c r="I140" s="597"/>
      <c r="J140" s="590"/>
      <c r="K140" s="74"/>
      <c r="L140" s="74"/>
      <c r="M140" s="74"/>
      <c r="N140" s="74"/>
    </row>
    <row r="141" spans="1:14" hidden="1" x14ac:dyDescent="0.25">
      <c r="A141" s="256" t="e">
        <f t="shared" si="26"/>
        <v>#N/A</v>
      </c>
      <c r="B141" s="266"/>
      <c r="C141" s="518"/>
      <c r="D141" s="590"/>
      <c r="E141" s="590"/>
      <c r="F141" s="590"/>
      <c r="G141" s="590"/>
      <c r="H141" s="597"/>
      <c r="I141" s="597"/>
      <c r="J141" s="590"/>
      <c r="K141" s="74"/>
      <c r="L141" s="74"/>
      <c r="M141" s="74"/>
      <c r="N141" s="74"/>
    </row>
    <row r="142" spans="1:14" hidden="1" x14ac:dyDescent="0.25">
      <c r="A142" s="256" t="e">
        <f t="shared" si="26"/>
        <v>#N/A</v>
      </c>
      <c r="B142" s="266"/>
      <c r="C142" s="518"/>
      <c r="D142" s="590"/>
      <c r="E142" s="590"/>
      <c r="F142" s="590"/>
      <c r="G142" s="590"/>
      <c r="H142" s="597"/>
      <c r="I142" s="597"/>
      <c r="J142" s="590"/>
      <c r="K142" s="74"/>
      <c r="L142" s="74"/>
      <c r="M142" s="74"/>
      <c r="N142" s="74"/>
    </row>
    <row r="143" spans="1:14" hidden="1" x14ac:dyDescent="0.25">
      <c r="A143" s="256" t="e">
        <f t="shared" si="26"/>
        <v>#N/A</v>
      </c>
      <c r="B143" s="266"/>
      <c r="C143" s="518"/>
      <c r="D143" s="590"/>
      <c r="E143" s="590"/>
      <c r="F143" s="590"/>
      <c r="G143" s="590"/>
      <c r="H143" s="597"/>
      <c r="I143" s="597"/>
      <c r="J143" s="590"/>
      <c r="K143" s="74"/>
      <c r="L143" s="74"/>
      <c r="M143" s="74"/>
      <c r="N143" s="74"/>
    </row>
    <row r="144" spans="1:14" hidden="1" x14ac:dyDescent="0.25">
      <c r="A144" s="256" t="e">
        <f t="shared" si="26"/>
        <v>#N/A</v>
      </c>
      <c r="B144" s="266"/>
      <c r="C144" s="518"/>
      <c r="D144" s="590"/>
      <c r="E144" s="590"/>
      <c r="F144" s="590"/>
      <c r="G144" s="590"/>
      <c r="H144" s="597"/>
      <c r="I144" s="597"/>
      <c r="J144" s="590"/>
      <c r="K144" s="74"/>
      <c r="L144" s="74"/>
      <c r="M144" s="74"/>
      <c r="N144" s="74"/>
    </row>
    <row r="145" spans="1:14" hidden="1" x14ac:dyDescent="0.25">
      <c r="A145" s="256" t="e">
        <f t="shared" si="26"/>
        <v>#N/A</v>
      </c>
      <c r="B145" s="266"/>
      <c r="C145" s="518"/>
      <c r="D145" s="590"/>
      <c r="E145" s="590"/>
      <c r="F145" s="590"/>
      <c r="G145" s="590"/>
      <c r="H145" s="597"/>
      <c r="I145" s="597"/>
      <c r="J145" s="590"/>
      <c r="K145" s="74"/>
      <c r="L145" s="74"/>
      <c r="M145" s="74"/>
      <c r="N145" s="74"/>
    </row>
    <row r="146" spans="1:14" hidden="1" x14ac:dyDescent="0.25">
      <c r="A146" s="256" t="e">
        <f t="shared" si="26"/>
        <v>#N/A</v>
      </c>
      <c r="B146" s="266"/>
      <c r="C146" s="518"/>
      <c r="D146" s="590"/>
      <c r="E146" s="590"/>
      <c r="F146" s="590"/>
      <c r="G146" s="590"/>
      <c r="H146" s="597"/>
      <c r="I146" s="597"/>
      <c r="J146" s="590"/>
      <c r="K146" s="74"/>
      <c r="L146" s="74"/>
      <c r="M146" s="74"/>
      <c r="N146" s="74"/>
    </row>
    <row r="147" spans="1:14" hidden="1" x14ac:dyDescent="0.25">
      <c r="A147" s="256" t="e">
        <f t="shared" si="26"/>
        <v>#N/A</v>
      </c>
      <c r="B147" s="266"/>
      <c r="C147" s="518"/>
      <c r="D147" s="590"/>
      <c r="E147" s="590"/>
      <c r="F147" s="590"/>
      <c r="G147" s="590"/>
      <c r="H147" s="597"/>
      <c r="I147" s="597"/>
      <c r="J147" s="590"/>
      <c r="K147" s="74"/>
      <c r="L147" s="74"/>
      <c r="M147" s="74"/>
      <c r="N147" s="74"/>
    </row>
    <row r="148" spans="1:14" hidden="1" x14ac:dyDescent="0.25">
      <c r="A148" s="256" t="e">
        <f t="shared" si="26"/>
        <v>#N/A</v>
      </c>
      <c r="B148" s="266"/>
      <c r="C148" s="518"/>
      <c r="D148" s="590"/>
      <c r="E148" s="590"/>
      <c r="F148" s="590"/>
      <c r="G148" s="590"/>
      <c r="H148" s="597"/>
      <c r="I148" s="597"/>
      <c r="J148" s="590"/>
      <c r="K148" s="74"/>
      <c r="L148" s="74"/>
      <c r="M148" s="74"/>
      <c r="N148" s="74"/>
    </row>
    <row r="149" spans="1:14" hidden="1" x14ac:dyDescent="0.25">
      <c r="A149" s="256" t="e">
        <f t="shared" si="26"/>
        <v>#N/A</v>
      </c>
      <c r="B149" s="266"/>
      <c r="C149" s="518"/>
      <c r="D149" s="590"/>
      <c r="E149" s="590"/>
      <c r="F149" s="590"/>
      <c r="G149" s="590"/>
      <c r="H149" s="597"/>
      <c r="I149" s="597"/>
      <c r="J149" s="590"/>
      <c r="K149" s="74"/>
      <c r="L149" s="74"/>
      <c r="M149" s="74"/>
      <c r="N149" s="74"/>
    </row>
    <row r="150" spans="1:14" hidden="1" x14ac:dyDescent="0.25">
      <c r="A150" s="256" t="e">
        <f t="shared" si="26"/>
        <v>#N/A</v>
      </c>
      <c r="B150" s="266"/>
      <c r="C150" s="518"/>
      <c r="D150" s="590"/>
      <c r="E150" s="590"/>
      <c r="F150" s="590"/>
      <c r="G150" s="590"/>
      <c r="H150" s="597"/>
      <c r="I150" s="597"/>
      <c r="J150" s="590"/>
      <c r="K150" s="74"/>
      <c r="L150" s="74"/>
      <c r="M150" s="74"/>
      <c r="N150" s="74"/>
    </row>
    <row r="151" spans="1:14" hidden="1" x14ac:dyDescent="0.25">
      <c r="A151" s="256" t="e">
        <f t="shared" si="26"/>
        <v>#N/A</v>
      </c>
      <c r="B151" s="266"/>
      <c r="C151" s="518"/>
      <c r="D151" s="590"/>
      <c r="E151" s="590"/>
      <c r="F151" s="590"/>
      <c r="G151" s="590"/>
      <c r="H151" s="597"/>
      <c r="I151" s="597"/>
      <c r="J151" s="590"/>
      <c r="K151" s="74"/>
      <c r="L151" s="74"/>
      <c r="M151" s="74"/>
      <c r="N151" s="74"/>
    </row>
    <row r="152" spans="1:14" hidden="1" x14ac:dyDescent="0.25">
      <c r="A152" s="256" t="e">
        <f t="shared" si="26"/>
        <v>#N/A</v>
      </c>
      <c r="B152" s="266"/>
      <c r="C152" s="518"/>
      <c r="D152" s="590"/>
      <c r="E152" s="590"/>
      <c r="F152" s="590"/>
      <c r="G152" s="590"/>
      <c r="H152" s="597"/>
      <c r="I152" s="597"/>
      <c r="J152" s="590"/>
      <c r="K152" s="74"/>
      <c r="L152" s="74"/>
      <c r="M152" s="74"/>
      <c r="N152" s="74"/>
    </row>
    <row r="153" spans="1:14" hidden="1" x14ac:dyDescent="0.25">
      <c r="A153" s="256" t="e">
        <f t="shared" si="26"/>
        <v>#N/A</v>
      </c>
      <c r="B153" s="266"/>
      <c r="C153" s="518"/>
      <c r="D153" s="590"/>
      <c r="E153" s="590"/>
      <c r="F153" s="590"/>
      <c r="G153" s="590"/>
      <c r="H153" s="597"/>
      <c r="I153" s="597"/>
      <c r="J153" s="590"/>
      <c r="K153" s="74"/>
      <c r="L153" s="74"/>
      <c r="M153" s="74"/>
      <c r="N153" s="74"/>
    </row>
    <row r="154" spans="1:14" hidden="1" x14ac:dyDescent="0.25">
      <c r="A154" s="256" t="e">
        <f t="shared" si="26"/>
        <v>#N/A</v>
      </c>
      <c r="B154" s="266"/>
      <c r="C154" s="518"/>
      <c r="D154" s="590"/>
      <c r="E154" s="590"/>
      <c r="F154" s="590"/>
      <c r="G154" s="590"/>
      <c r="H154" s="597"/>
      <c r="I154" s="597"/>
      <c r="J154" s="590"/>
      <c r="K154" s="74"/>
      <c r="L154" s="74"/>
      <c r="M154" s="74"/>
      <c r="N154" s="74"/>
    </row>
    <row r="155" spans="1:14" hidden="1" x14ac:dyDescent="0.25">
      <c r="A155" s="256" t="e">
        <f t="shared" si="26"/>
        <v>#N/A</v>
      </c>
      <c r="B155" s="266"/>
      <c r="C155" s="518"/>
      <c r="D155" s="590"/>
      <c r="E155" s="590"/>
      <c r="F155" s="590"/>
      <c r="G155" s="590"/>
      <c r="H155" s="597"/>
      <c r="I155" s="597"/>
      <c r="J155" s="590"/>
      <c r="K155" s="74"/>
      <c r="L155" s="74"/>
      <c r="M155" s="74"/>
      <c r="N155" s="74"/>
    </row>
    <row r="156" spans="1:14" hidden="1" x14ac:dyDescent="0.25">
      <c r="A156" s="256" t="e">
        <f t="shared" si="26"/>
        <v>#N/A</v>
      </c>
      <c r="B156" s="266"/>
      <c r="C156" s="518"/>
      <c r="D156" s="590"/>
      <c r="E156" s="590"/>
      <c r="F156" s="590"/>
      <c r="G156" s="590"/>
      <c r="H156" s="597"/>
      <c r="I156" s="597"/>
      <c r="J156" s="590"/>
      <c r="K156" s="74"/>
      <c r="L156" s="74"/>
      <c r="M156" s="74"/>
      <c r="N156" s="74"/>
    </row>
    <row r="157" spans="1:14" hidden="1" x14ac:dyDescent="0.25">
      <c r="A157" s="256" t="e">
        <f t="shared" ref="A157:A220" si="27">VLOOKUP(J157,SuppliesExpCodes,2)</f>
        <v>#N/A</v>
      </c>
      <c r="B157" s="266"/>
      <c r="C157" s="518"/>
      <c r="D157" s="590"/>
      <c r="E157" s="590"/>
      <c r="F157" s="590"/>
      <c r="G157" s="590"/>
      <c r="H157" s="597"/>
      <c r="I157" s="597"/>
      <c r="J157" s="590"/>
      <c r="K157" s="74"/>
      <c r="L157" s="74"/>
      <c r="M157" s="74"/>
      <c r="N157" s="74"/>
    </row>
    <row r="158" spans="1:14" hidden="1" x14ac:dyDescent="0.25">
      <c r="A158" s="256" t="e">
        <f t="shared" si="27"/>
        <v>#N/A</v>
      </c>
      <c r="B158" s="266"/>
      <c r="C158" s="518"/>
      <c r="D158" s="590"/>
      <c r="E158" s="590"/>
      <c r="F158" s="590"/>
      <c r="G158" s="590"/>
      <c r="H158" s="597"/>
      <c r="I158" s="597"/>
      <c r="J158" s="590"/>
      <c r="K158" s="74"/>
      <c r="L158" s="74"/>
      <c r="M158" s="74"/>
      <c r="N158" s="74"/>
    </row>
    <row r="159" spans="1:14" hidden="1" x14ac:dyDescent="0.25">
      <c r="A159" s="256" t="e">
        <f t="shared" si="27"/>
        <v>#N/A</v>
      </c>
      <c r="B159" s="266"/>
      <c r="C159" s="518"/>
      <c r="D159" s="590"/>
      <c r="E159" s="590"/>
      <c r="F159" s="590"/>
      <c r="G159" s="590"/>
      <c r="H159" s="597"/>
      <c r="I159" s="597"/>
      <c r="J159" s="590"/>
      <c r="K159" s="74"/>
      <c r="L159" s="74"/>
      <c r="M159" s="74"/>
      <c r="N159" s="74"/>
    </row>
    <row r="160" spans="1:14" hidden="1" x14ac:dyDescent="0.25">
      <c r="A160" s="256" t="e">
        <f t="shared" si="27"/>
        <v>#N/A</v>
      </c>
      <c r="B160" s="266"/>
      <c r="C160" s="518"/>
      <c r="D160" s="590"/>
      <c r="E160" s="590"/>
      <c r="F160" s="590"/>
      <c r="G160" s="590"/>
      <c r="H160" s="597"/>
      <c r="I160" s="597"/>
      <c r="J160" s="590"/>
      <c r="K160" s="74"/>
      <c r="L160" s="74"/>
      <c r="M160" s="74"/>
      <c r="N160" s="74"/>
    </row>
    <row r="161" spans="1:14" hidden="1" x14ac:dyDescent="0.25">
      <c r="A161" s="256" t="e">
        <f t="shared" si="27"/>
        <v>#N/A</v>
      </c>
      <c r="B161" s="266"/>
      <c r="C161" s="518"/>
      <c r="D161" s="590"/>
      <c r="E161" s="590"/>
      <c r="F161" s="590"/>
      <c r="G161" s="590"/>
      <c r="H161" s="597"/>
      <c r="I161" s="597"/>
      <c r="J161" s="590"/>
      <c r="K161" s="74"/>
      <c r="L161" s="74"/>
      <c r="M161" s="74"/>
      <c r="N161" s="74"/>
    </row>
    <row r="162" spans="1:14" hidden="1" x14ac:dyDescent="0.25">
      <c r="A162" s="256" t="e">
        <f t="shared" si="27"/>
        <v>#N/A</v>
      </c>
      <c r="B162" s="266"/>
      <c r="C162" s="518"/>
      <c r="D162" s="590"/>
      <c r="E162" s="590"/>
      <c r="F162" s="590"/>
      <c r="G162" s="590"/>
      <c r="H162" s="597"/>
      <c r="I162" s="597"/>
      <c r="J162" s="590"/>
      <c r="K162" s="74"/>
      <c r="L162" s="74"/>
      <c r="M162" s="74"/>
      <c r="N162" s="74"/>
    </row>
    <row r="163" spans="1:14" hidden="1" x14ac:dyDescent="0.25">
      <c r="A163" s="256" t="e">
        <f t="shared" si="27"/>
        <v>#N/A</v>
      </c>
      <c r="B163" s="266"/>
      <c r="C163" s="518"/>
      <c r="D163" s="590"/>
      <c r="E163" s="590"/>
      <c r="F163" s="590"/>
      <c r="G163" s="590"/>
      <c r="H163" s="597"/>
      <c r="I163" s="597"/>
      <c r="J163" s="590"/>
      <c r="K163" s="74"/>
      <c r="L163" s="74"/>
      <c r="M163" s="74"/>
      <c r="N163" s="74"/>
    </row>
    <row r="164" spans="1:14" hidden="1" x14ac:dyDescent="0.25">
      <c r="A164" s="256" t="e">
        <f t="shared" si="27"/>
        <v>#N/A</v>
      </c>
      <c r="B164" s="266"/>
      <c r="C164" s="518"/>
      <c r="D164" s="590"/>
      <c r="E164" s="590"/>
      <c r="F164" s="590"/>
      <c r="G164" s="590"/>
      <c r="H164" s="597"/>
      <c r="I164" s="597"/>
      <c r="J164" s="590"/>
      <c r="K164" s="74"/>
      <c r="L164" s="74"/>
      <c r="M164" s="74"/>
      <c r="N164" s="74"/>
    </row>
    <row r="165" spans="1:14" hidden="1" x14ac:dyDescent="0.25">
      <c r="A165" s="256" t="e">
        <f t="shared" si="27"/>
        <v>#N/A</v>
      </c>
      <c r="B165" s="266"/>
      <c r="C165" s="518"/>
      <c r="D165" s="590"/>
      <c r="E165" s="590"/>
      <c r="F165" s="590"/>
      <c r="G165" s="590"/>
      <c r="H165" s="597"/>
      <c r="I165" s="597"/>
      <c r="J165" s="590"/>
      <c r="K165" s="74"/>
      <c r="L165" s="74"/>
      <c r="M165" s="74"/>
      <c r="N165" s="74"/>
    </row>
    <row r="166" spans="1:14" hidden="1" x14ac:dyDescent="0.25">
      <c r="A166" s="256" t="e">
        <f t="shared" si="27"/>
        <v>#N/A</v>
      </c>
      <c r="B166" s="266"/>
      <c r="C166" s="518"/>
      <c r="D166" s="590"/>
      <c r="E166" s="590"/>
      <c r="F166" s="590"/>
      <c r="G166" s="590"/>
      <c r="H166" s="597"/>
      <c r="I166" s="597"/>
      <c r="J166" s="590"/>
      <c r="K166" s="74"/>
      <c r="L166" s="74"/>
      <c r="M166" s="74"/>
      <c r="N166" s="74"/>
    </row>
    <row r="167" spans="1:14" hidden="1" x14ac:dyDescent="0.25">
      <c r="A167" s="256" t="e">
        <f t="shared" si="27"/>
        <v>#N/A</v>
      </c>
      <c r="B167" s="266"/>
      <c r="C167" s="518"/>
      <c r="D167" s="590"/>
      <c r="E167" s="590"/>
      <c r="F167" s="590"/>
      <c r="G167" s="590"/>
      <c r="H167" s="597"/>
      <c r="I167" s="597"/>
      <c r="J167" s="590"/>
      <c r="K167" s="74"/>
      <c r="L167" s="74"/>
      <c r="M167" s="74"/>
      <c r="N167" s="74"/>
    </row>
    <row r="168" spans="1:14" hidden="1" x14ac:dyDescent="0.25">
      <c r="A168" s="256" t="e">
        <f t="shared" si="27"/>
        <v>#N/A</v>
      </c>
      <c r="B168" s="266"/>
      <c r="C168" s="518"/>
      <c r="D168" s="590"/>
      <c r="E168" s="590"/>
      <c r="F168" s="590"/>
      <c r="G168" s="590"/>
      <c r="H168" s="597"/>
      <c r="I168" s="597"/>
      <c r="J168" s="590"/>
      <c r="K168" s="74"/>
      <c r="L168" s="74"/>
      <c r="M168" s="74"/>
      <c r="N168" s="74"/>
    </row>
    <row r="169" spans="1:14" hidden="1" x14ac:dyDescent="0.25">
      <c r="A169" s="256" t="e">
        <f t="shared" si="27"/>
        <v>#N/A</v>
      </c>
      <c r="B169" s="266"/>
      <c r="C169" s="518"/>
      <c r="D169" s="590"/>
      <c r="E169" s="590"/>
      <c r="F169" s="590"/>
      <c r="G169" s="590"/>
      <c r="H169" s="597"/>
      <c r="I169" s="597"/>
      <c r="J169" s="590"/>
      <c r="K169" s="74"/>
      <c r="L169" s="74"/>
      <c r="M169" s="74"/>
      <c r="N169" s="74"/>
    </row>
    <row r="170" spans="1:14" hidden="1" x14ac:dyDescent="0.25">
      <c r="A170" s="256" t="e">
        <f t="shared" si="27"/>
        <v>#N/A</v>
      </c>
      <c r="B170" s="266"/>
      <c r="C170" s="518"/>
      <c r="D170" s="590"/>
      <c r="E170" s="590"/>
      <c r="F170" s="590"/>
      <c r="G170" s="590"/>
      <c r="H170" s="597"/>
      <c r="I170" s="597"/>
      <c r="J170" s="590"/>
      <c r="K170" s="74"/>
      <c r="L170" s="74"/>
      <c r="M170" s="74"/>
      <c r="N170" s="74"/>
    </row>
    <row r="171" spans="1:14" hidden="1" x14ac:dyDescent="0.25">
      <c r="A171" s="256" t="e">
        <f t="shared" si="27"/>
        <v>#N/A</v>
      </c>
      <c r="B171" s="266"/>
      <c r="C171" s="518"/>
      <c r="D171" s="590"/>
      <c r="E171" s="590"/>
      <c r="F171" s="590"/>
      <c r="G171" s="590"/>
      <c r="H171" s="597"/>
      <c r="I171" s="597"/>
      <c r="J171" s="590"/>
      <c r="K171" s="74"/>
      <c r="L171" s="74"/>
      <c r="M171" s="74"/>
      <c r="N171" s="74"/>
    </row>
    <row r="172" spans="1:14" hidden="1" x14ac:dyDescent="0.25">
      <c r="A172" s="256" t="e">
        <f t="shared" si="27"/>
        <v>#N/A</v>
      </c>
      <c r="B172" s="266"/>
      <c r="C172" s="518"/>
      <c r="D172" s="590"/>
      <c r="E172" s="590"/>
      <c r="F172" s="590"/>
      <c r="G172" s="590"/>
      <c r="H172" s="597"/>
      <c r="I172" s="597"/>
      <c r="J172" s="590"/>
      <c r="K172" s="74"/>
      <c r="L172" s="74"/>
      <c r="M172" s="74"/>
      <c r="N172" s="74"/>
    </row>
    <row r="173" spans="1:14" hidden="1" x14ac:dyDescent="0.25">
      <c r="A173" s="256" t="e">
        <f t="shared" si="27"/>
        <v>#N/A</v>
      </c>
      <c r="B173" s="266"/>
      <c r="C173" s="518"/>
      <c r="D173" s="590"/>
      <c r="E173" s="590"/>
      <c r="F173" s="590"/>
      <c r="G173" s="590"/>
      <c r="H173" s="597"/>
      <c r="I173" s="597"/>
      <c r="J173" s="590"/>
      <c r="K173" s="74"/>
      <c r="L173" s="74"/>
      <c r="M173" s="74"/>
      <c r="N173" s="74"/>
    </row>
    <row r="174" spans="1:14" hidden="1" x14ac:dyDescent="0.25">
      <c r="A174" s="256" t="e">
        <f t="shared" si="27"/>
        <v>#N/A</v>
      </c>
      <c r="B174" s="266"/>
      <c r="C174" s="518"/>
      <c r="D174" s="590"/>
      <c r="E174" s="590"/>
      <c r="F174" s="590"/>
      <c r="G174" s="590"/>
      <c r="H174" s="597"/>
      <c r="I174" s="597"/>
      <c r="J174" s="590"/>
      <c r="K174" s="74"/>
      <c r="L174" s="74"/>
      <c r="M174" s="74"/>
      <c r="N174" s="74"/>
    </row>
    <row r="175" spans="1:14" hidden="1" x14ac:dyDescent="0.25">
      <c r="A175" s="256" t="e">
        <f t="shared" si="27"/>
        <v>#N/A</v>
      </c>
      <c r="B175" s="266"/>
      <c r="C175" s="518"/>
      <c r="D175" s="590"/>
      <c r="E175" s="590"/>
      <c r="F175" s="590"/>
      <c r="G175" s="590"/>
      <c r="H175" s="597"/>
      <c r="I175" s="597"/>
      <c r="J175" s="590"/>
      <c r="K175" s="74"/>
      <c r="L175" s="74"/>
      <c r="M175" s="74"/>
      <c r="N175" s="74"/>
    </row>
    <row r="176" spans="1:14" hidden="1" x14ac:dyDescent="0.25">
      <c r="A176" s="256" t="e">
        <f t="shared" si="27"/>
        <v>#N/A</v>
      </c>
      <c r="B176" s="266"/>
      <c r="C176" s="518"/>
      <c r="D176" s="590"/>
      <c r="E176" s="590"/>
      <c r="F176" s="590"/>
      <c r="G176" s="590"/>
      <c r="H176" s="597"/>
      <c r="I176" s="597"/>
      <c r="J176" s="590"/>
      <c r="K176" s="74"/>
      <c r="L176" s="74"/>
      <c r="M176" s="74"/>
      <c r="N176" s="74"/>
    </row>
    <row r="177" spans="1:14" hidden="1" x14ac:dyDescent="0.25">
      <c r="A177" s="256" t="e">
        <f t="shared" si="27"/>
        <v>#N/A</v>
      </c>
      <c r="B177" s="266"/>
      <c r="C177" s="518"/>
      <c r="D177" s="590"/>
      <c r="E177" s="590"/>
      <c r="F177" s="590"/>
      <c r="G177" s="590"/>
      <c r="H177" s="597"/>
      <c r="I177" s="597"/>
      <c r="J177" s="590"/>
      <c r="K177" s="74"/>
      <c r="L177" s="74"/>
      <c r="M177" s="74"/>
      <c r="N177" s="74"/>
    </row>
    <row r="178" spans="1:14" hidden="1" x14ac:dyDescent="0.25">
      <c r="A178" s="256" t="e">
        <f t="shared" si="27"/>
        <v>#N/A</v>
      </c>
      <c r="B178" s="266"/>
      <c r="C178" s="518"/>
      <c r="D178" s="590"/>
      <c r="E178" s="590"/>
      <c r="F178" s="590"/>
      <c r="G178" s="590"/>
      <c r="H178" s="597"/>
      <c r="I178" s="597"/>
      <c r="J178" s="590"/>
      <c r="K178" s="74"/>
      <c r="L178" s="74"/>
      <c r="M178" s="74"/>
      <c r="N178" s="74"/>
    </row>
    <row r="179" spans="1:14" hidden="1" x14ac:dyDescent="0.25">
      <c r="A179" s="256" t="e">
        <f t="shared" si="27"/>
        <v>#N/A</v>
      </c>
      <c r="B179" s="266"/>
      <c r="C179" s="518"/>
      <c r="D179" s="590"/>
      <c r="E179" s="590"/>
      <c r="F179" s="590"/>
      <c r="G179" s="590"/>
      <c r="H179" s="597"/>
      <c r="I179" s="597"/>
      <c r="J179" s="590"/>
      <c r="K179" s="74"/>
      <c r="L179" s="74"/>
      <c r="M179" s="74"/>
      <c r="N179" s="74"/>
    </row>
    <row r="180" spans="1:14" hidden="1" x14ac:dyDescent="0.25">
      <c r="A180" s="256" t="e">
        <f t="shared" si="27"/>
        <v>#N/A</v>
      </c>
      <c r="B180" s="266"/>
      <c r="C180" s="518"/>
      <c r="D180" s="590"/>
      <c r="E180" s="590"/>
      <c r="F180" s="590"/>
      <c r="G180" s="590"/>
      <c r="H180" s="597"/>
      <c r="I180" s="597"/>
      <c r="J180" s="590"/>
      <c r="K180" s="74"/>
      <c r="L180" s="74"/>
      <c r="M180" s="74"/>
      <c r="N180" s="74"/>
    </row>
    <row r="181" spans="1:14" hidden="1" x14ac:dyDescent="0.25">
      <c r="A181" s="256" t="e">
        <f t="shared" si="27"/>
        <v>#N/A</v>
      </c>
      <c r="B181" s="266"/>
      <c r="C181" s="518"/>
      <c r="D181" s="590"/>
      <c r="E181" s="590"/>
      <c r="F181" s="590"/>
      <c r="G181" s="590"/>
      <c r="H181" s="597"/>
      <c r="I181" s="597"/>
      <c r="J181" s="590"/>
      <c r="K181" s="74"/>
      <c r="L181" s="74"/>
      <c r="M181" s="74"/>
      <c r="N181" s="74"/>
    </row>
    <row r="182" spans="1:14" hidden="1" x14ac:dyDescent="0.25">
      <c r="A182" s="256" t="e">
        <f t="shared" si="27"/>
        <v>#N/A</v>
      </c>
      <c r="B182" s="266"/>
      <c r="C182" s="518"/>
      <c r="D182" s="590"/>
      <c r="E182" s="590"/>
      <c r="F182" s="590"/>
      <c r="G182" s="590"/>
      <c r="H182" s="597"/>
      <c r="I182" s="597"/>
      <c r="J182" s="590"/>
      <c r="K182" s="74"/>
      <c r="L182" s="74"/>
      <c r="M182" s="74"/>
      <c r="N182" s="74"/>
    </row>
    <row r="183" spans="1:14" hidden="1" x14ac:dyDescent="0.25">
      <c r="A183" s="256" t="e">
        <f t="shared" si="27"/>
        <v>#N/A</v>
      </c>
      <c r="B183" s="266"/>
      <c r="C183" s="518"/>
      <c r="D183" s="590"/>
      <c r="E183" s="590"/>
      <c r="F183" s="590"/>
      <c r="G183" s="590"/>
      <c r="H183" s="597"/>
      <c r="I183" s="597"/>
      <c r="J183" s="590"/>
      <c r="K183" s="74"/>
      <c r="L183" s="74"/>
      <c r="M183" s="74"/>
      <c r="N183" s="74"/>
    </row>
    <row r="184" spans="1:14" hidden="1" x14ac:dyDescent="0.25">
      <c r="A184" s="256" t="e">
        <f t="shared" si="27"/>
        <v>#N/A</v>
      </c>
      <c r="B184" s="266"/>
      <c r="C184" s="518"/>
      <c r="D184" s="590"/>
      <c r="E184" s="590"/>
      <c r="F184" s="590"/>
      <c r="G184" s="590"/>
      <c r="H184" s="597"/>
      <c r="I184" s="597"/>
      <c r="J184" s="590"/>
      <c r="K184" s="74"/>
      <c r="L184" s="74"/>
      <c r="M184" s="74"/>
      <c r="N184" s="74"/>
    </row>
    <row r="185" spans="1:14" hidden="1" x14ac:dyDescent="0.25">
      <c r="A185" s="256" t="e">
        <f t="shared" si="27"/>
        <v>#N/A</v>
      </c>
      <c r="B185" s="266"/>
      <c r="C185" s="518"/>
      <c r="D185" s="590"/>
      <c r="E185" s="590"/>
      <c r="F185" s="590"/>
      <c r="G185" s="590"/>
      <c r="H185" s="597"/>
      <c r="I185" s="597"/>
      <c r="J185" s="590"/>
      <c r="K185" s="74"/>
      <c r="L185" s="74"/>
      <c r="M185" s="74"/>
      <c r="N185" s="74"/>
    </row>
    <row r="186" spans="1:14" hidden="1" x14ac:dyDescent="0.25">
      <c r="A186" s="256" t="e">
        <f t="shared" si="27"/>
        <v>#N/A</v>
      </c>
      <c r="B186" s="266"/>
      <c r="C186" s="518"/>
      <c r="D186" s="590"/>
      <c r="E186" s="590"/>
      <c r="F186" s="590"/>
      <c r="G186" s="590"/>
      <c r="H186" s="597"/>
      <c r="I186" s="597"/>
      <c r="J186" s="590"/>
      <c r="K186" s="74"/>
      <c r="L186" s="74"/>
      <c r="M186" s="74"/>
      <c r="N186" s="74"/>
    </row>
    <row r="187" spans="1:14" hidden="1" x14ac:dyDescent="0.25">
      <c r="A187" s="256" t="e">
        <f t="shared" si="27"/>
        <v>#N/A</v>
      </c>
      <c r="B187" s="266"/>
      <c r="C187" s="518"/>
      <c r="D187" s="590"/>
      <c r="E187" s="590"/>
      <c r="F187" s="590"/>
      <c r="G187" s="590"/>
      <c r="H187" s="597"/>
      <c r="I187" s="597"/>
      <c r="J187" s="590"/>
      <c r="K187" s="74"/>
      <c r="L187" s="74"/>
      <c r="M187" s="74"/>
      <c r="N187" s="74"/>
    </row>
    <row r="188" spans="1:14" hidden="1" x14ac:dyDescent="0.25">
      <c r="A188" s="256" t="e">
        <f t="shared" si="27"/>
        <v>#N/A</v>
      </c>
      <c r="B188" s="266"/>
      <c r="C188" s="518"/>
      <c r="D188" s="590"/>
      <c r="E188" s="590"/>
      <c r="F188" s="590"/>
      <c r="G188" s="590"/>
      <c r="H188" s="597"/>
      <c r="I188" s="597"/>
      <c r="J188" s="590"/>
      <c r="K188" s="74"/>
      <c r="L188" s="74"/>
      <c r="M188" s="74"/>
      <c r="N188" s="74"/>
    </row>
    <row r="189" spans="1:14" hidden="1" x14ac:dyDescent="0.25">
      <c r="A189" s="256" t="e">
        <f t="shared" si="27"/>
        <v>#N/A</v>
      </c>
      <c r="B189" s="266"/>
      <c r="C189" s="518"/>
      <c r="D189" s="590"/>
      <c r="E189" s="590"/>
      <c r="F189" s="590"/>
      <c r="G189" s="590"/>
      <c r="H189" s="597"/>
      <c r="I189" s="597"/>
      <c r="J189" s="590"/>
      <c r="K189" s="74"/>
      <c r="L189" s="74"/>
      <c r="M189" s="74"/>
      <c r="N189" s="74"/>
    </row>
    <row r="190" spans="1:14" hidden="1" x14ac:dyDescent="0.25">
      <c r="A190" s="256" t="e">
        <f t="shared" si="27"/>
        <v>#N/A</v>
      </c>
      <c r="B190" s="266"/>
      <c r="C190" s="518"/>
      <c r="D190" s="590"/>
      <c r="E190" s="590"/>
      <c r="F190" s="590"/>
      <c r="G190" s="590"/>
      <c r="H190" s="597"/>
      <c r="I190" s="597"/>
      <c r="J190" s="590"/>
      <c r="K190" s="74"/>
      <c r="L190" s="74"/>
      <c r="M190" s="74"/>
      <c r="N190" s="74"/>
    </row>
    <row r="191" spans="1:14" hidden="1" x14ac:dyDescent="0.25">
      <c r="A191" s="256" t="e">
        <f t="shared" si="27"/>
        <v>#N/A</v>
      </c>
      <c r="B191" s="266"/>
      <c r="C191" s="518"/>
      <c r="D191" s="590"/>
      <c r="E191" s="590"/>
      <c r="F191" s="590"/>
      <c r="G191" s="590"/>
      <c r="H191" s="597"/>
      <c r="I191" s="597"/>
      <c r="J191" s="590"/>
      <c r="K191" s="74"/>
      <c r="L191" s="74"/>
      <c r="M191" s="74"/>
      <c r="N191" s="74"/>
    </row>
    <row r="192" spans="1:14" hidden="1" x14ac:dyDescent="0.25">
      <c r="A192" s="256" t="e">
        <f t="shared" si="27"/>
        <v>#N/A</v>
      </c>
      <c r="B192" s="266"/>
      <c r="C192" s="518"/>
      <c r="D192" s="590"/>
      <c r="E192" s="590"/>
      <c r="F192" s="590"/>
      <c r="G192" s="590"/>
      <c r="H192" s="597"/>
      <c r="I192" s="597"/>
      <c r="J192" s="590"/>
      <c r="K192" s="74"/>
      <c r="L192" s="74"/>
      <c r="M192" s="74"/>
      <c r="N192" s="74"/>
    </row>
    <row r="193" spans="1:14" hidden="1" x14ac:dyDescent="0.25">
      <c r="A193" s="256" t="e">
        <f t="shared" si="27"/>
        <v>#N/A</v>
      </c>
      <c r="B193" s="266"/>
      <c r="C193" s="518"/>
      <c r="D193" s="590"/>
      <c r="E193" s="590"/>
      <c r="F193" s="590"/>
      <c r="G193" s="590"/>
      <c r="H193" s="597"/>
      <c r="I193" s="597"/>
      <c r="J193" s="590"/>
      <c r="K193" s="74"/>
      <c r="L193" s="74"/>
      <c r="M193" s="74"/>
      <c r="N193" s="74"/>
    </row>
    <row r="194" spans="1:14" hidden="1" x14ac:dyDescent="0.25">
      <c r="A194" s="256" t="e">
        <f t="shared" si="27"/>
        <v>#N/A</v>
      </c>
      <c r="B194" s="266"/>
      <c r="C194" s="518"/>
      <c r="D194" s="590"/>
      <c r="E194" s="590"/>
      <c r="F194" s="590"/>
      <c r="G194" s="590"/>
      <c r="H194" s="597"/>
      <c r="I194" s="597"/>
      <c r="J194" s="590"/>
      <c r="K194" s="74"/>
      <c r="L194" s="74"/>
      <c r="M194" s="74"/>
      <c r="N194" s="74"/>
    </row>
    <row r="195" spans="1:14" hidden="1" x14ac:dyDescent="0.25">
      <c r="A195" s="256" t="e">
        <f t="shared" si="27"/>
        <v>#N/A</v>
      </c>
      <c r="B195" s="266"/>
      <c r="C195" s="518"/>
      <c r="D195" s="590"/>
      <c r="E195" s="590"/>
      <c r="F195" s="590"/>
      <c r="G195" s="590"/>
      <c r="H195" s="597"/>
      <c r="I195" s="597"/>
      <c r="J195" s="590"/>
      <c r="K195" s="74"/>
      <c r="L195" s="74"/>
      <c r="M195" s="74"/>
      <c r="N195" s="74"/>
    </row>
    <row r="196" spans="1:14" hidden="1" x14ac:dyDescent="0.25">
      <c r="A196" s="256" t="e">
        <f t="shared" si="27"/>
        <v>#N/A</v>
      </c>
      <c r="B196" s="266"/>
      <c r="C196" s="518"/>
      <c r="D196" s="590"/>
      <c r="E196" s="590"/>
      <c r="F196" s="590"/>
      <c r="G196" s="590"/>
      <c r="H196" s="597"/>
      <c r="I196" s="597"/>
      <c r="J196" s="590"/>
      <c r="K196" s="74"/>
      <c r="L196" s="74"/>
      <c r="M196" s="74"/>
      <c r="N196" s="74"/>
    </row>
    <row r="197" spans="1:14" hidden="1" x14ac:dyDescent="0.25">
      <c r="A197" s="256" t="e">
        <f t="shared" si="27"/>
        <v>#N/A</v>
      </c>
      <c r="B197" s="266"/>
      <c r="C197" s="518"/>
      <c r="D197" s="590"/>
      <c r="E197" s="590"/>
      <c r="F197" s="590"/>
      <c r="G197" s="590"/>
      <c r="H197" s="597"/>
      <c r="I197" s="597"/>
      <c r="J197" s="590"/>
      <c r="K197" s="74"/>
      <c r="L197" s="74"/>
      <c r="M197" s="74"/>
      <c r="N197" s="74"/>
    </row>
    <row r="198" spans="1:14" hidden="1" x14ac:dyDescent="0.25">
      <c r="A198" s="256" t="e">
        <f t="shared" si="27"/>
        <v>#N/A</v>
      </c>
      <c r="B198" s="266"/>
      <c r="C198" s="518"/>
      <c r="D198" s="590"/>
      <c r="E198" s="590"/>
      <c r="F198" s="590"/>
      <c r="G198" s="590"/>
      <c r="H198" s="597"/>
      <c r="I198" s="597"/>
      <c r="J198" s="590"/>
      <c r="K198" s="74"/>
      <c r="L198" s="74"/>
      <c r="M198" s="74"/>
      <c r="N198" s="74"/>
    </row>
    <row r="199" spans="1:14" hidden="1" x14ac:dyDescent="0.25">
      <c r="A199" s="256" t="e">
        <f t="shared" si="27"/>
        <v>#N/A</v>
      </c>
      <c r="B199" s="266"/>
      <c r="C199" s="518"/>
      <c r="D199" s="590"/>
      <c r="E199" s="590"/>
      <c r="F199" s="590"/>
      <c r="G199" s="590"/>
      <c r="H199" s="597"/>
      <c r="I199" s="597"/>
      <c r="J199" s="590"/>
      <c r="K199" s="74"/>
      <c r="L199" s="74"/>
      <c r="M199" s="74"/>
      <c r="N199" s="74"/>
    </row>
    <row r="200" spans="1:14" hidden="1" x14ac:dyDescent="0.25">
      <c r="A200" s="256" t="e">
        <f t="shared" si="27"/>
        <v>#N/A</v>
      </c>
      <c r="B200" s="266"/>
      <c r="C200" s="518"/>
      <c r="D200" s="590"/>
      <c r="E200" s="590"/>
      <c r="F200" s="590"/>
      <c r="G200" s="590"/>
      <c r="H200" s="597"/>
      <c r="I200" s="597"/>
      <c r="J200" s="590"/>
      <c r="K200" s="74"/>
      <c r="L200" s="74"/>
      <c r="M200" s="74"/>
      <c r="N200" s="74"/>
    </row>
    <row r="201" spans="1:14" hidden="1" x14ac:dyDescent="0.25">
      <c r="A201" s="256" t="e">
        <f t="shared" si="27"/>
        <v>#N/A</v>
      </c>
      <c r="B201" s="266"/>
      <c r="C201" s="518"/>
      <c r="D201" s="590"/>
      <c r="E201" s="590"/>
      <c r="F201" s="590"/>
      <c r="G201" s="590"/>
      <c r="H201" s="597"/>
      <c r="I201" s="597"/>
      <c r="J201" s="590"/>
      <c r="K201" s="74"/>
      <c r="L201" s="74"/>
      <c r="M201" s="74"/>
      <c r="N201" s="74"/>
    </row>
    <row r="202" spans="1:14" hidden="1" x14ac:dyDescent="0.25">
      <c r="A202" s="256" t="e">
        <f t="shared" si="27"/>
        <v>#N/A</v>
      </c>
      <c r="B202" s="266"/>
      <c r="C202" s="518"/>
      <c r="D202" s="590"/>
      <c r="E202" s="590"/>
      <c r="F202" s="590"/>
      <c r="G202" s="590"/>
      <c r="H202" s="597"/>
      <c r="I202" s="597"/>
      <c r="J202" s="590"/>
      <c r="K202" s="74"/>
      <c r="L202" s="74"/>
      <c r="M202" s="74"/>
      <c r="N202" s="74"/>
    </row>
    <row r="203" spans="1:14" hidden="1" x14ac:dyDescent="0.25">
      <c r="A203" s="256" t="e">
        <f t="shared" si="27"/>
        <v>#N/A</v>
      </c>
      <c r="B203" s="266"/>
      <c r="C203" s="518"/>
      <c r="D203" s="590"/>
      <c r="E203" s="590"/>
      <c r="F203" s="590"/>
      <c r="G203" s="590"/>
      <c r="H203" s="597"/>
      <c r="I203" s="597"/>
      <c r="J203" s="590"/>
      <c r="K203" s="74"/>
      <c r="L203" s="74"/>
      <c r="M203" s="74"/>
      <c r="N203" s="74"/>
    </row>
    <row r="204" spans="1:14" hidden="1" x14ac:dyDescent="0.25">
      <c r="A204" s="256" t="e">
        <f t="shared" si="27"/>
        <v>#N/A</v>
      </c>
      <c r="B204" s="266"/>
      <c r="C204" s="518"/>
      <c r="D204" s="590"/>
      <c r="E204" s="590"/>
      <c r="F204" s="590"/>
      <c r="G204" s="590"/>
      <c r="H204" s="597"/>
      <c r="I204" s="597"/>
      <c r="J204" s="590"/>
      <c r="K204" s="74"/>
      <c r="L204" s="74"/>
      <c r="M204" s="74"/>
      <c r="N204" s="74"/>
    </row>
    <row r="205" spans="1:14" hidden="1" x14ac:dyDescent="0.25">
      <c r="A205" s="256" t="e">
        <f t="shared" si="27"/>
        <v>#N/A</v>
      </c>
      <c r="B205" s="266"/>
      <c r="C205" s="518"/>
      <c r="D205" s="590"/>
      <c r="E205" s="590"/>
      <c r="F205" s="590"/>
      <c r="G205" s="590"/>
      <c r="H205" s="597"/>
      <c r="I205" s="597"/>
      <c r="J205" s="590"/>
      <c r="K205" s="74"/>
      <c r="L205" s="74"/>
      <c r="M205" s="74"/>
      <c r="N205" s="74"/>
    </row>
    <row r="206" spans="1:14" hidden="1" x14ac:dyDescent="0.25">
      <c r="A206" s="256" t="e">
        <f t="shared" si="27"/>
        <v>#N/A</v>
      </c>
      <c r="B206" s="266"/>
      <c r="C206" s="518"/>
      <c r="D206" s="590"/>
      <c r="E206" s="590"/>
      <c r="F206" s="590"/>
      <c r="G206" s="590"/>
      <c r="H206" s="597"/>
      <c r="I206" s="597"/>
      <c r="J206" s="590"/>
      <c r="K206" s="74"/>
      <c r="L206" s="74"/>
      <c r="M206" s="74"/>
      <c r="N206" s="74"/>
    </row>
    <row r="207" spans="1:14" hidden="1" x14ac:dyDescent="0.25">
      <c r="A207" s="256" t="e">
        <f t="shared" si="27"/>
        <v>#N/A</v>
      </c>
      <c r="B207" s="266"/>
      <c r="C207" s="518"/>
      <c r="D207" s="590"/>
      <c r="E207" s="590"/>
      <c r="F207" s="590"/>
      <c r="G207" s="590"/>
      <c r="H207" s="597"/>
      <c r="I207" s="597"/>
      <c r="J207" s="590"/>
      <c r="K207" s="74"/>
      <c r="L207" s="74"/>
      <c r="M207" s="74"/>
      <c r="N207" s="74"/>
    </row>
    <row r="208" spans="1:14" hidden="1" x14ac:dyDescent="0.25">
      <c r="A208" s="256" t="e">
        <f t="shared" si="27"/>
        <v>#N/A</v>
      </c>
      <c r="B208" s="266"/>
      <c r="C208" s="518"/>
      <c r="D208" s="590"/>
      <c r="E208" s="590"/>
      <c r="F208" s="590"/>
      <c r="G208" s="590"/>
      <c r="H208" s="597"/>
      <c r="I208" s="597"/>
      <c r="J208" s="590"/>
      <c r="K208" s="74"/>
      <c r="L208" s="74"/>
      <c r="M208" s="74"/>
      <c r="N208" s="74"/>
    </row>
    <row r="209" spans="1:14" hidden="1" x14ac:dyDescent="0.25">
      <c r="A209" s="256" t="e">
        <f t="shared" si="27"/>
        <v>#N/A</v>
      </c>
      <c r="B209" s="266"/>
      <c r="C209" s="518"/>
      <c r="D209" s="590"/>
      <c r="E209" s="590"/>
      <c r="F209" s="590"/>
      <c r="G209" s="590"/>
      <c r="H209" s="597"/>
      <c r="I209" s="597"/>
      <c r="J209" s="590"/>
      <c r="K209" s="74"/>
      <c r="L209" s="74"/>
      <c r="M209" s="74"/>
      <c r="N209" s="74"/>
    </row>
    <row r="210" spans="1:14" hidden="1" x14ac:dyDescent="0.25">
      <c r="A210" s="256" t="e">
        <f t="shared" si="27"/>
        <v>#N/A</v>
      </c>
      <c r="B210" s="266"/>
      <c r="C210" s="518"/>
      <c r="D210" s="590"/>
      <c r="E210" s="590"/>
      <c r="F210" s="590"/>
      <c r="G210" s="590"/>
      <c r="H210" s="597"/>
      <c r="I210" s="597"/>
      <c r="J210" s="590"/>
      <c r="K210" s="74"/>
      <c r="L210" s="74"/>
      <c r="M210" s="74"/>
      <c r="N210" s="74"/>
    </row>
    <row r="211" spans="1:14" hidden="1" x14ac:dyDescent="0.25">
      <c r="A211" s="256" t="e">
        <f t="shared" si="27"/>
        <v>#N/A</v>
      </c>
      <c r="B211" s="266"/>
      <c r="C211" s="518"/>
      <c r="D211" s="590"/>
      <c r="E211" s="590"/>
      <c r="F211" s="590"/>
      <c r="G211" s="590"/>
      <c r="H211" s="597"/>
      <c r="I211" s="597"/>
      <c r="J211" s="590"/>
      <c r="K211" s="74"/>
      <c r="L211" s="74"/>
      <c r="M211" s="74"/>
      <c r="N211" s="74"/>
    </row>
    <row r="212" spans="1:14" hidden="1" x14ac:dyDescent="0.25">
      <c r="A212" s="256" t="e">
        <f t="shared" si="27"/>
        <v>#N/A</v>
      </c>
      <c r="B212" s="266"/>
      <c r="C212" s="518"/>
      <c r="D212" s="590"/>
      <c r="E212" s="590"/>
      <c r="F212" s="590"/>
      <c r="G212" s="590"/>
      <c r="H212" s="597"/>
      <c r="I212" s="597"/>
      <c r="J212" s="590"/>
      <c r="K212" s="74"/>
      <c r="L212" s="74"/>
      <c r="M212" s="74"/>
      <c r="N212" s="74"/>
    </row>
    <row r="213" spans="1:14" hidden="1" x14ac:dyDescent="0.25">
      <c r="A213" s="256" t="e">
        <f t="shared" si="27"/>
        <v>#N/A</v>
      </c>
      <c r="B213" s="266"/>
      <c r="C213" s="518"/>
      <c r="D213" s="590"/>
      <c r="E213" s="590"/>
      <c r="F213" s="590"/>
      <c r="G213" s="590"/>
      <c r="H213" s="597"/>
      <c r="I213" s="597"/>
      <c r="J213" s="590"/>
      <c r="K213" s="74"/>
      <c r="L213" s="74"/>
      <c r="M213" s="74"/>
      <c r="N213" s="74"/>
    </row>
    <row r="214" spans="1:14" hidden="1" x14ac:dyDescent="0.25">
      <c r="A214" s="256" t="e">
        <f t="shared" si="27"/>
        <v>#N/A</v>
      </c>
      <c r="B214" s="266"/>
      <c r="C214" s="518"/>
      <c r="D214" s="590"/>
      <c r="E214" s="590"/>
      <c r="F214" s="590"/>
      <c r="G214" s="590"/>
      <c r="H214" s="597"/>
      <c r="I214" s="597"/>
      <c r="J214" s="590"/>
      <c r="K214" s="74"/>
      <c r="L214" s="74"/>
      <c r="M214" s="74"/>
      <c r="N214" s="74"/>
    </row>
    <row r="215" spans="1:14" hidden="1" x14ac:dyDescent="0.25">
      <c r="A215" s="256" t="e">
        <f t="shared" si="27"/>
        <v>#N/A</v>
      </c>
      <c r="B215" s="266"/>
      <c r="C215" s="518"/>
      <c r="D215" s="590"/>
      <c r="E215" s="590"/>
      <c r="F215" s="590"/>
      <c r="G215" s="590"/>
      <c r="H215" s="597"/>
      <c r="I215" s="597"/>
      <c r="J215" s="590"/>
      <c r="K215" s="74"/>
      <c r="L215" s="74"/>
      <c r="M215" s="74"/>
      <c r="N215" s="74"/>
    </row>
    <row r="216" spans="1:14" hidden="1" x14ac:dyDescent="0.25">
      <c r="A216" s="256" t="e">
        <f t="shared" si="27"/>
        <v>#N/A</v>
      </c>
      <c r="B216" s="266"/>
      <c r="C216" s="518"/>
      <c r="D216" s="590"/>
      <c r="E216" s="590"/>
      <c r="F216" s="590"/>
      <c r="G216" s="590"/>
      <c r="H216" s="597"/>
      <c r="I216" s="597"/>
      <c r="J216" s="590"/>
      <c r="K216" s="74"/>
      <c r="L216" s="74"/>
      <c r="M216" s="74"/>
      <c r="N216" s="74"/>
    </row>
    <row r="217" spans="1:14" hidden="1" x14ac:dyDescent="0.25">
      <c r="A217" s="256" t="e">
        <f t="shared" si="27"/>
        <v>#N/A</v>
      </c>
      <c r="B217" s="266"/>
      <c r="C217" s="518"/>
      <c r="D217" s="590"/>
      <c r="E217" s="590"/>
      <c r="F217" s="590"/>
      <c r="G217" s="590"/>
      <c r="H217" s="597"/>
      <c r="I217" s="597"/>
      <c r="J217" s="590"/>
      <c r="K217" s="74"/>
      <c r="L217" s="74"/>
      <c r="M217" s="74"/>
      <c r="N217" s="74"/>
    </row>
    <row r="218" spans="1:14" hidden="1" x14ac:dyDescent="0.25">
      <c r="A218" s="256" t="e">
        <f t="shared" si="27"/>
        <v>#N/A</v>
      </c>
      <c r="B218" s="266"/>
      <c r="C218" s="518"/>
      <c r="D218" s="590"/>
      <c r="E218" s="590"/>
      <c r="F218" s="590"/>
      <c r="G218" s="590"/>
      <c r="H218" s="597"/>
      <c r="I218" s="597"/>
      <c r="J218" s="590"/>
      <c r="K218" s="74"/>
      <c r="L218" s="74"/>
      <c r="M218" s="74"/>
      <c r="N218" s="74"/>
    </row>
    <row r="219" spans="1:14" hidden="1" x14ac:dyDescent="0.25">
      <c r="A219" s="256" t="e">
        <f t="shared" si="27"/>
        <v>#N/A</v>
      </c>
      <c r="B219" s="266"/>
      <c r="C219" s="518"/>
      <c r="D219" s="590"/>
      <c r="E219" s="590"/>
      <c r="F219" s="590"/>
      <c r="G219" s="590"/>
      <c r="H219" s="597"/>
      <c r="I219" s="597"/>
      <c r="J219" s="590"/>
      <c r="K219" s="74"/>
      <c r="L219" s="74"/>
      <c r="M219" s="74"/>
      <c r="N219" s="74"/>
    </row>
    <row r="220" spans="1:14" hidden="1" x14ac:dyDescent="0.25">
      <c r="A220" s="256" t="e">
        <f t="shared" si="27"/>
        <v>#N/A</v>
      </c>
      <c r="B220" s="266"/>
      <c r="C220" s="518"/>
      <c r="D220" s="590"/>
      <c r="E220" s="590"/>
      <c r="F220" s="590"/>
      <c r="G220" s="590"/>
      <c r="H220" s="597"/>
      <c r="I220" s="597"/>
      <c r="J220" s="590"/>
      <c r="K220" s="74"/>
      <c r="L220" s="74"/>
      <c r="M220" s="74"/>
      <c r="N220" s="74"/>
    </row>
    <row r="221" spans="1:14" hidden="1" x14ac:dyDescent="0.25">
      <c r="A221" s="256" t="e">
        <f t="shared" ref="A221:A276" si="28">VLOOKUP(J221,SuppliesExpCodes,2)</f>
        <v>#N/A</v>
      </c>
      <c r="B221" s="266"/>
      <c r="C221" s="518"/>
      <c r="D221" s="590"/>
      <c r="E221" s="590"/>
      <c r="F221" s="590"/>
      <c r="G221" s="590"/>
      <c r="H221" s="597"/>
      <c r="I221" s="597"/>
      <c r="J221" s="590"/>
      <c r="K221" s="74"/>
      <c r="L221" s="74"/>
      <c r="M221" s="74"/>
      <c r="N221" s="74"/>
    </row>
    <row r="222" spans="1:14" hidden="1" x14ac:dyDescent="0.25">
      <c r="A222" s="256" t="e">
        <f t="shared" si="28"/>
        <v>#N/A</v>
      </c>
      <c r="B222" s="266"/>
      <c r="C222" s="518"/>
      <c r="D222" s="590"/>
      <c r="E222" s="590"/>
      <c r="F222" s="590"/>
      <c r="G222" s="590"/>
      <c r="H222" s="597"/>
      <c r="I222" s="597"/>
      <c r="J222" s="590"/>
      <c r="K222" s="74"/>
      <c r="L222" s="74"/>
      <c r="M222" s="74"/>
      <c r="N222" s="74"/>
    </row>
    <row r="223" spans="1:14" hidden="1" x14ac:dyDescent="0.25">
      <c r="A223" s="256" t="e">
        <f t="shared" si="28"/>
        <v>#N/A</v>
      </c>
      <c r="B223" s="266"/>
      <c r="C223" s="518"/>
      <c r="D223" s="590"/>
      <c r="E223" s="590"/>
      <c r="F223" s="590"/>
      <c r="G223" s="590"/>
      <c r="H223" s="597"/>
      <c r="I223" s="597"/>
      <c r="J223" s="590"/>
      <c r="K223" s="74"/>
      <c r="L223" s="74"/>
      <c r="M223" s="74"/>
      <c r="N223" s="74"/>
    </row>
    <row r="224" spans="1:14" hidden="1" x14ac:dyDescent="0.25">
      <c r="A224" s="256" t="e">
        <f t="shared" si="28"/>
        <v>#N/A</v>
      </c>
      <c r="B224" s="266"/>
      <c r="C224" s="518"/>
      <c r="D224" s="590"/>
      <c r="E224" s="590"/>
      <c r="F224" s="590"/>
      <c r="G224" s="590"/>
      <c r="H224" s="597"/>
      <c r="I224" s="597"/>
      <c r="J224" s="590"/>
      <c r="K224" s="74"/>
      <c r="L224" s="74"/>
      <c r="M224" s="74"/>
      <c r="N224" s="74"/>
    </row>
    <row r="225" spans="1:14" hidden="1" x14ac:dyDescent="0.25">
      <c r="A225" s="256" t="e">
        <f t="shared" si="28"/>
        <v>#N/A</v>
      </c>
      <c r="B225" s="266"/>
      <c r="C225" s="518"/>
      <c r="D225" s="590"/>
      <c r="E225" s="590"/>
      <c r="F225" s="590"/>
      <c r="G225" s="590"/>
      <c r="H225" s="597"/>
      <c r="I225" s="597"/>
      <c r="J225" s="590"/>
      <c r="K225" s="74"/>
      <c r="L225" s="74"/>
      <c r="M225" s="74"/>
      <c r="N225" s="74"/>
    </row>
    <row r="226" spans="1:14" hidden="1" x14ac:dyDescent="0.25">
      <c r="A226" s="256" t="e">
        <f t="shared" si="28"/>
        <v>#N/A</v>
      </c>
      <c r="B226" s="266"/>
      <c r="C226" s="518"/>
      <c r="D226" s="590"/>
      <c r="E226" s="590"/>
      <c r="F226" s="590"/>
      <c r="G226" s="590"/>
      <c r="H226" s="597"/>
      <c r="I226" s="597"/>
      <c r="J226" s="590"/>
      <c r="K226" s="74"/>
      <c r="L226" s="74"/>
      <c r="M226" s="74"/>
      <c r="N226" s="74"/>
    </row>
    <row r="227" spans="1:14" hidden="1" x14ac:dyDescent="0.25">
      <c r="A227" s="256" t="e">
        <f t="shared" si="28"/>
        <v>#N/A</v>
      </c>
      <c r="B227" s="266"/>
      <c r="C227" s="518"/>
      <c r="D227" s="590"/>
      <c r="E227" s="590"/>
      <c r="F227" s="590"/>
      <c r="G227" s="590"/>
      <c r="H227" s="597"/>
      <c r="I227" s="597"/>
      <c r="J227" s="590"/>
      <c r="K227" s="74"/>
      <c r="L227" s="74"/>
      <c r="M227" s="74"/>
      <c r="N227" s="74"/>
    </row>
    <row r="228" spans="1:14" hidden="1" x14ac:dyDescent="0.25">
      <c r="A228" s="256" t="e">
        <f t="shared" si="28"/>
        <v>#N/A</v>
      </c>
      <c r="B228" s="266"/>
      <c r="C228" s="518"/>
      <c r="D228" s="590"/>
      <c r="E228" s="590"/>
      <c r="F228" s="590"/>
      <c r="G228" s="590"/>
      <c r="H228" s="597"/>
      <c r="I228" s="597"/>
      <c r="J228" s="590"/>
      <c r="K228" s="74"/>
      <c r="L228" s="74"/>
      <c r="M228" s="74"/>
      <c r="N228" s="74"/>
    </row>
    <row r="229" spans="1:14" hidden="1" x14ac:dyDescent="0.25">
      <c r="A229" s="256" t="e">
        <f t="shared" si="28"/>
        <v>#N/A</v>
      </c>
      <c r="B229" s="266"/>
      <c r="C229" s="518"/>
      <c r="D229" s="590"/>
      <c r="E229" s="590"/>
      <c r="F229" s="590"/>
      <c r="G229" s="590"/>
      <c r="H229" s="597"/>
      <c r="I229" s="597"/>
      <c r="J229" s="590"/>
      <c r="K229" s="74"/>
      <c r="L229" s="74"/>
      <c r="M229" s="74"/>
      <c r="N229" s="74"/>
    </row>
    <row r="230" spans="1:14" hidden="1" x14ac:dyDescent="0.25">
      <c r="A230" s="256" t="e">
        <f t="shared" si="28"/>
        <v>#N/A</v>
      </c>
      <c r="B230" s="266"/>
      <c r="C230" s="518"/>
      <c r="D230" s="590"/>
      <c r="E230" s="590"/>
      <c r="F230" s="590"/>
      <c r="G230" s="590"/>
      <c r="H230" s="597"/>
      <c r="I230" s="597"/>
      <c r="J230" s="590"/>
      <c r="K230" s="74"/>
      <c r="L230" s="74"/>
      <c r="M230" s="74"/>
      <c r="N230" s="74"/>
    </row>
    <row r="231" spans="1:14" hidden="1" x14ac:dyDescent="0.25">
      <c r="A231" s="256" t="e">
        <f t="shared" si="28"/>
        <v>#N/A</v>
      </c>
      <c r="B231" s="266"/>
      <c r="C231" s="518"/>
      <c r="D231" s="590"/>
      <c r="E231" s="590"/>
      <c r="F231" s="590"/>
      <c r="G231" s="590"/>
      <c r="H231" s="597"/>
      <c r="I231" s="597"/>
      <c r="J231" s="590"/>
      <c r="K231" s="74"/>
      <c r="L231" s="74"/>
      <c r="M231" s="74"/>
      <c r="N231" s="74"/>
    </row>
    <row r="232" spans="1:14" hidden="1" x14ac:dyDescent="0.25">
      <c r="A232" s="256" t="e">
        <f t="shared" si="28"/>
        <v>#N/A</v>
      </c>
      <c r="B232" s="266"/>
      <c r="C232" s="518"/>
      <c r="D232" s="590"/>
      <c r="E232" s="590"/>
      <c r="F232" s="590"/>
      <c r="G232" s="590"/>
      <c r="H232" s="597"/>
      <c r="I232" s="597"/>
      <c r="J232" s="590"/>
      <c r="K232" s="74"/>
      <c r="L232" s="74"/>
      <c r="M232" s="74"/>
      <c r="N232" s="74"/>
    </row>
    <row r="233" spans="1:14" hidden="1" x14ac:dyDescent="0.25">
      <c r="A233" s="256" t="e">
        <f t="shared" si="28"/>
        <v>#N/A</v>
      </c>
      <c r="B233" s="266"/>
      <c r="C233" s="518"/>
      <c r="D233" s="590"/>
      <c r="E233" s="590"/>
      <c r="F233" s="590"/>
      <c r="G233" s="590"/>
      <c r="H233" s="597"/>
      <c r="I233" s="597"/>
      <c r="J233" s="590"/>
      <c r="K233" s="74"/>
      <c r="L233" s="74"/>
      <c r="M233" s="74"/>
      <c r="N233" s="74"/>
    </row>
    <row r="234" spans="1:14" hidden="1" x14ac:dyDescent="0.25">
      <c r="A234" s="256" t="e">
        <f t="shared" si="28"/>
        <v>#N/A</v>
      </c>
      <c r="B234" s="266"/>
      <c r="C234" s="518"/>
      <c r="D234" s="590"/>
      <c r="E234" s="590"/>
      <c r="F234" s="590"/>
      <c r="G234" s="590"/>
      <c r="H234" s="597"/>
      <c r="I234" s="597"/>
      <c r="J234" s="590"/>
      <c r="K234" s="74"/>
      <c r="L234" s="74"/>
      <c r="M234" s="74"/>
      <c r="N234" s="74"/>
    </row>
    <row r="235" spans="1:14" hidden="1" x14ac:dyDescent="0.25">
      <c r="A235" s="256" t="e">
        <f t="shared" si="28"/>
        <v>#N/A</v>
      </c>
      <c r="B235" s="266"/>
      <c r="C235" s="518"/>
      <c r="D235" s="590"/>
      <c r="E235" s="590"/>
      <c r="F235" s="590"/>
      <c r="G235" s="590"/>
      <c r="H235" s="597"/>
      <c r="I235" s="597"/>
      <c r="J235" s="590"/>
      <c r="K235" s="74"/>
      <c r="L235" s="74"/>
      <c r="M235" s="74"/>
      <c r="N235" s="74"/>
    </row>
    <row r="236" spans="1:14" hidden="1" x14ac:dyDescent="0.25">
      <c r="A236" s="256" t="e">
        <f t="shared" si="28"/>
        <v>#N/A</v>
      </c>
      <c r="B236" s="266"/>
      <c r="C236" s="518"/>
      <c r="D236" s="590"/>
      <c r="E236" s="590"/>
      <c r="F236" s="590"/>
      <c r="G236" s="590"/>
      <c r="H236" s="597"/>
      <c r="I236" s="597"/>
      <c r="J236" s="590"/>
      <c r="K236" s="74"/>
      <c r="L236" s="74"/>
      <c r="M236" s="74"/>
      <c r="N236" s="74"/>
    </row>
    <row r="237" spans="1:14" hidden="1" x14ac:dyDescent="0.25">
      <c r="A237" s="256" t="e">
        <f t="shared" si="28"/>
        <v>#N/A</v>
      </c>
      <c r="B237" s="266"/>
      <c r="C237" s="518"/>
      <c r="D237" s="590"/>
      <c r="E237" s="590"/>
      <c r="F237" s="590"/>
      <c r="G237" s="590"/>
      <c r="H237" s="597"/>
      <c r="I237" s="597"/>
      <c r="J237" s="590"/>
      <c r="K237" s="74"/>
      <c r="L237" s="74"/>
      <c r="M237" s="74"/>
      <c r="N237" s="74"/>
    </row>
    <row r="238" spans="1:14" hidden="1" x14ac:dyDescent="0.25">
      <c r="A238" s="256" t="e">
        <f t="shared" si="28"/>
        <v>#N/A</v>
      </c>
      <c r="B238" s="266"/>
      <c r="C238" s="518"/>
      <c r="D238" s="590"/>
      <c r="E238" s="590"/>
      <c r="F238" s="590"/>
      <c r="G238" s="590"/>
      <c r="H238" s="597"/>
      <c r="I238" s="597"/>
      <c r="J238" s="590"/>
      <c r="K238" s="74"/>
      <c r="L238" s="74"/>
      <c r="M238" s="74"/>
      <c r="N238" s="74"/>
    </row>
    <row r="239" spans="1:14" hidden="1" x14ac:dyDescent="0.25">
      <c r="A239" s="256" t="e">
        <f t="shared" si="28"/>
        <v>#N/A</v>
      </c>
      <c r="B239" s="266"/>
      <c r="C239" s="518"/>
      <c r="D239" s="590"/>
      <c r="E239" s="590"/>
      <c r="F239" s="590"/>
      <c r="G239" s="590"/>
      <c r="H239" s="597"/>
      <c r="I239" s="597"/>
      <c r="J239" s="590"/>
      <c r="K239" s="74"/>
      <c r="L239" s="74"/>
      <c r="M239" s="74"/>
      <c r="N239" s="74"/>
    </row>
    <row r="240" spans="1:14" hidden="1" x14ac:dyDescent="0.25">
      <c r="A240" s="256" t="e">
        <f t="shared" si="28"/>
        <v>#N/A</v>
      </c>
      <c r="B240" s="266"/>
      <c r="C240" s="518"/>
      <c r="D240" s="590"/>
      <c r="E240" s="590"/>
      <c r="F240" s="590"/>
      <c r="G240" s="590"/>
      <c r="H240" s="597"/>
      <c r="I240" s="597"/>
      <c r="J240" s="590"/>
      <c r="K240" s="74"/>
      <c r="L240" s="74"/>
      <c r="M240" s="74"/>
      <c r="N240" s="74"/>
    </row>
    <row r="241" spans="1:14" hidden="1" x14ac:dyDescent="0.25">
      <c r="A241" s="256" t="e">
        <f t="shared" si="28"/>
        <v>#N/A</v>
      </c>
      <c r="B241" s="266"/>
      <c r="C241" s="518"/>
      <c r="D241" s="590"/>
      <c r="E241" s="590"/>
      <c r="F241" s="590"/>
      <c r="G241" s="590"/>
      <c r="H241" s="597"/>
      <c r="I241" s="597"/>
      <c r="J241" s="590"/>
      <c r="K241" s="74"/>
      <c r="L241" s="74"/>
      <c r="M241" s="74"/>
      <c r="N241" s="74"/>
    </row>
    <row r="242" spans="1:14" hidden="1" x14ac:dyDescent="0.25">
      <c r="A242" s="256" t="e">
        <f t="shared" si="28"/>
        <v>#N/A</v>
      </c>
      <c r="B242" s="266"/>
      <c r="C242" s="518"/>
      <c r="D242" s="590"/>
      <c r="E242" s="590"/>
      <c r="F242" s="590"/>
      <c r="G242" s="590"/>
      <c r="H242" s="597"/>
      <c r="I242" s="597"/>
      <c r="J242" s="590"/>
      <c r="K242" s="74"/>
      <c r="L242" s="74"/>
      <c r="M242" s="74"/>
      <c r="N242" s="74"/>
    </row>
    <row r="243" spans="1:14" hidden="1" x14ac:dyDescent="0.25">
      <c r="A243" s="256" t="e">
        <f t="shared" si="28"/>
        <v>#N/A</v>
      </c>
      <c r="B243" s="266"/>
      <c r="C243" s="518"/>
      <c r="D243" s="590"/>
      <c r="E243" s="590"/>
      <c r="F243" s="590"/>
      <c r="G243" s="590"/>
      <c r="H243" s="597"/>
      <c r="I243" s="597"/>
      <c r="J243" s="590"/>
      <c r="K243" s="74"/>
      <c r="L243" s="74"/>
      <c r="M243" s="74"/>
      <c r="N243" s="74"/>
    </row>
    <row r="244" spans="1:14" hidden="1" x14ac:dyDescent="0.25">
      <c r="A244" s="256" t="e">
        <f t="shared" si="28"/>
        <v>#N/A</v>
      </c>
      <c r="B244" s="266"/>
      <c r="C244" s="518"/>
      <c r="D244" s="590"/>
      <c r="E244" s="590"/>
      <c r="F244" s="590"/>
      <c r="G244" s="590"/>
      <c r="H244" s="597"/>
      <c r="I244" s="597"/>
      <c r="J244" s="590"/>
      <c r="K244" s="74"/>
      <c r="L244" s="74"/>
      <c r="M244" s="74"/>
      <c r="N244" s="74"/>
    </row>
    <row r="245" spans="1:14" hidden="1" x14ac:dyDescent="0.25">
      <c r="A245" s="256" t="e">
        <f t="shared" si="28"/>
        <v>#N/A</v>
      </c>
      <c r="B245" s="266"/>
      <c r="C245" s="518"/>
      <c r="D245" s="590"/>
      <c r="E245" s="590"/>
      <c r="F245" s="590"/>
      <c r="G245" s="590"/>
      <c r="H245" s="597"/>
      <c r="I245" s="597"/>
      <c r="J245" s="590"/>
      <c r="K245" s="74"/>
      <c r="L245" s="74"/>
      <c r="M245" s="74"/>
      <c r="N245" s="74"/>
    </row>
    <row r="246" spans="1:14" hidden="1" x14ac:dyDescent="0.25">
      <c r="A246" s="256" t="e">
        <f t="shared" si="28"/>
        <v>#N/A</v>
      </c>
      <c r="B246" s="266"/>
      <c r="C246" s="518"/>
      <c r="D246" s="590"/>
      <c r="E246" s="590"/>
      <c r="F246" s="590"/>
      <c r="G246" s="590"/>
      <c r="H246" s="597"/>
      <c r="I246" s="597"/>
      <c r="J246" s="590"/>
      <c r="K246" s="74"/>
      <c r="L246" s="74"/>
      <c r="M246" s="74"/>
      <c r="N246" s="74"/>
    </row>
    <row r="247" spans="1:14" hidden="1" x14ac:dyDescent="0.25">
      <c r="A247" s="256" t="e">
        <f t="shared" si="28"/>
        <v>#N/A</v>
      </c>
      <c r="B247" s="266"/>
      <c r="C247" s="518"/>
      <c r="D247" s="590"/>
      <c r="E247" s="590"/>
      <c r="F247" s="590"/>
      <c r="G247" s="590"/>
      <c r="H247" s="597"/>
      <c r="I247" s="597"/>
      <c r="J247" s="590"/>
      <c r="K247" s="74"/>
      <c r="L247" s="74"/>
      <c r="M247" s="74"/>
      <c r="N247" s="74"/>
    </row>
    <row r="248" spans="1:14" hidden="1" x14ac:dyDescent="0.25">
      <c r="A248" s="256" t="e">
        <f t="shared" si="28"/>
        <v>#N/A</v>
      </c>
      <c r="B248" s="266"/>
      <c r="C248" s="518"/>
      <c r="D248" s="590"/>
      <c r="E248" s="590"/>
      <c r="F248" s="590"/>
      <c r="G248" s="590"/>
      <c r="H248" s="597"/>
      <c r="I248" s="597"/>
      <c r="J248" s="590"/>
      <c r="K248" s="74"/>
      <c r="L248" s="74"/>
      <c r="M248" s="74"/>
      <c r="N248" s="74"/>
    </row>
    <row r="249" spans="1:14" hidden="1" x14ac:dyDescent="0.25">
      <c r="A249" s="256" t="e">
        <f t="shared" si="28"/>
        <v>#N/A</v>
      </c>
      <c r="B249" s="266"/>
      <c r="C249" s="518"/>
      <c r="D249" s="590"/>
      <c r="E249" s="590"/>
      <c r="F249" s="590"/>
      <c r="G249" s="590"/>
      <c r="H249" s="597"/>
      <c r="I249" s="597"/>
      <c r="J249" s="590"/>
      <c r="K249" s="74"/>
      <c r="L249" s="74"/>
      <c r="M249" s="74"/>
      <c r="N249" s="74"/>
    </row>
    <row r="250" spans="1:14" hidden="1" x14ac:dyDescent="0.25">
      <c r="A250" s="256" t="e">
        <f t="shared" si="28"/>
        <v>#N/A</v>
      </c>
      <c r="B250" s="266"/>
      <c r="C250" s="518"/>
      <c r="D250" s="590"/>
      <c r="E250" s="590"/>
      <c r="F250" s="590"/>
      <c r="G250" s="590"/>
      <c r="H250" s="597"/>
      <c r="I250" s="597"/>
      <c r="J250" s="590"/>
      <c r="K250" s="74"/>
      <c r="L250" s="74"/>
      <c r="M250" s="74"/>
      <c r="N250" s="74"/>
    </row>
    <row r="251" spans="1:14" hidden="1" x14ac:dyDescent="0.25">
      <c r="A251" s="256" t="e">
        <f t="shared" si="28"/>
        <v>#N/A</v>
      </c>
      <c r="B251" s="266"/>
      <c r="C251" s="518"/>
      <c r="D251" s="590"/>
      <c r="E251" s="590"/>
      <c r="F251" s="590"/>
      <c r="G251" s="590"/>
      <c r="H251" s="597"/>
      <c r="I251" s="597"/>
      <c r="J251" s="590"/>
      <c r="K251" s="74"/>
      <c r="L251" s="74"/>
      <c r="M251" s="74"/>
      <c r="N251" s="74"/>
    </row>
    <row r="252" spans="1:14" hidden="1" x14ac:dyDescent="0.25">
      <c r="A252" s="256" t="e">
        <f t="shared" si="28"/>
        <v>#N/A</v>
      </c>
      <c r="B252" s="266"/>
      <c r="C252" s="518"/>
      <c r="D252" s="590"/>
      <c r="E252" s="590"/>
      <c r="F252" s="590"/>
      <c r="G252" s="590"/>
      <c r="H252" s="597"/>
      <c r="I252" s="597"/>
      <c r="J252" s="590"/>
      <c r="K252" s="74"/>
      <c r="L252" s="74"/>
      <c r="M252" s="74"/>
      <c r="N252" s="74"/>
    </row>
    <row r="253" spans="1:14" hidden="1" x14ac:dyDescent="0.25">
      <c r="A253" s="256" t="e">
        <f t="shared" si="28"/>
        <v>#N/A</v>
      </c>
      <c r="B253" s="266"/>
      <c r="C253" s="518"/>
      <c r="D253" s="590"/>
      <c r="E253" s="590"/>
      <c r="F253" s="590"/>
      <c r="G253" s="590"/>
      <c r="H253" s="597"/>
      <c r="I253" s="597"/>
      <c r="J253" s="590"/>
      <c r="K253" s="74"/>
      <c r="L253" s="74"/>
      <c r="M253" s="74"/>
      <c r="N253" s="74"/>
    </row>
    <row r="254" spans="1:14" hidden="1" x14ac:dyDescent="0.25">
      <c r="A254" s="256" t="e">
        <f t="shared" si="28"/>
        <v>#N/A</v>
      </c>
      <c r="B254" s="266"/>
      <c r="C254" s="518"/>
      <c r="D254" s="590"/>
      <c r="E254" s="590"/>
      <c r="F254" s="590"/>
      <c r="G254" s="590"/>
      <c r="H254" s="597"/>
      <c r="I254" s="597"/>
      <c r="J254" s="590"/>
      <c r="K254" s="74"/>
      <c r="L254" s="74"/>
      <c r="M254" s="74"/>
      <c r="N254" s="74"/>
    </row>
    <row r="255" spans="1:14" hidden="1" x14ac:dyDescent="0.25">
      <c r="A255" s="256" t="e">
        <f t="shared" si="28"/>
        <v>#N/A</v>
      </c>
      <c r="B255" s="266"/>
      <c r="C255" s="518"/>
      <c r="D255" s="590"/>
      <c r="E255" s="590"/>
      <c r="F255" s="590"/>
      <c r="G255" s="590"/>
      <c r="H255" s="597"/>
      <c r="I255" s="597"/>
      <c r="J255" s="590"/>
      <c r="K255" s="74"/>
      <c r="L255" s="74"/>
      <c r="M255" s="74"/>
      <c r="N255" s="74"/>
    </row>
    <row r="256" spans="1:14" hidden="1" x14ac:dyDescent="0.25">
      <c r="A256" s="256" t="e">
        <f t="shared" si="28"/>
        <v>#N/A</v>
      </c>
      <c r="B256" s="266"/>
      <c r="C256" s="518"/>
      <c r="D256" s="590"/>
      <c r="E256" s="590"/>
      <c r="F256" s="590"/>
      <c r="G256" s="590"/>
      <c r="H256" s="597"/>
      <c r="I256" s="597"/>
      <c r="J256" s="590"/>
      <c r="K256" s="74"/>
      <c r="L256" s="74"/>
      <c r="M256" s="74"/>
      <c r="N256" s="74"/>
    </row>
    <row r="257" spans="1:14" hidden="1" x14ac:dyDescent="0.25">
      <c r="A257" s="256" t="e">
        <f t="shared" si="28"/>
        <v>#N/A</v>
      </c>
      <c r="B257" s="266"/>
      <c r="C257" s="518"/>
      <c r="D257" s="590"/>
      <c r="E257" s="590"/>
      <c r="F257" s="590"/>
      <c r="G257" s="590"/>
      <c r="H257" s="597"/>
      <c r="I257" s="597"/>
      <c r="J257" s="590"/>
      <c r="K257" s="74"/>
      <c r="L257" s="74"/>
      <c r="M257" s="74"/>
      <c r="N257" s="74"/>
    </row>
    <row r="258" spans="1:14" hidden="1" x14ac:dyDescent="0.25">
      <c r="A258" s="256" t="e">
        <f t="shared" si="28"/>
        <v>#N/A</v>
      </c>
      <c r="B258" s="266"/>
      <c r="C258" s="518"/>
      <c r="D258" s="590"/>
      <c r="E258" s="590"/>
      <c r="F258" s="590"/>
      <c r="G258" s="590"/>
      <c r="H258" s="597"/>
      <c r="I258" s="597"/>
      <c r="J258" s="590"/>
      <c r="K258" s="74"/>
      <c r="L258" s="74"/>
      <c r="M258" s="74"/>
      <c r="N258" s="74"/>
    </row>
    <row r="259" spans="1:14" hidden="1" x14ac:dyDescent="0.25">
      <c r="A259" s="256" t="e">
        <f t="shared" si="28"/>
        <v>#N/A</v>
      </c>
      <c r="B259" s="266"/>
      <c r="C259" s="518"/>
      <c r="D259" s="590"/>
      <c r="E259" s="590"/>
      <c r="F259" s="590"/>
      <c r="G259" s="590"/>
      <c r="H259" s="597"/>
      <c r="I259" s="597"/>
      <c r="J259" s="590"/>
      <c r="K259" s="74"/>
      <c r="L259" s="74"/>
      <c r="M259" s="74"/>
      <c r="N259" s="74"/>
    </row>
    <row r="260" spans="1:14" hidden="1" x14ac:dyDescent="0.25">
      <c r="A260" s="256" t="e">
        <f t="shared" si="28"/>
        <v>#N/A</v>
      </c>
      <c r="B260" s="266"/>
      <c r="C260" s="518"/>
      <c r="D260" s="590"/>
      <c r="E260" s="590"/>
      <c r="F260" s="590"/>
      <c r="G260" s="590"/>
      <c r="H260" s="597"/>
      <c r="I260" s="597"/>
      <c r="J260" s="590"/>
      <c r="K260" s="74"/>
      <c r="L260" s="74"/>
      <c r="M260" s="74"/>
      <c r="N260" s="74"/>
    </row>
    <row r="261" spans="1:14" hidden="1" x14ac:dyDescent="0.25">
      <c r="A261" s="256" t="e">
        <f t="shared" si="28"/>
        <v>#N/A</v>
      </c>
      <c r="B261" s="266"/>
      <c r="C261" s="518"/>
      <c r="D261" s="590"/>
      <c r="E261" s="590"/>
      <c r="F261" s="590"/>
      <c r="G261" s="590"/>
      <c r="H261" s="597"/>
      <c r="I261" s="597"/>
      <c r="J261" s="590"/>
      <c r="K261" s="74"/>
      <c r="L261" s="74"/>
      <c r="M261" s="74"/>
      <c r="N261" s="74"/>
    </row>
    <row r="262" spans="1:14" hidden="1" x14ac:dyDescent="0.25">
      <c r="A262" s="256" t="e">
        <f t="shared" si="28"/>
        <v>#N/A</v>
      </c>
      <c r="B262" s="266"/>
      <c r="C262" s="518"/>
      <c r="D262" s="590"/>
      <c r="E262" s="590"/>
      <c r="F262" s="590"/>
      <c r="G262" s="590"/>
      <c r="H262" s="597"/>
      <c r="I262" s="597"/>
      <c r="J262" s="590"/>
      <c r="K262" s="74"/>
      <c r="L262" s="74"/>
      <c r="M262" s="74"/>
      <c r="N262" s="74"/>
    </row>
    <row r="263" spans="1:14" hidden="1" x14ac:dyDescent="0.25">
      <c r="A263" s="256" t="e">
        <f t="shared" si="28"/>
        <v>#N/A</v>
      </c>
      <c r="B263" s="266"/>
      <c r="C263" s="518"/>
      <c r="D263" s="590"/>
      <c r="E263" s="590"/>
      <c r="F263" s="590"/>
      <c r="G263" s="590"/>
      <c r="H263" s="597"/>
      <c r="I263" s="597"/>
      <c r="J263" s="590"/>
      <c r="K263" s="74"/>
      <c r="L263" s="74"/>
      <c r="M263" s="74"/>
      <c r="N263" s="74"/>
    </row>
    <row r="264" spans="1:14" hidden="1" x14ac:dyDescent="0.25">
      <c r="A264" s="256" t="e">
        <f t="shared" si="28"/>
        <v>#N/A</v>
      </c>
      <c r="B264" s="266"/>
      <c r="C264" s="518"/>
      <c r="D264" s="590"/>
      <c r="E264" s="590"/>
      <c r="F264" s="590"/>
      <c r="G264" s="590"/>
      <c r="H264" s="597"/>
      <c r="I264" s="597"/>
      <c r="J264" s="590"/>
      <c r="K264" s="74"/>
      <c r="L264" s="74"/>
      <c r="M264" s="74"/>
      <c r="N264" s="74"/>
    </row>
    <row r="265" spans="1:14" hidden="1" x14ac:dyDescent="0.25">
      <c r="A265" s="256" t="e">
        <f t="shared" si="28"/>
        <v>#N/A</v>
      </c>
      <c r="B265" s="266"/>
      <c r="C265" s="518"/>
      <c r="D265" s="590"/>
      <c r="E265" s="590"/>
      <c r="F265" s="590"/>
      <c r="G265" s="590"/>
      <c r="H265" s="597"/>
      <c r="I265" s="597"/>
      <c r="J265" s="590"/>
      <c r="K265" s="74"/>
      <c r="L265" s="74"/>
      <c r="M265" s="74"/>
      <c r="N265" s="74"/>
    </row>
    <row r="266" spans="1:14" hidden="1" x14ac:dyDescent="0.25">
      <c r="A266" s="256" t="e">
        <f t="shared" si="28"/>
        <v>#N/A</v>
      </c>
      <c r="B266" s="266"/>
      <c r="C266" s="518"/>
      <c r="D266" s="590"/>
      <c r="E266" s="590"/>
      <c r="F266" s="590"/>
      <c r="G266" s="590"/>
      <c r="H266" s="597"/>
      <c r="I266" s="597"/>
      <c r="J266" s="590"/>
      <c r="K266" s="74"/>
      <c r="L266" s="74"/>
      <c r="M266" s="74"/>
      <c r="N266" s="74"/>
    </row>
    <row r="267" spans="1:14" hidden="1" x14ac:dyDescent="0.25">
      <c r="A267" s="256" t="e">
        <f t="shared" si="28"/>
        <v>#N/A</v>
      </c>
      <c r="B267" s="266"/>
      <c r="C267" s="518"/>
      <c r="D267" s="590"/>
      <c r="E267" s="590"/>
      <c r="F267" s="590"/>
      <c r="G267" s="590"/>
      <c r="H267" s="597"/>
      <c r="I267" s="597"/>
      <c r="J267" s="590"/>
      <c r="K267" s="74"/>
      <c r="L267" s="74"/>
      <c r="M267" s="74"/>
      <c r="N267" s="74"/>
    </row>
    <row r="268" spans="1:14" hidden="1" x14ac:dyDescent="0.25">
      <c r="A268" s="256" t="e">
        <f t="shared" si="28"/>
        <v>#N/A</v>
      </c>
      <c r="B268" s="266"/>
      <c r="C268" s="518"/>
      <c r="D268" s="590"/>
      <c r="E268" s="590"/>
      <c r="F268" s="590"/>
      <c r="G268" s="590"/>
      <c r="H268" s="597"/>
      <c r="I268" s="597"/>
      <c r="J268" s="590"/>
      <c r="K268" s="74"/>
      <c r="L268" s="74"/>
      <c r="M268" s="74"/>
      <c r="N268" s="74"/>
    </row>
    <row r="269" spans="1:14" hidden="1" x14ac:dyDescent="0.25">
      <c r="A269" s="256" t="e">
        <f t="shared" si="28"/>
        <v>#N/A</v>
      </c>
      <c r="B269" s="266"/>
      <c r="C269" s="518"/>
      <c r="D269" s="590"/>
      <c r="E269" s="590"/>
      <c r="F269" s="590"/>
      <c r="G269" s="590"/>
      <c r="H269" s="597"/>
      <c r="I269" s="597"/>
      <c r="J269" s="590"/>
      <c r="K269" s="74"/>
      <c r="L269" s="74"/>
      <c r="M269" s="74"/>
      <c r="N269" s="74"/>
    </row>
    <row r="270" spans="1:14" hidden="1" x14ac:dyDescent="0.25">
      <c r="A270" s="256" t="e">
        <f t="shared" si="28"/>
        <v>#N/A</v>
      </c>
      <c r="B270" s="266"/>
      <c r="C270" s="518"/>
      <c r="D270" s="590"/>
      <c r="E270" s="590"/>
      <c r="F270" s="590"/>
      <c r="G270" s="590"/>
      <c r="H270" s="597"/>
      <c r="I270" s="597"/>
      <c r="J270" s="590"/>
      <c r="K270" s="74"/>
      <c r="L270" s="74"/>
      <c r="M270" s="74"/>
      <c r="N270" s="74"/>
    </row>
    <row r="271" spans="1:14" hidden="1" x14ac:dyDescent="0.25">
      <c r="A271" s="256" t="e">
        <f t="shared" si="28"/>
        <v>#N/A</v>
      </c>
      <c r="B271" s="266"/>
      <c r="C271" s="518"/>
      <c r="D271" s="590"/>
      <c r="E271" s="590"/>
      <c r="F271" s="590"/>
      <c r="G271" s="590"/>
      <c r="H271" s="597"/>
      <c r="I271" s="597"/>
      <c r="J271" s="590"/>
      <c r="K271" s="74"/>
      <c r="L271" s="74"/>
      <c r="M271" s="74"/>
      <c r="N271" s="74"/>
    </row>
    <row r="272" spans="1:14" hidden="1" x14ac:dyDescent="0.25">
      <c r="A272" s="256" t="e">
        <f t="shared" si="28"/>
        <v>#N/A</v>
      </c>
      <c r="B272" s="266"/>
      <c r="C272" s="518"/>
      <c r="D272" s="590"/>
      <c r="E272" s="590"/>
      <c r="F272" s="590"/>
      <c r="G272" s="590"/>
      <c r="H272" s="597"/>
      <c r="I272" s="597"/>
      <c r="J272" s="590"/>
      <c r="K272" s="74"/>
      <c r="L272" s="74"/>
      <c r="M272" s="74"/>
      <c r="N272" s="74"/>
    </row>
    <row r="273" spans="1:14" hidden="1" x14ac:dyDescent="0.25">
      <c r="A273" s="256" t="e">
        <f t="shared" si="28"/>
        <v>#N/A</v>
      </c>
      <c r="B273" s="266"/>
      <c r="C273" s="518"/>
      <c r="D273" s="590"/>
      <c r="E273" s="590"/>
      <c r="F273" s="590"/>
      <c r="G273" s="590"/>
      <c r="H273" s="597"/>
      <c r="I273" s="597"/>
      <c r="J273" s="590"/>
      <c r="K273" s="74"/>
      <c r="L273" s="74"/>
      <c r="M273" s="74"/>
      <c r="N273" s="74"/>
    </row>
    <row r="274" spans="1:14" hidden="1" x14ac:dyDescent="0.25">
      <c r="A274" s="256" t="e">
        <f t="shared" si="28"/>
        <v>#N/A</v>
      </c>
      <c r="B274" s="266"/>
      <c r="C274" s="518"/>
      <c r="D274" s="590"/>
      <c r="E274" s="590"/>
      <c r="F274" s="590"/>
      <c r="G274" s="590"/>
      <c r="H274" s="597"/>
      <c r="I274" s="597"/>
      <c r="J274" s="590"/>
      <c r="K274" s="74"/>
      <c r="L274" s="74"/>
      <c r="M274" s="74"/>
      <c r="N274" s="74"/>
    </row>
    <row r="275" spans="1:14" hidden="1" x14ac:dyDescent="0.25">
      <c r="A275" s="256" t="e">
        <f t="shared" si="28"/>
        <v>#N/A</v>
      </c>
      <c r="B275" s="266"/>
      <c r="C275" s="518"/>
      <c r="D275" s="590"/>
      <c r="E275" s="590"/>
      <c r="F275" s="590"/>
      <c r="G275" s="590"/>
      <c r="H275" s="597"/>
      <c r="I275" s="597"/>
      <c r="J275" s="590"/>
      <c r="K275" s="74"/>
      <c r="L275" s="74"/>
      <c r="M275" s="74"/>
      <c r="N275" s="74"/>
    </row>
    <row r="276" spans="1:14" ht="15.75" hidden="1" thickBot="1" x14ac:dyDescent="0.3">
      <c r="A276" s="256" t="e">
        <f t="shared" si="28"/>
        <v>#N/A</v>
      </c>
      <c r="B276" s="266"/>
      <c r="C276" s="518"/>
      <c r="D276" s="590"/>
      <c r="E276" s="590"/>
      <c r="F276" s="590"/>
      <c r="G276" s="590"/>
      <c r="H276" s="597"/>
      <c r="I276" s="597"/>
      <c r="J276" s="590"/>
      <c r="K276" s="74"/>
      <c r="L276" s="74"/>
      <c r="M276" s="74"/>
      <c r="N276" s="74"/>
    </row>
    <row r="277" spans="1:14" ht="15.75" thickBot="1" x14ac:dyDescent="0.3">
      <c r="A277" s="109"/>
      <c r="B277" s="110"/>
      <c r="C277" s="110"/>
      <c r="D277" s="111">
        <f>COUNTA(D28:D276)</f>
        <v>43</v>
      </c>
      <c r="E277" s="112"/>
      <c r="F277" s="112"/>
      <c r="G277" s="113"/>
      <c r="H277" s="113"/>
      <c r="I277" s="112"/>
      <c r="J277" s="114"/>
      <c r="K277" s="114">
        <f>SUM(K28:K276)</f>
        <v>81637.38</v>
      </c>
      <c r="L277" s="114">
        <f t="shared" ref="L277:N277" si="29">SUM(L28:L276)</f>
        <v>32222.49</v>
      </c>
      <c r="M277" s="114">
        <f t="shared" si="29"/>
        <v>27070.47</v>
      </c>
      <c r="N277" s="114">
        <f t="shared" si="29"/>
        <v>100150</v>
      </c>
    </row>
    <row r="278" spans="1:14" x14ac:dyDescent="0.25">
      <c r="A278" s="231">
        <v>6370</v>
      </c>
      <c r="B278" s="119" t="s">
        <v>28</v>
      </c>
      <c r="C278" s="120"/>
      <c r="D278" s="121"/>
      <c r="E278" s="121"/>
      <c r="F278" s="121"/>
      <c r="G278" s="121"/>
      <c r="H278" s="121"/>
      <c r="I278" s="121"/>
      <c r="J278" s="121"/>
      <c r="K278" s="236">
        <f t="shared" ref="K278:N297" si="30">SUMIFS(K$28:K$276,$A$28:$A$276,$A278,$B$28:$B$276,$B278)</f>
        <v>1073.54</v>
      </c>
      <c r="L278" s="236">
        <f t="shared" si="30"/>
        <v>3284.4300000000003</v>
      </c>
      <c r="M278" s="236">
        <f t="shared" si="30"/>
        <v>4430.4699999999993</v>
      </c>
      <c r="N278" s="236">
        <f t="shared" si="30"/>
        <v>5150</v>
      </c>
    </row>
    <row r="279" spans="1:14" x14ac:dyDescent="0.25">
      <c r="A279" s="232">
        <v>6370</v>
      </c>
      <c r="B279" s="108" t="s">
        <v>27</v>
      </c>
      <c r="C279" s="123"/>
      <c r="D279" s="124"/>
      <c r="E279" s="124"/>
      <c r="F279" s="124"/>
      <c r="G279" s="124"/>
      <c r="H279" s="124"/>
      <c r="I279" s="124"/>
      <c r="J279" s="124"/>
      <c r="K279" s="234">
        <f t="shared" si="30"/>
        <v>24000</v>
      </c>
      <c r="L279" s="234">
        <f t="shared" si="30"/>
        <v>585.67999999999995</v>
      </c>
      <c r="M279" s="234">
        <f t="shared" si="30"/>
        <v>4500</v>
      </c>
      <c r="N279" s="234">
        <f t="shared" si="30"/>
        <v>6000</v>
      </c>
    </row>
    <row r="280" spans="1:14" x14ac:dyDescent="0.25">
      <c r="A280" s="232">
        <v>6370</v>
      </c>
      <c r="B280" s="108" t="s">
        <v>32</v>
      </c>
      <c r="C280" s="123"/>
      <c r="D280" s="124"/>
      <c r="E280" s="124"/>
      <c r="F280" s="124"/>
      <c r="G280" s="124"/>
      <c r="H280" s="124"/>
      <c r="I280" s="124"/>
      <c r="J280" s="124"/>
      <c r="K280" s="234">
        <f t="shared" si="30"/>
        <v>0</v>
      </c>
      <c r="L280" s="234">
        <f t="shared" si="30"/>
        <v>0</v>
      </c>
      <c r="M280" s="234">
        <f t="shared" si="30"/>
        <v>500</v>
      </c>
      <c r="N280" s="234">
        <f t="shared" si="30"/>
        <v>1000</v>
      </c>
    </row>
    <row r="281" spans="1:14" x14ac:dyDescent="0.25">
      <c r="A281" s="232">
        <v>6370</v>
      </c>
      <c r="B281" s="108" t="s">
        <v>685</v>
      </c>
      <c r="C281" s="123"/>
      <c r="D281" s="124"/>
      <c r="E281" s="124"/>
      <c r="F281" s="124"/>
      <c r="G281" s="124"/>
      <c r="H281" s="124"/>
      <c r="I281" s="124"/>
      <c r="J281" s="124"/>
      <c r="K281" s="234">
        <f t="shared" si="30"/>
        <v>3000</v>
      </c>
      <c r="L281" s="234">
        <f t="shared" si="30"/>
        <v>59.99</v>
      </c>
      <c r="M281" s="234">
        <f t="shared" si="30"/>
        <v>400</v>
      </c>
      <c r="N281" s="234">
        <f t="shared" si="30"/>
        <v>3000</v>
      </c>
    </row>
    <row r="282" spans="1:14" x14ac:dyDescent="0.25">
      <c r="A282" s="232">
        <v>6370</v>
      </c>
      <c r="B282" s="108" t="s">
        <v>41</v>
      </c>
      <c r="C282" s="123"/>
      <c r="D282" s="124"/>
      <c r="E282" s="124"/>
      <c r="F282" s="124"/>
      <c r="G282" s="124"/>
      <c r="H282" s="124"/>
      <c r="I282" s="124"/>
      <c r="J282" s="124"/>
      <c r="K282" s="234">
        <f t="shared" si="30"/>
        <v>500</v>
      </c>
      <c r="L282" s="234">
        <f t="shared" si="30"/>
        <v>0</v>
      </c>
      <c r="M282" s="234">
        <f t="shared" si="30"/>
        <v>0</v>
      </c>
      <c r="N282" s="234">
        <f t="shared" si="30"/>
        <v>500</v>
      </c>
    </row>
    <row r="283" spans="1:14" x14ac:dyDescent="0.25">
      <c r="A283" s="232">
        <v>6370</v>
      </c>
      <c r="B283" s="108" t="s">
        <v>775</v>
      </c>
      <c r="C283" s="123"/>
      <c r="D283" s="124"/>
      <c r="E283" s="124"/>
      <c r="F283" s="124"/>
      <c r="G283" s="124"/>
      <c r="H283" s="124"/>
      <c r="I283" s="124"/>
      <c r="J283" s="124"/>
      <c r="K283" s="234">
        <f t="shared" si="30"/>
        <v>2720</v>
      </c>
      <c r="L283" s="234">
        <f t="shared" si="30"/>
        <v>0</v>
      </c>
      <c r="M283" s="234">
        <f t="shared" si="30"/>
        <v>0</v>
      </c>
      <c r="N283" s="234">
        <f t="shared" si="30"/>
        <v>5050</v>
      </c>
    </row>
    <row r="284" spans="1:14" x14ac:dyDescent="0.25">
      <c r="A284" s="232">
        <v>6370</v>
      </c>
      <c r="B284" s="108" t="s">
        <v>37</v>
      </c>
      <c r="C284" s="123"/>
      <c r="D284" s="124"/>
      <c r="E284" s="124"/>
      <c r="F284" s="124"/>
      <c r="G284" s="124"/>
      <c r="H284" s="124"/>
      <c r="I284" s="124"/>
      <c r="J284" s="124"/>
      <c r="K284" s="234">
        <f t="shared" si="30"/>
        <v>0</v>
      </c>
      <c r="L284" s="234">
        <f t="shared" si="30"/>
        <v>0</v>
      </c>
      <c r="M284" s="234">
        <f t="shared" si="30"/>
        <v>0</v>
      </c>
      <c r="N284" s="234">
        <f t="shared" si="30"/>
        <v>3000</v>
      </c>
    </row>
    <row r="285" spans="1:14" x14ac:dyDescent="0.25">
      <c r="A285" s="232">
        <v>6370</v>
      </c>
      <c r="B285" s="108" t="s">
        <v>29</v>
      </c>
      <c r="C285" s="123"/>
      <c r="D285" s="124"/>
      <c r="E285" s="124"/>
      <c r="F285" s="124"/>
      <c r="G285" s="124"/>
      <c r="H285" s="124"/>
      <c r="I285" s="124"/>
      <c r="J285" s="124"/>
      <c r="K285" s="234">
        <f t="shared" si="30"/>
        <v>343.84</v>
      </c>
      <c r="L285" s="234">
        <f t="shared" si="30"/>
        <v>838.96</v>
      </c>
      <c r="M285" s="234">
        <f t="shared" si="30"/>
        <v>1200</v>
      </c>
      <c r="N285" s="234">
        <f t="shared" si="30"/>
        <v>3600</v>
      </c>
    </row>
    <row r="286" spans="1:14" x14ac:dyDescent="0.25">
      <c r="A286" s="232">
        <v>6370</v>
      </c>
      <c r="B286" s="108" t="s">
        <v>536</v>
      </c>
      <c r="C286" s="123"/>
      <c r="D286" s="124"/>
      <c r="E286" s="124"/>
      <c r="F286" s="124"/>
      <c r="G286" s="124"/>
      <c r="H286" s="124"/>
      <c r="I286" s="124"/>
      <c r="J286" s="124"/>
      <c r="K286" s="234">
        <f t="shared" si="30"/>
        <v>0</v>
      </c>
      <c r="L286" s="234">
        <f t="shared" si="30"/>
        <v>0</v>
      </c>
      <c r="M286" s="234">
        <f t="shared" si="30"/>
        <v>0</v>
      </c>
      <c r="N286" s="234">
        <f t="shared" si="30"/>
        <v>300</v>
      </c>
    </row>
    <row r="287" spans="1:14" x14ac:dyDescent="0.25">
      <c r="A287" s="232">
        <v>6370</v>
      </c>
      <c r="B287" s="108" t="s">
        <v>36</v>
      </c>
      <c r="C287" s="123"/>
      <c r="D287" s="124"/>
      <c r="E287" s="124"/>
      <c r="F287" s="124"/>
      <c r="G287" s="124"/>
      <c r="H287" s="124"/>
      <c r="I287" s="124"/>
      <c r="J287" s="124"/>
      <c r="K287" s="234">
        <f t="shared" si="30"/>
        <v>0</v>
      </c>
      <c r="L287" s="234">
        <f t="shared" si="30"/>
        <v>0</v>
      </c>
      <c r="M287" s="234">
        <f t="shared" si="30"/>
        <v>0</v>
      </c>
      <c r="N287" s="234">
        <f t="shared" si="30"/>
        <v>5000</v>
      </c>
    </row>
    <row r="288" spans="1:14" x14ac:dyDescent="0.25">
      <c r="A288" s="232">
        <v>6370</v>
      </c>
      <c r="B288" s="85" t="s">
        <v>31</v>
      </c>
      <c r="C288" s="123"/>
      <c r="D288" s="124"/>
      <c r="E288" s="124"/>
      <c r="F288" s="124"/>
      <c r="G288" s="124"/>
      <c r="H288" s="124"/>
      <c r="I288" s="124"/>
      <c r="J288" s="124"/>
      <c r="K288" s="234">
        <f t="shared" si="30"/>
        <v>2000</v>
      </c>
      <c r="L288" s="234">
        <f t="shared" si="30"/>
        <v>0</v>
      </c>
      <c r="M288" s="234">
        <f t="shared" si="30"/>
        <v>0</v>
      </c>
      <c r="N288" s="234">
        <f t="shared" si="30"/>
        <v>2000</v>
      </c>
    </row>
    <row r="289" spans="1:14" x14ac:dyDescent="0.25">
      <c r="A289" s="232">
        <v>6370</v>
      </c>
      <c r="B289" s="85" t="s">
        <v>30</v>
      </c>
      <c r="C289" s="123"/>
      <c r="D289" s="124"/>
      <c r="E289" s="124"/>
      <c r="F289" s="124"/>
      <c r="G289" s="124"/>
      <c r="H289" s="124"/>
      <c r="I289" s="124"/>
      <c r="J289" s="124"/>
      <c r="K289" s="234">
        <f t="shared" si="30"/>
        <v>400</v>
      </c>
      <c r="L289" s="234">
        <f t="shared" si="30"/>
        <v>0</v>
      </c>
      <c r="M289" s="234">
        <f t="shared" si="30"/>
        <v>0</v>
      </c>
      <c r="N289" s="234">
        <f t="shared" si="30"/>
        <v>400</v>
      </c>
    </row>
    <row r="290" spans="1:14" x14ac:dyDescent="0.25">
      <c r="A290" s="232">
        <v>6370</v>
      </c>
      <c r="B290" s="85" t="s">
        <v>38</v>
      </c>
      <c r="C290" s="123"/>
      <c r="D290" s="124"/>
      <c r="E290" s="124"/>
      <c r="F290" s="124"/>
      <c r="G290" s="124"/>
      <c r="H290" s="124"/>
      <c r="I290" s="124"/>
      <c r="J290" s="124"/>
      <c r="K290" s="234">
        <f t="shared" si="30"/>
        <v>8000</v>
      </c>
      <c r="L290" s="234">
        <f t="shared" si="30"/>
        <v>0</v>
      </c>
      <c r="M290" s="234">
        <f t="shared" si="30"/>
        <v>0</v>
      </c>
      <c r="N290" s="234">
        <f t="shared" si="30"/>
        <v>8000</v>
      </c>
    </row>
    <row r="291" spans="1:14" x14ac:dyDescent="0.25">
      <c r="A291" s="232">
        <v>6370</v>
      </c>
      <c r="B291" s="85" t="s">
        <v>684</v>
      </c>
      <c r="C291" s="123"/>
      <c r="D291" s="124"/>
      <c r="E291" s="124"/>
      <c r="F291" s="124"/>
      <c r="G291" s="124"/>
      <c r="H291" s="124"/>
      <c r="I291" s="124"/>
      <c r="J291" s="124"/>
      <c r="K291" s="234">
        <f t="shared" si="30"/>
        <v>0</v>
      </c>
      <c r="L291" s="234">
        <f t="shared" si="30"/>
        <v>21085.97</v>
      </c>
      <c r="M291" s="234">
        <f t="shared" si="30"/>
        <v>0</v>
      </c>
      <c r="N291" s="234">
        <f t="shared" si="30"/>
        <v>35000</v>
      </c>
    </row>
    <row r="292" spans="1:14" x14ac:dyDescent="0.25">
      <c r="A292" s="232">
        <v>6370</v>
      </c>
      <c r="B292" s="85" t="s">
        <v>33</v>
      </c>
      <c r="C292" s="123"/>
      <c r="D292" s="124"/>
      <c r="E292" s="124"/>
      <c r="F292" s="124"/>
      <c r="G292" s="124"/>
      <c r="H292" s="124"/>
      <c r="I292" s="124"/>
      <c r="J292" s="124"/>
      <c r="K292" s="234">
        <f t="shared" si="30"/>
        <v>0</v>
      </c>
      <c r="L292" s="234">
        <f t="shared" si="30"/>
        <v>0</v>
      </c>
      <c r="M292" s="234">
        <f t="shared" si="30"/>
        <v>0</v>
      </c>
      <c r="N292" s="234">
        <f t="shared" si="30"/>
        <v>250</v>
      </c>
    </row>
    <row r="293" spans="1:14" x14ac:dyDescent="0.25">
      <c r="A293" s="232">
        <v>6370</v>
      </c>
      <c r="B293" s="85" t="s">
        <v>35</v>
      </c>
      <c r="C293" s="123"/>
      <c r="D293" s="124"/>
      <c r="E293" s="124"/>
      <c r="F293" s="124"/>
      <c r="G293" s="124"/>
      <c r="H293" s="124"/>
      <c r="I293" s="124"/>
      <c r="J293" s="124"/>
      <c r="K293" s="234">
        <f t="shared" si="30"/>
        <v>0</v>
      </c>
      <c r="L293" s="234">
        <f t="shared" si="30"/>
        <v>0</v>
      </c>
      <c r="M293" s="234">
        <f t="shared" si="30"/>
        <v>0</v>
      </c>
      <c r="N293" s="234">
        <f t="shared" si="30"/>
        <v>0</v>
      </c>
    </row>
    <row r="294" spans="1:14" x14ac:dyDescent="0.25">
      <c r="A294" s="232">
        <v>6370</v>
      </c>
      <c r="B294" s="108" t="s">
        <v>39</v>
      </c>
      <c r="C294" s="123"/>
      <c r="D294" s="124"/>
      <c r="E294" s="124"/>
      <c r="F294" s="124"/>
      <c r="G294" s="124"/>
      <c r="H294" s="124"/>
      <c r="I294" s="124"/>
      <c r="J294" s="124"/>
      <c r="K294" s="234">
        <f t="shared" si="30"/>
        <v>0</v>
      </c>
      <c r="L294" s="234">
        <f t="shared" si="30"/>
        <v>0</v>
      </c>
      <c r="M294" s="234">
        <f t="shared" si="30"/>
        <v>0</v>
      </c>
      <c r="N294" s="234">
        <f t="shared" si="30"/>
        <v>400</v>
      </c>
    </row>
    <row r="295" spans="1:14" ht="15.75" thickBot="1" x14ac:dyDescent="0.3">
      <c r="A295" s="232">
        <v>6370</v>
      </c>
      <c r="B295" s="108" t="s">
        <v>34</v>
      </c>
      <c r="C295" s="123"/>
      <c r="D295" s="124"/>
      <c r="E295" s="124"/>
      <c r="F295" s="124"/>
      <c r="G295" s="124"/>
      <c r="H295" s="124"/>
      <c r="I295" s="124"/>
      <c r="J295" s="124"/>
      <c r="K295" s="234">
        <f t="shared" si="30"/>
        <v>0</v>
      </c>
      <c r="L295" s="234">
        <f t="shared" si="30"/>
        <v>20</v>
      </c>
      <c r="M295" s="234">
        <f t="shared" si="30"/>
        <v>40</v>
      </c>
      <c r="N295" s="234">
        <f t="shared" si="30"/>
        <v>200</v>
      </c>
    </row>
    <row r="296" spans="1:14" x14ac:dyDescent="0.25">
      <c r="A296" s="231">
        <v>6390</v>
      </c>
      <c r="B296" s="119" t="s">
        <v>28</v>
      </c>
      <c r="C296" s="120"/>
      <c r="D296" s="121"/>
      <c r="E296" s="121"/>
      <c r="F296" s="121"/>
      <c r="G296" s="121"/>
      <c r="H296" s="121"/>
      <c r="I296" s="121"/>
      <c r="J296" s="121"/>
      <c r="K296" s="236">
        <f t="shared" si="30"/>
        <v>0</v>
      </c>
      <c r="L296" s="236">
        <f t="shared" si="30"/>
        <v>0</v>
      </c>
      <c r="M296" s="236">
        <f t="shared" si="30"/>
        <v>0</v>
      </c>
      <c r="N296" s="236">
        <f t="shared" si="30"/>
        <v>0</v>
      </c>
    </row>
    <row r="297" spans="1:14" x14ac:dyDescent="0.25">
      <c r="A297" s="232">
        <v>6390</v>
      </c>
      <c r="B297" s="108" t="s">
        <v>27</v>
      </c>
      <c r="C297" s="123"/>
      <c r="D297" s="124"/>
      <c r="E297" s="124"/>
      <c r="F297" s="124"/>
      <c r="G297" s="124"/>
      <c r="H297" s="124"/>
      <c r="I297" s="124"/>
      <c r="J297" s="124"/>
      <c r="K297" s="234">
        <f t="shared" si="30"/>
        <v>34800</v>
      </c>
      <c r="L297" s="234">
        <f t="shared" si="30"/>
        <v>5663.91</v>
      </c>
      <c r="M297" s="234">
        <f t="shared" si="30"/>
        <v>14700</v>
      </c>
      <c r="N297" s="234">
        <f t="shared" si="30"/>
        <v>20000</v>
      </c>
    </row>
    <row r="298" spans="1:14" x14ac:dyDescent="0.25">
      <c r="A298" s="232">
        <v>6390</v>
      </c>
      <c r="B298" s="108" t="s">
        <v>32</v>
      </c>
      <c r="C298" s="123"/>
      <c r="D298" s="124"/>
      <c r="E298" s="124"/>
      <c r="F298" s="124"/>
      <c r="G298" s="124"/>
      <c r="H298" s="124"/>
      <c r="I298" s="124"/>
      <c r="J298" s="124"/>
      <c r="K298" s="234">
        <f t="shared" ref="K298:N313" si="31">SUMIFS(K$28:K$276,$A$28:$A$276,$A298,$B$28:$B$276,$B298)</f>
        <v>0</v>
      </c>
      <c r="L298" s="234">
        <f t="shared" si="31"/>
        <v>0</v>
      </c>
      <c r="M298" s="234">
        <f t="shared" si="31"/>
        <v>0</v>
      </c>
      <c r="N298" s="234">
        <f t="shared" si="31"/>
        <v>0</v>
      </c>
    </row>
    <row r="299" spans="1:14" x14ac:dyDescent="0.25">
      <c r="A299" s="232">
        <v>6390</v>
      </c>
      <c r="B299" s="108" t="s">
        <v>685</v>
      </c>
      <c r="C299" s="123"/>
      <c r="D299" s="124"/>
      <c r="E299" s="124"/>
      <c r="F299" s="124"/>
      <c r="G299" s="124"/>
      <c r="H299" s="124"/>
      <c r="I299" s="124"/>
      <c r="J299" s="124"/>
      <c r="K299" s="234">
        <f t="shared" si="31"/>
        <v>0</v>
      </c>
      <c r="L299" s="234">
        <f t="shared" si="31"/>
        <v>0</v>
      </c>
      <c r="M299" s="234">
        <f t="shared" si="31"/>
        <v>0</v>
      </c>
      <c r="N299" s="234">
        <f t="shared" si="31"/>
        <v>0</v>
      </c>
    </row>
    <row r="300" spans="1:14" x14ac:dyDescent="0.25">
      <c r="A300" s="232">
        <v>6390</v>
      </c>
      <c r="B300" s="108" t="s">
        <v>41</v>
      </c>
      <c r="C300" s="123"/>
      <c r="D300" s="124"/>
      <c r="E300" s="124"/>
      <c r="F300" s="124"/>
      <c r="G300" s="124"/>
      <c r="H300" s="124"/>
      <c r="I300" s="124"/>
      <c r="J300" s="124"/>
      <c r="K300" s="234">
        <f t="shared" si="31"/>
        <v>0</v>
      </c>
      <c r="L300" s="234">
        <f t="shared" si="31"/>
        <v>0</v>
      </c>
      <c r="M300" s="234">
        <f t="shared" si="31"/>
        <v>0</v>
      </c>
      <c r="N300" s="234">
        <f t="shared" si="31"/>
        <v>0</v>
      </c>
    </row>
    <row r="301" spans="1:14" x14ac:dyDescent="0.25">
      <c r="A301" s="232">
        <v>6390</v>
      </c>
      <c r="B301" s="108" t="s">
        <v>775</v>
      </c>
      <c r="C301" s="123"/>
      <c r="D301" s="124"/>
      <c r="E301" s="124"/>
      <c r="F301" s="124"/>
      <c r="G301" s="124"/>
      <c r="H301" s="124"/>
      <c r="I301" s="124"/>
      <c r="J301" s="124"/>
      <c r="K301" s="234">
        <f t="shared" si="31"/>
        <v>0</v>
      </c>
      <c r="L301" s="234">
        <f t="shared" si="31"/>
        <v>0</v>
      </c>
      <c r="M301" s="234">
        <f t="shared" si="31"/>
        <v>0</v>
      </c>
      <c r="N301" s="234">
        <f t="shared" si="31"/>
        <v>0</v>
      </c>
    </row>
    <row r="302" spans="1:14" x14ac:dyDescent="0.25">
      <c r="A302" s="232">
        <v>6390</v>
      </c>
      <c r="B302" s="108" t="s">
        <v>37</v>
      </c>
      <c r="C302" s="123"/>
      <c r="D302" s="124"/>
      <c r="E302" s="124"/>
      <c r="F302" s="124"/>
      <c r="G302" s="124"/>
      <c r="H302" s="124"/>
      <c r="I302" s="124"/>
      <c r="J302" s="124"/>
      <c r="K302" s="234">
        <f t="shared" si="31"/>
        <v>0</v>
      </c>
      <c r="L302" s="234">
        <f t="shared" si="31"/>
        <v>0</v>
      </c>
      <c r="M302" s="234">
        <f t="shared" si="31"/>
        <v>0</v>
      </c>
      <c r="N302" s="234">
        <f t="shared" si="31"/>
        <v>0</v>
      </c>
    </row>
    <row r="303" spans="1:14" x14ac:dyDescent="0.25">
      <c r="A303" s="232">
        <v>6390</v>
      </c>
      <c r="B303" s="108" t="s">
        <v>29</v>
      </c>
      <c r="C303" s="123"/>
      <c r="D303" s="124"/>
      <c r="E303" s="124"/>
      <c r="F303" s="124"/>
      <c r="G303" s="124"/>
      <c r="H303" s="124"/>
      <c r="I303" s="124"/>
      <c r="J303" s="124"/>
      <c r="K303" s="234">
        <f t="shared" si="31"/>
        <v>4800</v>
      </c>
      <c r="L303" s="234">
        <f t="shared" si="31"/>
        <v>683.55</v>
      </c>
      <c r="M303" s="234">
        <f t="shared" si="31"/>
        <v>1300</v>
      </c>
      <c r="N303" s="234">
        <f t="shared" si="31"/>
        <v>1300</v>
      </c>
    </row>
    <row r="304" spans="1:14" x14ac:dyDescent="0.25">
      <c r="A304" s="232">
        <v>6390</v>
      </c>
      <c r="B304" s="108" t="s">
        <v>536</v>
      </c>
      <c r="C304" s="123"/>
      <c r="D304" s="124"/>
      <c r="E304" s="124"/>
      <c r="F304" s="124"/>
      <c r="G304" s="124"/>
      <c r="H304" s="124"/>
      <c r="I304" s="124"/>
      <c r="J304" s="124"/>
      <c r="K304" s="234">
        <f t="shared" si="31"/>
        <v>0</v>
      </c>
      <c r="L304" s="234">
        <f t="shared" si="31"/>
        <v>0</v>
      </c>
      <c r="M304" s="234">
        <f t="shared" si="31"/>
        <v>0</v>
      </c>
      <c r="N304" s="234">
        <f t="shared" si="31"/>
        <v>0</v>
      </c>
    </row>
    <row r="305" spans="1:14" x14ac:dyDescent="0.25">
      <c r="A305" s="232">
        <v>6390</v>
      </c>
      <c r="B305" s="108" t="s">
        <v>36</v>
      </c>
      <c r="C305" s="123"/>
      <c r="D305" s="124"/>
      <c r="E305" s="124"/>
      <c r="F305" s="124"/>
      <c r="G305" s="124"/>
      <c r="H305" s="124"/>
      <c r="I305" s="124"/>
      <c r="J305" s="124"/>
      <c r="K305" s="234">
        <f t="shared" si="31"/>
        <v>0</v>
      </c>
      <c r="L305" s="234">
        <f t="shared" si="31"/>
        <v>0</v>
      </c>
      <c r="M305" s="234">
        <f t="shared" si="31"/>
        <v>0</v>
      </c>
      <c r="N305" s="234">
        <f t="shared" si="31"/>
        <v>0</v>
      </c>
    </row>
    <row r="306" spans="1:14" x14ac:dyDescent="0.25">
      <c r="A306" s="232">
        <v>6390</v>
      </c>
      <c r="B306" s="85" t="s">
        <v>31</v>
      </c>
      <c r="C306" s="123"/>
      <c r="D306" s="124"/>
      <c r="E306" s="124"/>
      <c r="F306" s="124"/>
      <c r="G306" s="124"/>
      <c r="H306" s="124"/>
      <c r="I306" s="124"/>
      <c r="J306" s="124"/>
      <c r="K306" s="234">
        <f t="shared" si="31"/>
        <v>0</v>
      </c>
      <c r="L306" s="234">
        <f t="shared" si="31"/>
        <v>0</v>
      </c>
      <c r="M306" s="234">
        <f t="shared" si="31"/>
        <v>0</v>
      </c>
      <c r="N306" s="234">
        <f t="shared" si="31"/>
        <v>0</v>
      </c>
    </row>
    <row r="307" spans="1:14" x14ac:dyDescent="0.25">
      <c r="A307" s="232">
        <v>6390</v>
      </c>
      <c r="B307" s="85" t="s">
        <v>30</v>
      </c>
      <c r="C307" s="123"/>
      <c r="D307" s="124"/>
      <c r="E307" s="124"/>
      <c r="F307" s="124"/>
      <c r="G307" s="124"/>
      <c r="H307" s="124"/>
      <c r="I307" s="124"/>
      <c r="J307" s="124"/>
      <c r="K307" s="234">
        <f t="shared" si="31"/>
        <v>0</v>
      </c>
      <c r="L307" s="234">
        <f t="shared" si="31"/>
        <v>0</v>
      </c>
      <c r="M307" s="234">
        <f t="shared" si="31"/>
        <v>0</v>
      </c>
      <c r="N307" s="234">
        <f t="shared" si="31"/>
        <v>0</v>
      </c>
    </row>
    <row r="308" spans="1:14" x14ac:dyDescent="0.25">
      <c r="A308" s="232">
        <v>6390</v>
      </c>
      <c r="B308" s="85" t="s">
        <v>38</v>
      </c>
      <c r="C308" s="123"/>
      <c r="D308" s="124"/>
      <c r="E308" s="124"/>
      <c r="F308" s="124"/>
      <c r="G308" s="124"/>
      <c r="H308" s="124"/>
      <c r="I308" s="124"/>
      <c r="J308" s="124"/>
      <c r="K308" s="234">
        <f t="shared" si="31"/>
        <v>0</v>
      </c>
      <c r="L308" s="234">
        <f t="shared" si="31"/>
        <v>0</v>
      </c>
      <c r="M308" s="234">
        <f t="shared" si="31"/>
        <v>0</v>
      </c>
      <c r="N308" s="234">
        <f t="shared" si="31"/>
        <v>0</v>
      </c>
    </row>
    <row r="309" spans="1:14" x14ac:dyDescent="0.25">
      <c r="A309" s="232">
        <v>6390</v>
      </c>
      <c r="B309" s="85" t="s">
        <v>684</v>
      </c>
      <c r="C309" s="123"/>
      <c r="D309" s="124"/>
      <c r="E309" s="124"/>
      <c r="F309" s="124"/>
      <c r="G309" s="124"/>
      <c r="H309" s="124"/>
      <c r="I309" s="124"/>
      <c r="J309" s="124"/>
      <c r="K309" s="234">
        <f t="shared" si="31"/>
        <v>0</v>
      </c>
      <c r="L309" s="234">
        <f t="shared" si="31"/>
        <v>0</v>
      </c>
      <c r="M309" s="234">
        <f t="shared" si="31"/>
        <v>0</v>
      </c>
      <c r="N309" s="234">
        <f t="shared" si="31"/>
        <v>0</v>
      </c>
    </row>
    <row r="310" spans="1:14" x14ac:dyDescent="0.25">
      <c r="A310" s="232">
        <v>6390</v>
      </c>
      <c r="B310" s="85" t="s">
        <v>33</v>
      </c>
      <c r="C310" s="123"/>
      <c r="D310" s="124"/>
      <c r="E310" s="124"/>
      <c r="F310" s="124"/>
      <c r="G310" s="124"/>
      <c r="H310" s="124"/>
      <c r="I310" s="124"/>
      <c r="J310" s="124"/>
      <c r="K310" s="234">
        <f t="shared" si="31"/>
        <v>0</v>
      </c>
      <c r="L310" s="234">
        <f t="shared" si="31"/>
        <v>0</v>
      </c>
      <c r="M310" s="234">
        <f t="shared" si="31"/>
        <v>0</v>
      </c>
      <c r="N310" s="234">
        <f t="shared" si="31"/>
        <v>0</v>
      </c>
    </row>
    <row r="311" spans="1:14" x14ac:dyDescent="0.25">
      <c r="A311" s="232">
        <v>6390</v>
      </c>
      <c r="B311" s="85" t="s">
        <v>35</v>
      </c>
      <c r="C311" s="123"/>
      <c r="D311" s="124"/>
      <c r="E311" s="124"/>
      <c r="F311" s="124"/>
      <c r="G311" s="124"/>
      <c r="H311" s="124"/>
      <c r="I311" s="124"/>
      <c r="J311" s="124"/>
      <c r="K311" s="234">
        <f t="shared" si="31"/>
        <v>0</v>
      </c>
      <c r="L311" s="234">
        <f t="shared" si="31"/>
        <v>0</v>
      </c>
      <c r="M311" s="234">
        <f t="shared" si="31"/>
        <v>0</v>
      </c>
      <c r="N311" s="234">
        <f t="shared" si="31"/>
        <v>0</v>
      </c>
    </row>
    <row r="312" spans="1:14" x14ac:dyDescent="0.25">
      <c r="A312" s="232">
        <v>6390</v>
      </c>
      <c r="B312" s="108" t="s">
        <v>39</v>
      </c>
      <c r="C312" s="123"/>
      <c r="D312" s="124"/>
      <c r="E312" s="124"/>
      <c r="F312" s="124"/>
      <c r="G312" s="124"/>
      <c r="H312" s="124"/>
      <c r="I312" s="124"/>
      <c r="J312" s="124"/>
      <c r="K312" s="234">
        <f t="shared" si="31"/>
        <v>0</v>
      </c>
      <c r="L312" s="234">
        <f t="shared" si="31"/>
        <v>0</v>
      </c>
      <c r="M312" s="234">
        <f t="shared" si="31"/>
        <v>0</v>
      </c>
      <c r="N312" s="234">
        <f t="shared" si="31"/>
        <v>0</v>
      </c>
    </row>
    <row r="313" spans="1:14" x14ac:dyDescent="0.25">
      <c r="A313" s="232">
        <v>6390</v>
      </c>
      <c r="B313" s="108" t="s">
        <v>34</v>
      </c>
      <c r="C313" s="123"/>
      <c r="D313" s="124"/>
      <c r="E313" s="124"/>
      <c r="F313" s="124"/>
      <c r="G313" s="124"/>
      <c r="H313" s="124"/>
      <c r="I313" s="124"/>
      <c r="J313" s="124"/>
      <c r="K313" s="234">
        <f t="shared" si="31"/>
        <v>0</v>
      </c>
      <c r="L313" s="234">
        <f t="shared" si="31"/>
        <v>0</v>
      </c>
      <c r="M313" s="234">
        <f t="shared" si="31"/>
        <v>0</v>
      </c>
      <c r="N313" s="234">
        <f t="shared" si="31"/>
        <v>0</v>
      </c>
    </row>
    <row r="314" spans="1:14" ht="15.75" thickBot="1" x14ac:dyDescent="0.3"/>
    <row r="315" spans="1:14" ht="15.75" thickBot="1" x14ac:dyDescent="0.3">
      <c r="A315" s="228"/>
      <c r="B315" s="229"/>
      <c r="C315" s="229"/>
      <c r="D315" s="228"/>
      <c r="E315" s="228"/>
      <c r="F315" s="228"/>
      <c r="G315" s="228"/>
      <c r="H315" s="228"/>
      <c r="I315" s="228"/>
      <c r="J315" s="228"/>
      <c r="K315" s="240">
        <f>K277-SUM(K278:K313)</f>
        <v>0</v>
      </c>
      <c r="L315" s="240">
        <f t="shared" ref="L315:N315" si="32">L277-SUM(L278:L313)</f>
        <v>0</v>
      </c>
      <c r="M315" s="240">
        <f t="shared" si="32"/>
        <v>0</v>
      </c>
      <c r="N315" s="240">
        <f t="shared" si="32"/>
        <v>0</v>
      </c>
    </row>
    <row r="317" spans="1:14" customFormat="1" ht="12.75" x14ac:dyDescent="0.2">
      <c r="A317" s="36" t="s">
        <v>376</v>
      </c>
      <c r="B317" s="36"/>
      <c r="E317" s="36"/>
    </row>
    <row r="318" spans="1:14" customFormat="1" ht="12.75" x14ac:dyDescent="0.2"/>
    <row r="319" spans="1:14" customFormat="1" ht="12.75" x14ac:dyDescent="0.2">
      <c r="A319" s="1" t="s">
        <v>377</v>
      </c>
      <c r="B319" s="1"/>
      <c r="E319" s="1"/>
    </row>
    <row r="320" spans="1:14" customFormat="1" ht="12.75" x14ac:dyDescent="0.2">
      <c r="A320" s="1" t="s">
        <v>378</v>
      </c>
      <c r="B320" s="1"/>
      <c r="E320" s="1"/>
    </row>
    <row r="321" spans="1:15" customFormat="1" ht="12.75" x14ac:dyDescent="0.2"/>
    <row r="322" spans="1:15" customFormat="1" ht="12.75" x14ac:dyDescent="0.2"/>
    <row r="323" spans="1:15" customFormat="1" ht="12.75" x14ac:dyDescent="0.2"/>
    <row r="324" spans="1:15" customFormat="1" ht="12.75" x14ac:dyDescent="0.2"/>
    <row r="325" spans="1:15" customFormat="1" ht="12.75" x14ac:dyDescent="0.2"/>
    <row r="326" spans="1:15" customFormat="1" ht="12.75" x14ac:dyDescent="0.2"/>
    <row r="327" spans="1:15" customFormat="1" ht="12.75" x14ac:dyDescent="0.2">
      <c r="A327" s="36" t="s">
        <v>380</v>
      </c>
      <c r="D327" s="39" t="s">
        <v>381</v>
      </c>
      <c r="F327" s="39" t="s">
        <v>382</v>
      </c>
      <c r="K327" s="39"/>
      <c r="L327" s="39"/>
      <c r="M327" s="39"/>
      <c r="N327" s="39"/>
      <c r="O327" s="39"/>
    </row>
    <row r="328" spans="1:15" customFormat="1" ht="12.75" x14ac:dyDescent="0.2">
      <c r="A328" s="1" t="s">
        <v>377</v>
      </c>
    </row>
    <row r="329" spans="1:15" customFormat="1" ht="12.75" x14ac:dyDescent="0.2">
      <c r="A329" s="1" t="s">
        <v>378</v>
      </c>
    </row>
    <row r="330" spans="1:15" customFormat="1" ht="12.75" x14ac:dyDescent="0.2"/>
    <row r="340" spans="1:14" ht="12.75" x14ac:dyDescent="0.2">
      <c r="A340" s="232"/>
      <c r="B340" s="108"/>
      <c r="C340" s="85" t="s">
        <v>62</v>
      </c>
      <c r="D340" s="124"/>
      <c r="E340" s="124"/>
      <c r="F340" s="124"/>
      <c r="G340" s="124"/>
      <c r="H340" s="124"/>
      <c r="I340" s="124"/>
      <c r="J340" s="354"/>
      <c r="K340" s="354">
        <f>SUMIF($C$28:$C$276,$C340,K$28:K$276)</f>
        <v>59300</v>
      </c>
      <c r="L340" s="354">
        <f t="shared" ref="L340:N360" si="33">SUMIF($C$28:$C$276,$C340,L$28:L$276)</f>
        <v>6249.59</v>
      </c>
      <c r="M340" s="354">
        <f t="shared" si="33"/>
        <v>19700</v>
      </c>
      <c r="N340" s="354">
        <f t="shared" si="33"/>
        <v>27500</v>
      </c>
    </row>
    <row r="341" spans="1:14" ht="12.75" x14ac:dyDescent="0.2">
      <c r="A341" s="232"/>
      <c r="B341" s="108"/>
      <c r="C341" s="85" t="s">
        <v>118</v>
      </c>
      <c r="D341" s="124"/>
      <c r="E341" s="124"/>
      <c r="F341" s="124"/>
      <c r="G341" s="124"/>
      <c r="H341" s="124"/>
      <c r="I341" s="124"/>
      <c r="J341" s="354"/>
      <c r="K341" s="354">
        <f t="shared" ref="K341:N361" si="34">SUMIF($C$28:$C$276,$C341,K$28:K$276)</f>
        <v>0</v>
      </c>
      <c r="L341" s="354">
        <f t="shared" si="33"/>
        <v>0</v>
      </c>
      <c r="M341" s="354">
        <f t="shared" si="33"/>
        <v>0</v>
      </c>
      <c r="N341" s="354">
        <f t="shared" si="33"/>
        <v>0</v>
      </c>
    </row>
    <row r="342" spans="1:14" ht="12.75" x14ac:dyDescent="0.2">
      <c r="A342" s="232"/>
      <c r="B342" s="108"/>
      <c r="C342" s="85" t="s">
        <v>119</v>
      </c>
      <c r="D342" s="124"/>
      <c r="E342" s="124"/>
      <c r="F342" s="124"/>
      <c r="G342" s="124"/>
      <c r="H342" s="124"/>
      <c r="I342" s="124"/>
      <c r="J342" s="354"/>
      <c r="K342" s="354">
        <f t="shared" si="34"/>
        <v>0</v>
      </c>
      <c r="L342" s="354">
        <f t="shared" si="33"/>
        <v>0</v>
      </c>
      <c r="M342" s="354">
        <f t="shared" si="33"/>
        <v>0</v>
      </c>
      <c r="N342" s="354">
        <f t="shared" si="33"/>
        <v>0</v>
      </c>
    </row>
    <row r="343" spans="1:14" ht="12.75" x14ac:dyDescent="0.2">
      <c r="A343" s="232"/>
      <c r="B343" s="108"/>
      <c r="C343" s="85" t="s">
        <v>142</v>
      </c>
      <c r="D343" s="124"/>
      <c r="E343" s="124"/>
      <c r="F343" s="124"/>
      <c r="G343" s="124"/>
      <c r="H343" s="124"/>
      <c r="I343" s="124"/>
      <c r="J343" s="354"/>
      <c r="K343" s="354">
        <f t="shared" si="34"/>
        <v>0</v>
      </c>
      <c r="L343" s="354">
        <f t="shared" si="33"/>
        <v>0</v>
      </c>
      <c r="M343" s="354">
        <f t="shared" si="33"/>
        <v>0</v>
      </c>
      <c r="N343" s="354">
        <f t="shared" si="33"/>
        <v>0</v>
      </c>
    </row>
    <row r="344" spans="1:14" ht="12.75" x14ac:dyDescent="0.2">
      <c r="A344" s="232"/>
      <c r="B344" s="108"/>
      <c r="C344" s="85" t="s">
        <v>161</v>
      </c>
      <c r="D344" s="124"/>
      <c r="E344" s="124"/>
      <c r="F344" s="124"/>
      <c r="G344" s="124"/>
      <c r="H344" s="124"/>
      <c r="I344" s="124"/>
      <c r="J344" s="354"/>
      <c r="K344" s="354">
        <f t="shared" si="34"/>
        <v>0</v>
      </c>
      <c r="L344" s="354">
        <f t="shared" si="33"/>
        <v>0</v>
      </c>
      <c r="M344" s="354">
        <f t="shared" si="33"/>
        <v>0</v>
      </c>
      <c r="N344" s="354">
        <f t="shared" si="33"/>
        <v>0</v>
      </c>
    </row>
    <row r="345" spans="1:14" ht="12.75" x14ac:dyDescent="0.2">
      <c r="A345" s="232"/>
      <c r="B345" s="108"/>
      <c r="C345" s="85" t="s">
        <v>1136</v>
      </c>
      <c r="D345" s="124"/>
      <c r="E345" s="124"/>
      <c r="F345" s="124"/>
      <c r="G345" s="124"/>
      <c r="H345" s="124"/>
      <c r="I345" s="124"/>
      <c r="J345" s="354"/>
      <c r="K345" s="354">
        <f t="shared" si="34"/>
        <v>0</v>
      </c>
      <c r="L345" s="354">
        <f t="shared" si="33"/>
        <v>0</v>
      </c>
      <c r="M345" s="354">
        <f t="shared" si="33"/>
        <v>0</v>
      </c>
      <c r="N345" s="354">
        <f t="shared" si="33"/>
        <v>0</v>
      </c>
    </row>
    <row r="346" spans="1:14" s="514" customFormat="1" ht="12.75" x14ac:dyDescent="0.2">
      <c r="A346" s="232"/>
      <c r="B346" s="108"/>
      <c r="C346" s="85" t="s">
        <v>1475</v>
      </c>
      <c r="D346" s="124"/>
      <c r="E346" s="124"/>
      <c r="F346" s="124"/>
      <c r="G346" s="124"/>
      <c r="H346" s="124"/>
      <c r="I346" s="124"/>
      <c r="J346" s="354"/>
      <c r="K346" s="354">
        <f t="shared" si="34"/>
        <v>0</v>
      </c>
      <c r="L346" s="354">
        <f t="shared" si="33"/>
        <v>0</v>
      </c>
      <c r="M346" s="354">
        <f t="shared" si="33"/>
        <v>0</v>
      </c>
      <c r="N346" s="354">
        <f t="shared" si="33"/>
        <v>0</v>
      </c>
    </row>
    <row r="347" spans="1:14" ht="12.75" x14ac:dyDescent="0.2">
      <c r="A347" s="232"/>
      <c r="B347" s="108"/>
      <c r="C347" s="85" t="s">
        <v>133</v>
      </c>
      <c r="D347" s="124"/>
      <c r="E347" s="124"/>
      <c r="F347" s="124"/>
      <c r="G347" s="124"/>
      <c r="H347" s="124"/>
      <c r="I347" s="124"/>
      <c r="J347" s="354"/>
      <c r="K347" s="354">
        <f t="shared" si="34"/>
        <v>500</v>
      </c>
      <c r="L347" s="354">
        <f t="shared" si="33"/>
        <v>0</v>
      </c>
      <c r="M347" s="354">
        <f t="shared" si="33"/>
        <v>0</v>
      </c>
      <c r="N347" s="354">
        <f t="shared" si="33"/>
        <v>500</v>
      </c>
    </row>
    <row r="348" spans="1:14" ht="12.75" x14ac:dyDescent="0.2">
      <c r="A348" s="232"/>
      <c r="B348" s="108"/>
      <c r="C348" s="85" t="s">
        <v>136</v>
      </c>
      <c r="D348" s="124"/>
      <c r="E348" s="124"/>
      <c r="F348" s="124"/>
      <c r="G348" s="124"/>
      <c r="H348" s="124"/>
      <c r="I348" s="124"/>
      <c r="J348" s="354"/>
      <c r="K348" s="354">
        <f t="shared" si="34"/>
        <v>0</v>
      </c>
      <c r="L348" s="354">
        <f t="shared" si="33"/>
        <v>0</v>
      </c>
      <c r="M348" s="354">
        <f t="shared" si="33"/>
        <v>0</v>
      </c>
      <c r="N348" s="354">
        <f t="shared" si="33"/>
        <v>0</v>
      </c>
    </row>
    <row r="349" spans="1:14" ht="12.75" x14ac:dyDescent="0.2">
      <c r="A349" s="232"/>
      <c r="B349" s="108"/>
      <c r="C349" s="85" t="s">
        <v>134</v>
      </c>
      <c r="D349" s="124"/>
      <c r="E349" s="124"/>
      <c r="F349" s="124"/>
      <c r="G349" s="124"/>
      <c r="H349" s="124"/>
      <c r="I349" s="124"/>
      <c r="J349" s="354"/>
      <c r="K349" s="354">
        <f t="shared" si="34"/>
        <v>0</v>
      </c>
      <c r="L349" s="354">
        <f t="shared" si="33"/>
        <v>0</v>
      </c>
      <c r="M349" s="354">
        <f t="shared" si="33"/>
        <v>0</v>
      </c>
      <c r="N349" s="354">
        <f t="shared" si="33"/>
        <v>0</v>
      </c>
    </row>
    <row r="350" spans="1:14" ht="12.75" x14ac:dyDescent="0.2">
      <c r="A350" s="232"/>
      <c r="B350" s="108"/>
      <c r="C350" s="85" t="s">
        <v>131</v>
      </c>
      <c r="D350" s="124"/>
      <c r="E350" s="124"/>
      <c r="F350" s="124"/>
      <c r="G350" s="124"/>
      <c r="H350" s="124"/>
      <c r="I350" s="124"/>
      <c r="J350" s="354"/>
      <c r="K350" s="354">
        <f t="shared" si="34"/>
        <v>0</v>
      </c>
      <c r="L350" s="354">
        <f t="shared" si="33"/>
        <v>0</v>
      </c>
      <c r="M350" s="354">
        <f t="shared" si="33"/>
        <v>0</v>
      </c>
      <c r="N350" s="354">
        <f t="shared" si="33"/>
        <v>0</v>
      </c>
    </row>
    <row r="351" spans="1:14" ht="12.75" x14ac:dyDescent="0.2">
      <c r="A351" s="232"/>
      <c r="B351" s="108"/>
      <c r="C351" s="85" t="s">
        <v>137</v>
      </c>
      <c r="D351" s="124"/>
      <c r="E351" s="124"/>
      <c r="F351" s="124"/>
      <c r="G351" s="124"/>
      <c r="H351" s="124"/>
      <c r="I351" s="124"/>
      <c r="J351" s="354"/>
      <c r="K351" s="354">
        <f t="shared" si="34"/>
        <v>0</v>
      </c>
      <c r="L351" s="354">
        <f t="shared" si="33"/>
        <v>0</v>
      </c>
      <c r="M351" s="354">
        <f t="shared" si="33"/>
        <v>0</v>
      </c>
      <c r="N351" s="354">
        <f t="shared" si="33"/>
        <v>0</v>
      </c>
    </row>
    <row r="352" spans="1:14" ht="12.75" x14ac:dyDescent="0.2">
      <c r="A352" s="232"/>
      <c r="B352" s="108"/>
      <c r="C352" s="85" t="s">
        <v>132</v>
      </c>
      <c r="D352" s="124"/>
      <c r="E352" s="124"/>
      <c r="F352" s="124"/>
      <c r="G352" s="124"/>
      <c r="H352" s="124"/>
      <c r="I352" s="124"/>
      <c r="J352" s="354"/>
      <c r="K352" s="354">
        <f t="shared" si="34"/>
        <v>0</v>
      </c>
      <c r="L352" s="354">
        <f t="shared" si="33"/>
        <v>0</v>
      </c>
      <c r="M352" s="354">
        <f t="shared" si="33"/>
        <v>0</v>
      </c>
      <c r="N352" s="354">
        <f t="shared" si="33"/>
        <v>0</v>
      </c>
    </row>
    <row r="353" spans="1:14" ht="12.75" x14ac:dyDescent="0.2">
      <c r="A353" s="232"/>
      <c r="B353" s="108"/>
      <c r="C353" s="85" t="s">
        <v>160</v>
      </c>
      <c r="D353" s="124"/>
      <c r="E353" s="124"/>
      <c r="F353" s="124"/>
      <c r="G353" s="124"/>
      <c r="H353" s="124"/>
      <c r="I353" s="124"/>
      <c r="J353" s="354"/>
      <c r="K353" s="354">
        <f t="shared" si="34"/>
        <v>0</v>
      </c>
      <c r="L353" s="354">
        <f t="shared" si="33"/>
        <v>0</v>
      </c>
      <c r="M353" s="354">
        <f t="shared" si="33"/>
        <v>0</v>
      </c>
      <c r="N353" s="354">
        <f t="shared" si="33"/>
        <v>0</v>
      </c>
    </row>
    <row r="354" spans="1:14" ht="12.75" x14ac:dyDescent="0.2">
      <c r="A354" s="232"/>
      <c r="B354" s="108"/>
      <c r="C354" s="85" t="s">
        <v>135</v>
      </c>
      <c r="D354" s="124"/>
      <c r="E354" s="124"/>
      <c r="F354" s="124"/>
      <c r="G354" s="124"/>
      <c r="H354" s="124"/>
      <c r="I354" s="124"/>
      <c r="J354" s="354"/>
      <c r="K354" s="354">
        <f t="shared" si="34"/>
        <v>0</v>
      </c>
      <c r="L354" s="354">
        <f t="shared" si="33"/>
        <v>0</v>
      </c>
      <c r="M354" s="354">
        <f t="shared" si="33"/>
        <v>0</v>
      </c>
      <c r="N354" s="354">
        <f t="shared" si="33"/>
        <v>0</v>
      </c>
    </row>
    <row r="355" spans="1:14" ht="12.75" x14ac:dyDescent="0.2">
      <c r="A355" s="232"/>
      <c r="B355" s="108"/>
      <c r="C355" s="85" t="s">
        <v>114</v>
      </c>
      <c r="D355" s="124"/>
      <c r="E355" s="124"/>
      <c r="F355" s="124"/>
      <c r="G355" s="124"/>
      <c r="H355" s="124"/>
      <c r="I355" s="124"/>
      <c r="J355" s="354"/>
      <c r="K355" s="354">
        <f t="shared" si="34"/>
        <v>1750</v>
      </c>
      <c r="L355" s="354">
        <f t="shared" si="33"/>
        <v>0</v>
      </c>
      <c r="M355" s="354">
        <f t="shared" si="33"/>
        <v>0</v>
      </c>
      <c r="N355" s="354">
        <f t="shared" si="33"/>
        <v>1950</v>
      </c>
    </row>
    <row r="356" spans="1:14" ht="12.75" x14ac:dyDescent="0.2">
      <c r="A356" s="232"/>
      <c r="B356" s="108"/>
      <c r="C356" s="85" t="s">
        <v>140</v>
      </c>
      <c r="D356" s="124"/>
      <c r="E356" s="124"/>
      <c r="F356" s="124"/>
      <c r="G356" s="124"/>
      <c r="H356" s="124"/>
      <c r="I356" s="124"/>
      <c r="J356" s="354"/>
      <c r="K356" s="354">
        <f t="shared" si="34"/>
        <v>0</v>
      </c>
      <c r="L356" s="354">
        <f t="shared" si="33"/>
        <v>0</v>
      </c>
      <c r="M356" s="354">
        <f t="shared" si="33"/>
        <v>0</v>
      </c>
      <c r="N356" s="354">
        <f t="shared" si="33"/>
        <v>0</v>
      </c>
    </row>
    <row r="357" spans="1:14" ht="12.75" x14ac:dyDescent="0.2">
      <c r="A357" s="232"/>
      <c r="B357" s="108"/>
      <c r="C357" s="85" t="s">
        <v>166</v>
      </c>
      <c r="D357" s="124"/>
      <c r="E357" s="124"/>
      <c r="F357" s="124"/>
      <c r="G357" s="124"/>
      <c r="H357" s="124"/>
      <c r="I357" s="124"/>
      <c r="J357" s="354"/>
      <c r="K357" s="354">
        <f t="shared" si="34"/>
        <v>0</v>
      </c>
      <c r="L357" s="354">
        <f t="shared" si="33"/>
        <v>0</v>
      </c>
      <c r="M357" s="354">
        <f t="shared" si="33"/>
        <v>0</v>
      </c>
      <c r="N357" s="354">
        <f t="shared" si="33"/>
        <v>0</v>
      </c>
    </row>
    <row r="358" spans="1:14" ht="12.75" x14ac:dyDescent="0.2">
      <c r="A358" s="232"/>
      <c r="B358" s="108"/>
      <c r="C358" s="85" t="s">
        <v>63</v>
      </c>
      <c r="D358" s="124"/>
      <c r="E358" s="124"/>
      <c r="F358" s="124"/>
      <c r="G358" s="124"/>
      <c r="H358" s="124"/>
      <c r="I358" s="124"/>
      <c r="J358" s="354"/>
      <c r="K358" s="354">
        <f t="shared" si="34"/>
        <v>0</v>
      </c>
      <c r="L358" s="354">
        <f t="shared" si="33"/>
        <v>0</v>
      </c>
      <c r="M358" s="354">
        <f t="shared" si="33"/>
        <v>0</v>
      </c>
      <c r="N358" s="354">
        <f t="shared" si="33"/>
        <v>0</v>
      </c>
    </row>
    <row r="359" spans="1:14" ht="12.75" x14ac:dyDescent="0.2">
      <c r="A359" s="232"/>
      <c r="B359" s="108"/>
      <c r="C359" s="85" t="s">
        <v>64</v>
      </c>
      <c r="D359" s="124"/>
      <c r="E359" s="124"/>
      <c r="F359" s="124"/>
      <c r="G359" s="124"/>
      <c r="H359" s="124"/>
      <c r="I359" s="124"/>
      <c r="J359" s="354"/>
      <c r="K359" s="354">
        <f t="shared" si="34"/>
        <v>0</v>
      </c>
      <c r="L359" s="354">
        <f t="shared" si="33"/>
        <v>0</v>
      </c>
      <c r="M359" s="354">
        <f t="shared" si="33"/>
        <v>0</v>
      </c>
      <c r="N359" s="354">
        <f t="shared" si="33"/>
        <v>0</v>
      </c>
    </row>
    <row r="360" spans="1:14" ht="12.75" x14ac:dyDescent="0.2">
      <c r="A360" s="232"/>
      <c r="B360" s="108"/>
      <c r="C360" s="85" t="s">
        <v>796</v>
      </c>
      <c r="D360" s="124"/>
      <c r="E360" s="124"/>
      <c r="F360" s="124"/>
      <c r="G360" s="124"/>
      <c r="H360" s="124"/>
      <c r="I360" s="124"/>
      <c r="J360" s="354"/>
      <c r="K360" s="354">
        <f t="shared" si="34"/>
        <v>0</v>
      </c>
      <c r="L360" s="354">
        <f t="shared" si="33"/>
        <v>0</v>
      </c>
      <c r="M360" s="354">
        <f t="shared" si="33"/>
        <v>0</v>
      </c>
      <c r="N360" s="354">
        <f t="shared" si="33"/>
        <v>0</v>
      </c>
    </row>
    <row r="361" spans="1:14" ht="12.75" x14ac:dyDescent="0.2">
      <c r="A361" s="232"/>
      <c r="B361" s="108"/>
      <c r="C361" s="85" t="s">
        <v>145</v>
      </c>
      <c r="D361" s="124"/>
      <c r="E361" s="124"/>
      <c r="F361" s="124"/>
      <c r="G361" s="124"/>
      <c r="H361" s="124"/>
      <c r="I361" s="124"/>
      <c r="J361" s="354"/>
      <c r="K361" s="354">
        <f t="shared" si="34"/>
        <v>0</v>
      </c>
      <c r="L361" s="354">
        <f t="shared" si="34"/>
        <v>0</v>
      </c>
      <c r="M361" s="354">
        <f t="shared" si="34"/>
        <v>0</v>
      </c>
      <c r="N361" s="354">
        <f t="shared" si="34"/>
        <v>0</v>
      </c>
    </row>
    <row r="362" spans="1:14" ht="12.75" x14ac:dyDescent="0.2">
      <c r="A362" s="232"/>
      <c r="B362" s="108"/>
      <c r="C362" s="85" t="s">
        <v>159</v>
      </c>
      <c r="D362" s="124"/>
      <c r="E362" s="124"/>
      <c r="F362" s="124"/>
      <c r="G362" s="124"/>
      <c r="H362" s="124"/>
      <c r="I362" s="124"/>
      <c r="J362" s="354"/>
      <c r="K362" s="354">
        <f t="shared" ref="K362:N381" si="35">SUMIF($C$28:$C$276,$C362,K$28:K$276)</f>
        <v>500</v>
      </c>
      <c r="L362" s="354">
        <f t="shared" si="35"/>
        <v>0</v>
      </c>
      <c r="M362" s="354">
        <f t="shared" si="35"/>
        <v>0</v>
      </c>
      <c r="N362" s="354">
        <f t="shared" si="35"/>
        <v>200</v>
      </c>
    </row>
    <row r="363" spans="1:14" ht="12.75" x14ac:dyDescent="0.2">
      <c r="A363" s="232"/>
      <c r="B363" s="108"/>
      <c r="C363" s="85" t="s">
        <v>147</v>
      </c>
      <c r="D363" s="124"/>
      <c r="E363" s="124"/>
      <c r="F363" s="124"/>
      <c r="G363" s="124"/>
      <c r="H363" s="124"/>
      <c r="I363" s="124"/>
      <c r="J363" s="354"/>
      <c r="K363" s="354">
        <f t="shared" si="35"/>
        <v>0</v>
      </c>
      <c r="L363" s="354">
        <f t="shared" si="35"/>
        <v>0</v>
      </c>
      <c r="M363" s="354">
        <f t="shared" si="35"/>
        <v>0</v>
      </c>
      <c r="N363" s="354">
        <f t="shared" si="35"/>
        <v>0</v>
      </c>
    </row>
    <row r="364" spans="1:14" ht="12.75" x14ac:dyDescent="0.2">
      <c r="A364" s="232"/>
      <c r="B364" s="108"/>
      <c r="C364" s="85" t="s">
        <v>150</v>
      </c>
      <c r="D364" s="124"/>
      <c r="E364" s="124"/>
      <c r="F364" s="124"/>
      <c r="G364" s="124"/>
      <c r="H364" s="124"/>
      <c r="I364" s="124"/>
      <c r="J364" s="354"/>
      <c r="K364" s="354">
        <f t="shared" si="35"/>
        <v>0</v>
      </c>
      <c r="L364" s="354">
        <f t="shared" si="35"/>
        <v>0</v>
      </c>
      <c r="M364" s="354">
        <f t="shared" si="35"/>
        <v>0</v>
      </c>
      <c r="N364" s="354">
        <f t="shared" si="35"/>
        <v>0</v>
      </c>
    </row>
    <row r="365" spans="1:14" ht="12.75" x14ac:dyDescent="0.2">
      <c r="A365" s="232"/>
      <c r="B365" s="108"/>
      <c r="C365" s="85" t="s">
        <v>151</v>
      </c>
      <c r="D365" s="124"/>
      <c r="E365" s="124"/>
      <c r="F365" s="124"/>
      <c r="G365" s="124"/>
      <c r="H365" s="124"/>
      <c r="I365" s="124"/>
      <c r="J365" s="354"/>
      <c r="K365" s="354">
        <f t="shared" si="35"/>
        <v>0</v>
      </c>
      <c r="L365" s="354">
        <f t="shared" si="35"/>
        <v>0</v>
      </c>
      <c r="M365" s="354">
        <f t="shared" si="35"/>
        <v>0</v>
      </c>
      <c r="N365" s="354">
        <f t="shared" si="35"/>
        <v>0</v>
      </c>
    </row>
    <row r="366" spans="1:14" ht="12.75" x14ac:dyDescent="0.2">
      <c r="A366" s="232"/>
      <c r="B366" s="108"/>
      <c r="C366" s="85" t="s">
        <v>154</v>
      </c>
      <c r="D366" s="124"/>
      <c r="E366" s="124"/>
      <c r="F366" s="124"/>
      <c r="G366" s="124"/>
      <c r="H366" s="124"/>
      <c r="I366" s="124"/>
      <c r="J366" s="354"/>
      <c r="K366" s="354">
        <f t="shared" si="35"/>
        <v>0</v>
      </c>
      <c r="L366" s="354">
        <f t="shared" si="35"/>
        <v>0</v>
      </c>
      <c r="M366" s="354">
        <f t="shared" si="35"/>
        <v>0</v>
      </c>
      <c r="N366" s="354">
        <f t="shared" si="35"/>
        <v>0</v>
      </c>
    </row>
    <row r="367" spans="1:14" ht="12.75" x14ac:dyDescent="0.2">
      <c r="A367" s="232"/>
      <c r="B367" s="108"/>
      <c r="C367" s="85" t="s">
        <v>149</v>
      </c>
      <c r="D367" s="124"/>
      <c r="E367" s="124"/>
      <c r="F367" s="124"/>
      <c r="G367" s="124"/>
      <c r="H367" s="124"/>
      <c r="I367" s="124"/>
      <c r="J367" s="354"/>
      <c r="K367" s="354">
        <f t="shared" si="35"/>
        <v>0</v>
      </c>
      <c r="L367" s="354">
        <f t="shared" si="35"/>
        <v>0</v>
      </c>
      <c r="M367" s="354">
        <f t="shared" si="35"/>
        <v>0</v>
      </c>
      <c r="N367" s="354">
        <f t="shared" si="35"/>
        <v>0</v>
      </c>
    </row>
    <row r="368" spans="1:14" ht="12.75" x14ac:dyDescent="0.2">
      <c r="A368" s="232"/>
      <c r="B368" s="108"/>
      <c r="C368" s="85" t="s">
        <v>152</v>
      </c>
      <c r="D368" s="124"/>
      <c r="E368" s="124"/>
      <c r="F368" s="124"/>
      <c r="G368" s="124"/>
      <c r="H368" s="124"/>
      <c r="I368" s="124"/>
      <c r="J368" s="354"/>
      <c r="K368" s="354">
        <f t="shared" si="35"/>
        <v>0</v>
      </c>
      <c r="L368" s="354">
        <f t="shared" si="35"/>
        <v>0</v>
      </c>
      <c r="M368" s="354">
        <f t="shared" si="35"/>
        <v>0</v>
      </c>
      <c r="N368" s="354">
        <f t="shared" si="35"/>
        <v>0</v>
      </c>
    </row>
    <row r="369" spans="1:14" ht="12.75" x14ac:dyDescent="0.2">
      <c r="A369" s="232"/>
      <c r="B369" s="108"/>
      <c r="C369" s="85" t="s">
        <v>167</v>
      </c>
      <c r="D369" s="124"/>
      <c r="E369" s="124"/>
      <c r="F369" s="124"/>
      <c r="G369" s="124"/>
      <c r="H369" s="124"/>
      <c r="I369" s="124"/>
      <c r="J369" s="354"/>
      <c r="K369" s="354">
        <f t="shared" si="35"/>
        <v>0</v>
      </c>
      <c r="L369" s="354">
        <f t="shared" si="35"/>
        <v>0</v>
      </c>
      <c r="M369" s="354">
        <f t="shared" si="35"/>
        <v>0</v>
      </c>
      <c r="N369" s="354">
        <f t="shared" si="35"/>
        <v>0</v>
      </c>
    </row>
    <row r="370" spans="1:14" ht="12.75" x14ac:dyDescent="0.2">
      <c r="A370" s="232"/>
      <c r="B370" s="108"/>
      <c r="C370" s="85" t="s">
        <v>130</v>
      </c>
      <c r="D370" s="124"/>
      <c r="E370" s="124"/>
      <c r="F370" s="124"/>
      <c r="G370" s="124"/>
      <c r="H370" s="124"/>
      <c r="I370" s="124"/>
      <c r="J370" s="354"/>
      <c r="K370" s="354">
        <f t="shared" si="35"/>
        <v>0</v>
      </c>
      <c r="L370" s="354">
        <f t="shared" si="35"/>
        <v>0</v>
      </c>
      <c r="M370" s="354">
        <f t="shared" si="35"/>
        <v>0</v>
      </c>
      <c r="N370" s="354">
        <f t="shared" si="35"/>
        <v>0</v>
      </c>
    </row>
    <row r="371" spans="1:14" ht="12.75" x14ac:dyDescent="0.2">
      <c r="A371" s="232"/>
      <c r="B371" s="108"/>
      <c r="C371" s="85" t="s">
        <v>157</v>
      </c>
      <c r="D371" s="124"/>
      <c r="E371" s="124"/>
      <c r="F371" s="124"/>
      <c r="G371" s="124"/>
      <c r="H371" s="124"/>
      <c r="I371" s="124"/>
      <c r="J371" s="354"/>
      <c r="K371" s="354">
        <f t="shared" si="35"/>
        <v>0</v>
      </c>
      <c r="L371" s="354">
        <f t="shared" si="35"/>
        <v>0</v>
      </c>
      <c r="M371" s="354">
        <f t="shared" si="35"/>
        <v>0</v>
      </c>
      <c r="N371" s="354">
        <f t="shared" si="35"/>
        <v>0</v>
      </c>
    </row>
    <row r="372" spans="1:14" ht="12.75" x14ac:dyDescent="0.2">
      <c r="A372" s="232"/>
      <c r="B372" s="108"/>
      <c r="C372" s="85" t="s">
        <v>158</v>
      </c>
      <c r="D372" s="124"/>
      <c r="E372" s="124"/>
      <c r="F372" s="124"/>
      <c r="G372" s="124"/>
      <c r="H372" s="124"/>
      <c r="I372" s="124"/>
      <c r="J372" s="354"/>
      <c r="K372" s="354">
        <f t="shared" si="35"/>
        <v>0</v>
      </c>
      <c r="L372" s="354">
        <f t="shared" si="35"/>
        <v>0</v>
      </c>
      <c r="M372" s="354">
        <f t="shared" si="35"/>
        <v>0</v>
      </c>
      <c r="N372" s="354">
        <f t="shared" si="35"/>
        <v>0</v>
      </c>
    </row>
    <row r="373" spans="1:14" ht="12.75" x14ac:dyDescent="0.2">
      <c r="A373" s="232"/>
      <c r="B373" s="108"/>
      <c r="C373" s="85" t="s">
        <v>162</v>
      </c>
      <c r="D373" s="124"/>
      <c r="E373" s="124"/>
      <c r="F373" s="124"/>
      <c r="G373" s="124"/>
      <c r="H373" s="124"/>
      <c r="I373" s="124"/>
      <c r="J373" s="354"/>
      <c r="K373" s="354">
        <f t="shared" si="35"/>
        <v>1000</v>
      </c>
      <c r="L373" s="354">
        <f t="shared" si="35"/>
        <v>0</v>
      </c>
      <c r="M373" s="354">
        <f t="shared" si="35"/>
        <v>0</v>
      </c>
      <c r="N373" s="354">
        <f t="shared" si="35"/>
        <v>400</v>
      </c>
    </row>
    <row r="374" spans="1:14" ht="12.75" x14ac:dyDescent="0.2">
      <c r="A374" s="232"/>
      <c r="B374" s="108"/>
      <c r="C374" s="85" t="s">
        <v>124</v>
      </c>
      <c r="D374" s="124"/>
      <c r="E374" s="124"/>
      <c r="F374" s="124"/>
      <c r="G374" s="124"/>
      <c r="H374" s="124"/>
      <c r="I374" s="124"/>
      <c r="J374" s="354"/>
      <c r="K374" s="354">
        <f t="shared" si="35"/>
        <v>1220</v>
      </c>
      <c r="L374" s="354">
        <f t="shared" si="35"/>
        <v>0</v>
      </c>
      <c r="M374" s="354">
        <f t="shared" si="35"/>
        <v>0</v>
      </c>
      <c r="N374" s="354">
        <f t="shared" si="35"/>
        <v>450</v>
      </c>
    </row>
    <row r="375" spans="1:14" ht="12.75" x14ac:dyDescent="0.2">
      <c r="A375" s="232"/>
      <c r="B375" s="108"/>
      <c r="C375" s="85" t="s">
        <v>125</v>
      </c>
      <c r="D375" s="124"/>
      <c r="E375" s="124"/>
      <c r="F375" s="124"/>
      <c r="G375" s="124"/>
      <c r="H375" s="124"/>
      <c r="I375" s="124"/>
      <c r="J375" s="354"/>
      <c r="K375" s="354">
        <f t="shared" si="35"/>
        <v>0</v>
      </c>
      <c r="L375" s="354">
        <f t="shared" si="35"/>
        <v>0</v>
      </c>
      <c r="M375" s="354">
        <f t="shared" si="35"/>
        <v>0</v>
      </c>
      <c r="N375" s="354">
        <f t="shared" si="35"/>
        <v>1000</v>
      </c>
    </row>
    <row r="376" spans="1:14" ht="12.75" x14ac:dyDescent="0.2">
      <c r="A376" s="232"/>
      <c r="B376" s="108"/>
      <c r="C376" s="85" t="s">
        <v>156</v>
      </c>
      <c r="D376" s="124"/>
      <c r="E376" s="124"/>
      <c r="F376" s="124"/>
      <c r="G376" s="124"/>
      <c r="H376" s="124"/>
      <c r="I376" s="124"/>
      <c r="J376" s="354"/>
      <c r="K376" s="354">
        <f t="shared" si="35"/>
        <v>0</v>
      </c>
      <c r="L376" s="354">
        <f t="shared" si="35"/>
        <v>0</v>
      </c>
      <c r="M376" s="354">
        <f t="shared" si="35"/>
        <v>0</v>
      </c>
      <c r="N376" s="354">
        <f t="shared" si="35"/>
        <v>0</v>
      </c>
    </row>
    <row r="377" spans="1:14" ht="12.75" x14ac:dyDescent="0.2">
      <c r="A377" s="232"/>
      <c r="B377" s="108"/>
      <c r="C377" s="85" t="s">
        <v>144</v>
      </c>
      <c r="D377" s="124"/>
      <c r="E377" s="124"/>
      <c r="F377" s="124"/>
      <c r="G377" s="124"/>
      <c r="H377" s="124"/>
      <c r="I377" s="124"/>
      <c r="J377" s="354"/>
      <c r="K377" s="354">
        <f t="shared" si="35"/>
        <v>500</v>
      </c>
      <c r="L377" s="354">
        <f t="shared" si="35"/>
        <v>0</v>
      </c>
      <c r="M377" s="354">
        <f t="shared" si="35"/>
        <v>0</v>
      </c>
      <c r="N377" s="354">
        <f t="shared" si="35"/>
        <v>500</v>
      </c>
    </row>
    <row r="378" spans="1:14" ht="12.75" x14ac:dyDescent="0.2">
      <c r="A378" s="232"/>
      <c r="B378" s="108"/>
      <c r="C378" s="85" t="s">
        <v>155</v>
      </c>
      <c r="D378" s="124"/>
      <c r="E378" s="124"/>
      <c r="F378" s="124"/>
      <c r="G378" s="124"/>
      <c r="H378" s="124"/>
      <c r="I378" s="124"/>
      <c r="J378" s="354"/>
      <c r="K378" s="354">
        <f t="shared" si="35"/>
        <v>0</v>
      </c>
      <c r="L378" s="354">
        <f t="shared" si="35"/>
        <v>0</v>
      </c>
      <c r="M378" s="354">
        <f t="shared" si="35"/>
        <v>0</v>
      </c>
      <c r="N378" s="354">
        <f t="shared" si="35"/>
        <v>0</v>
      </c>
    </row>
    <row r="379" spans="1:14" ht="12.75" x14ac:dyDescent="0.2">
      <c r="A379" s="232"/>
      <c r="B379" s="108"/>
      <c r="C379" s="85" t="s">
        <v>1477</v>
      </c>
      <c r="D379" s="124"/>
      <c r="E379" s="124"/>
      <c r="F379" s="124"/>
      <c r="G379" s="124"/>
      <c r="H379" s="124"/>
      <c r="I379" s="124"/>
      <c r="J379" s="354"/>
      <c r="K379" s="354">
        <f t="shared" si="35"/>
        <v>0</v>
      </c>
      <c r="L379" s="354">
        <f t="shared" si="35"/>
        <v>0</v>
      </c>
      <c r="M379" s="354">
        <f t="shared" si="35"/>
        <v>0</v>
      </c>
      <c r="N379" s="354">
        <f t="shared" si="35"/>
        <v>0</v>
      </c>
    </row>
    <row r="380" spans="1:14" ht="12.75" x14ac:dyDescent="0.2">
      <c r="A380" s="232"/>
      <c r="B380" s="108"/>
      <c r="C380" s="85" t="s">
        <v>1478</v>
      </c>
      <c r="D380" s="124"/>
      <c r="E380" s="124"/>
      <c r="F380" s="124"/>
      <c r="G380" s="124"/>
      <c r="H380" s="124"/>
      <c r="I380" s="124"/>
      <c r="J380" s="354"/>
      <c r="K380" s="354">
        <f t="shared" si="35"/>
        <v>0</v>
      </c>
      <c r="L380" s="354">
        <f t="shared" si="35"/>
        <v>0</v>
      </c>
      <c r="M380" s="354">
        <f t="shared" si="35"/>
        <v>0</v>
      </c>
      <c r="N380" s="354">
        <f t="shared" si="35"/>
        <v>0</v>
      </c>
    </row>
    <row r="381" spans="1:14" ht="12.75" x14ac:dyDescent="0.2">
      <c r="A381" s="232"/>
      <c r="B381" s="108"/>
      <c r="C381" s="85" t="s">
        <v>115</v>
      </c>
      <c r="D381" s="124"/>
      <c r="E381" s="124"/>
      <c r="F381" s="124"/>
      <c r="G381" s="124"/>
      <c r="H381" s="124"/>
      <c r="I381" s="124"/>
      <c r="J381" s="354"/>
      <c r="K381" s="354">
        <f t="shared" si="35"/>
        <v>0</v>
      </c>
      <c r="L381" s="354">
        <f t="shared" si="35"/>
        <v>0</v>
      </c>
      <c r="M381" s="354">
        <f t="shared" si="35"/>
        <v>0</v>
      </c>
      <c r="N381" s="354">
        <f t="shared" si="35"/>
        <v>0</v>
      </c>
    </row>
    <row r="382" spans="1:14" ht="12.75" x14ac:dyDescent="0.2">
      <c r="A382" s="232"/>
      <c r="B382" s="108"/>
      <c r="C382" s="85" t="s">
        <v>65</v>
      </c>
      <c r="D382" s="124"/>
      <c r="E382" s="124"/>
      <c r="F382" s="124"/>
      <c r="G382" s="124"/>
      <c r="H382" s="124"/>
      <c r="I382" s="124"/>
      <c r="J382" s="354"/>
      <c r="K382" s="354">
        <f t="shared" ref="K382:N403" si="36">SUMIF($C$28:$C$276,$C382,K$28:K$276)</f>
        <v>0</v>
      </c>
      <c r="L382" s="354">
        <f t="shared" si="36"/>
        <v>0</v>
      </c>
      <c r="M382" s="354">
        <f t="shared" si="36"/>
        <v>0</v>
      </c>
      <c r="N382" s="354">
        <f t="shared" si="36"/>
        <v>0</v>
      </c>
    </row>
    <row r="383" spans="1:14" s="514" customFormat="1" ht="12.75" x14ac:dyDescent="0.2">
      <c r="A383" s="232"/>
      <c r="B383" s="108"/>
      <c r="C383" s="85" t="s">
        <v>1445</v>
      </c>
      <c r="D383" s="124"/>
      <c r="E383" s="124"/>
      <c r="F383" s="124"/>
      <c r="G383" s="124"/>
      <c r="H383" s="124"/>
      <c r="I383" s="124"/>
      <c r="J383" s="354"/>
      <c r="K383" s="354">
        <f t="shared" si="36"/>
        <v>0</v>
      </c>
      <c r="L383" s="354">
        <f t="shared" si="36"/>
        <v>0</v>
      </c>
      <c r="M383" s="354">
        <f t="shared" si="36"/>
        <v>0</v>
      </c>
      <c r="N383" s="354">
        <f t="shared" si="36"/>
        <v>0</v>
      </c>
    </row>
    <row r="384" spans="1:14" ht="12.75" x14ac:dyDescent="0.2">
      <c r="A384" s="232"/>
      <c r="B384" s="108"/>
      <c r="C384" s="85" t="s">
        <v>116</v>
      </c>
      <c r="D384" s="124"/>
      <c r="E384" s="124"/>
      <c r="F384" s="124"/>
      <c r="G384" s="124"/>
      <c r="H384" s="124"/>
      <c r="I384" s="124"/>
      <c r="J384" s="354"/>
      <c r="K384" s="354">
        <f t="shared" si="36"/>
        <v>0</v>
      </c>
      <c r="L384" s="354">
        <f t="shared" si="36"/>
        <v>0</v>
      </c>
      <c r="M384" s="354">
        <f t="shared" si="36"/>
        <v>0</v>
      </c>
      <c r="N384" s="354">
        <f t="shared" si="36"/>
        <v>1500</v>
      </c>
    </row>
    <row r="385" spans="1:14" ht="12.75" x14ac:dyDescent="0.2">
      <c r="A385" s="232"/>
      <c r="B385" s="108"/>
      <c r="C385" s="85" t="s">
        <v>117</v>
      </c>
      <c r="D385" s="124"/>
      <c r="E385" s="124"/>
      <c r="F385" s="124"/>
      <c r="G385" s="124"/>
      <c r="H385" s="124"/>
      <c r="I385" s="124"/>
      <c r="J385" s="354"/>
      <c r="K385" s="354">
        <f t="shared" si="36"/>
        <v>0</v>
      </c>
      <c r="L385" s="354">
        <f t="shared" si="36"/>
        <v>0</v>
      </c>
      <c r="M385" s="354">
        <f t="shared" si="36"/>
        <v>0</v>
      </c>
      <c r="N385" s="354">
        <f t="shared" si="36"/>
        <v>200</v>
      </c>
    </row>
    <row r="386" spans="1:14" ht="12.75" x14ac:dyDescent="0.2">
      <c r="A386" s="232"/>
      <c r="B386" s="108"/>
      <c r="C386" s="85" t="s">
        <v>120</v>
      </c>
      <c r="D386" s="124"/>
      <c r="E386" s="124"/>
      <c r="F386" s="124"/>
      <c r="G386" s="124"/>
      <c r="H386" s="124"/>
      <c r="I386" s="124"/>
      <c r="J386" s="354"/>
      <c r="K386" s="354">
        <f t="shared" si="36"/>
        <v>0</v>
      </c>
      <c r="L386" s="354">
        <f t="shared" si="36"/>
        <v>0</v>
      </c>
      <c r="M386" s="354">
        <f t="shared" si="36"/>
        <v>0</v>
      </c>
      <c r="N386" s="354">
        <f t="shared" si="36"/>
        <v>0</v>
      </c>
    </row>
    <row r="387" spans="1:14" ht="12.75" x14ac:dyDescent="0.2">
      <c r="A387" s="232"/>
      <c r="B387" s="108"/>
      <c r="C387" s="85" t="s">
        <v>148</v>
      </c>
      <c r="D387" s="124"/>
      <c r="E387" s="124"/>
      <c r="F387" s="124"/>
      <c r="G387" s="124"/>
      <c r="H387" s="124"/>
      <c r="I387" s="124"/>
      <c r="J387" s="354"/>
      <c r="K387" s="354">
        <f t="shared" si="36"/>
        <v>0</v>
      </c>
      <c r="L387" s="354">
        <f t="shared" si="36"/>
        <v>0</v>
      </c>
      <c r="M387" s="354">
        <f t="shared" si="36"/>
        <v>0</v>
      </c>
      <c r="N387" s="354">
        <f t="shared" si="36"/>
        <v>0</v>
      </c>
    </row>
    <row r="388" spans="1:14" ht="12.75" x14ac:dyDescent="0.2">
      <c r="A388" s="232"/>
      <c r="B388" s="108"/>
      <c r="C388" s="85" t="s">
        <v>121</v>
      </c>
      <c r="D388" s="124"/>
      <c r="E388" s="124"/>
      <c r="F388" s="124"/>
      <c r="G388" s="124"/>
      <c r="H388" s="124"/>
      <c r="I388" s="124"/>
      <c r="J388" s="354"/>
      <c r="K388" s="354">
        <f t="shared" si="36"/>
        <v>0</v>
      </c>
      <c r="L388" s="354">
        <f t="shared" si="36"/>
        <v>20</v>
      </c>
      <c r="M388" s="354">
        <f t="shared" si="36"/>
        <v>40</v>
      </c>
      <c r="N388" s="354">
        <f t="shared" si="36"/>
        <v>200</v>
      </c>
    </row>
    <row r="389" spans="1:14" ht="12.75" x14ac:dyDescent="0.2">
      <c r="A389" s="232"/>
      <c r="B389" s="108"/>
      <c r="C389" s="85" t="s">
        <v>122</v>
      </c>
      <c r="D389" s="124"/>
      <c r="E389" s="124"/>
      <c r="F389" s="124"/>
      <c r="G389" s="124"/>
      <c r="H389" s="124"/>
      <c r="I389" s="124"/>
      <c r="J389" s="354"/>
      <c r="K389" s="354">
        <f t="shared" si="36"/>
        <v>0</v>
      </c>
      <c r="L389" s="354">
        <f t="shared" si="36"/>
        <v>0</v>
      </c>
      <c r="M389" s="354">
        <f t="shared" si="36"/>
        <v>0</v>
      </c>
      <c r="N389" s="354">
        <f t="shared" si="36"/>
        <v>0</v>
      </c>
    </row>
    <row r="390" spans="1:14" s="514" customFormat="1" ht="12.75" x14ac:dyDescent="0.2">
      <c r="A390" s="232"/>
      <c r="B390" s="108"/>
      <c r="C390" s="85" t="s">
        <v>1459</v>
      </c>
      <c r="D390" s="124"/>
      <c r="E390" s="124"/>
      <c r="F390" s="124"/>
      <c r="G390" s="124"/>
      <c r="H390" s="124"/>
      <c r="I390" s="124"/>
      <c r="J390" s="354"/>
      <c r="K390" s="354">
        <f t="shared" si="36"/>
        <v>0</v>
      </c>
      <c r="L390" s="354">
        <f t="shared" si="36"/>
        <v>0</v>
      </c>
      <c r="M390" s="354">
        <f t="shared" si="36"/>
        <v>0</v>
      </c>
      <c r="N390" s="354">
        <f t="shared" si="36"/>
        <v>0</v>
      </c>
    </row>
    <row r="391" spans="1:14" ht="12.75" x14ac:dyDescent="0.2">
      <c r="A391" s="232"/>
      <c r="B391" s="108"/>
      <c r="C391" s="85" t="s">
        <v>163</v>
      </c>
      <c r="D391" s="124"/>
      <c r="E391" s="124"/>
      <c r="F391" s="124"/>
      <c r="G391" s="124"/>
      <c r="H391" s="124"/>
      <c r="I391" s="124"/>
      <c r="J391" s="354"/>
      <c r="K391" s="354">
        <f t="shared" si="36"/>
        <v>0</v>
      </c>
      <c r="L391" s="354">
        <f t="shared" si="36"/>
        <v>0</v>
      </c>
      <c r="M391" s="354">
        <f t="shared" si="36"/>
        <v>0</v>
      </c>
      <c r="N391" s="354">
        <f t="shared" si="36"/>
        <v>0</v>
      </c>
    </row>
    <row r="392" spans="1:14" ht="12.75" x14ac:dyDescent="0.2">
      <c r="A392" s="232"/>
      <c r="B392" s="108"/>
      <c r="C392" s="85" t="s">
        <v>123</v>
      </c>
      <c r="D392" s="124"/>
      <c r="E392" s="124"/>
      <c r="F392" s="124"/>
      <c r="G392" s="124"/>
      <c r="H392" s="124"/>
      <c r="I392" s="124"/>
      <c r="J392" s="354"/>
      <c r="K392" s="354">
        <f t="shared" si="36"/>
        <v>0</v>
      </c>
      <c r="L392" s="354">
        <f t="shared" si="36"/>
        <v>0</v>
      </c>
      <c r="M392" s="354">
        <f t="shared" si="36"/>
        <v>0</v>
      </c>
      <c r="N392" s="354">
        <f t="shared" si="36"/>
        <v>0</v>
      </c>
    </row>
    <row r="393" spans="1:14" ht="12.75" x14ac:dyDescent="0.2">
      <c r="A393" s="232"/>
      <c r="B393" s="108"/>
      <c r="C393" s="85" t="s">
        <v>153</v>
      </c>
      <c r="D393" s="124"/>
      <c r="E393" s="124"/>
      <c r="F393" s="124"/>
      <c r="G393" s="124"/>
      <c r="H393" s="124"/>
      <c r="I393" s="124"/>
      <c r="J393" s="354"/>
      <c r="K393" s="354">
        <f t="shared" si="36"/>
        <v>0</v>
      </c>
      <c r="L393" s="354">
        <f t="shared" si="36"/>
        <v>0</v>
      </c>
      <c r="M393" s="354">
        <f t="shared" si="36"/>
        <v>0</v>
      </c>
      <c r="N393" s="354">
        <f t="shared" si="36"/>
        <v>0</v>
      </c>
    </row>
    <row r="394" spans="1:14" ht="12.75" x14ac:dyDescent="0.2">
      <c r="A394" s="232"/>
      <c r="B394" s="108"/>
      <c r="C394" s="85" t="s">
        <v>127</v>
      </c>
      <c r="D394" s="124"/>
      <c r="E394" s="124"/>
      <c r="F394" s="124"/>
      <c r="G394" s="124"/>
      <c r="H394" s="124"/>
      <c r="I394" s="124"/>
      <c r="J394" s="354"/>
      <c r="K394" s="354">
        <f t="shared" si="36"/>
        <v>0</v>
      </c>
      <c r="L394" s="354">
        <f t="shared" si="36"/>
        <v>0</v>
      </c>
      <c r="M394" s="354">
        <f t="shared" si="36"/>
        <v>0</v>
      </c>
      <c r="N394" s="354">
        <f t="shared" si="36"/>
        <v>250</v>
      </c>
    </row>
    <row r="395" spans="1:14" ht="12.75" x14ac:dyDescent="0.2">
      <c r="A395" s="232"/>
      <c r="B395" s="108"/>
      <c r="C395" s="85" t="s">
        <v>141</v>
      </c>
      <c r="D395" s="124"/>
      <c r="E395" s="124"/>
      <c r="F395" s="124"/>
      <c r="G395" s="124"/>
      <c r="H395" s="124"/>
      <c r="I395" s="124"/>
      <c r="J395" s="354"/>
      <c r="K395" s="354">
        <f t="shared" si="36"/>
        <v>0</v>
      </c>
      <c r="L395" s="354">
        <f t="shared" si="36"/>
        <v>0</v>
      </c>
      <c r="M395" s="354">
        <f t="shared" si="36"/>
        <v>0</v>
      </c>
      <c r="N395" s="354">
        <f t="shared" si="36"/>
        <v>0</v>
      </c>
    </row>
    <row r="396" spans="1:14" ht="12.75" x14ac:dyDescent="0.2">
      <c r="A396" s="232"/>
      <c r="B396" s="108"/>
      <c r="C396" s="85" t="s">
        <v>66</v>
      </c>
      <c r="D396" s="124"/>
      <c r="E396" s="124"/>
      <c r="F396" s="124"/>
      <c r="G396" s="124"/>
      <c r="H396" s="124"/>
      <c r="I396" s="124"/>
      <c r="J396" s="354"/>
      <c r="K396" s="354">
        <f t="shared" si="36"/>
        <v>0</v>
      </c>
      <c r="L396" s="354">
        <f t="shared" si="36"/>
        <v>0</v>
      </c>
      <c r="M396" s="354">
        <f t="shared" si="36"/>
        <v>0</v>
      </c>
      <c r="N396" s="354">
        <f t="shared" si="36"/>
        <v>0</v>
      </c>
    </row>
    <row r="397" spans="1:14" ht="12.75" x14ac:dyDescent="0.2">
      <c r="A397" s="232"/>
      <c r="B397" s="108"/>
      <c r="C397" s="85" t="s">
        <v>128</v>
      </c>
      <c r="D397" s="124"/>
      <c r="E397" s="124"/>
      <c r="F397" s="124"/>
      <c r="G397" s="124"/>
      <c r="H397" s="124"/>
      <c r="I397" s="124"/>
      <c r="J397" s="354"/>
      <c r="K397" s="354">
        <f t="shared" si="36"/>
        <v>5000</v>
      </c>
      <c r="L397" s="354">
        <f t="shared" si="36"/>
        <v>0</v>
      </c>
      <c r="M397" s="354">
        <f t="shared" si="36"/>
        <v>0</v>
      </c>
      <c r="N397" s="354">
        <f t="shared" si="36"/>
        <v>5000</v>
      </c>
    </row>
    <row r="398" spans="1:14" ht="12.75" x14ac:dyDescent="0.2">
      <c r="A398" s="232"/>
      <c r="B398" s="108"/>
      <c r="C398" s="85" t="s">
        <v>126</v>
      </c>
      <c r="D398" s="124"/>
      <c r="E398" s="124"/>
      <c r="F398" s="124"/>
      <c r="G398" s="124"/>
      <c r="H398" s="124"/>
      <c r="I398" s="124"/>
      <c r="J398" s="354"/>
      <c r="K398" s="354">
        <f t="shared" si="36"/>
        <v>0</v>
      </c>
      <c r="L398" s="354">
        <f t="shared" si="36"/>
        <v>0</v>
      </c>
      <c r="M398" s="354">
        <f t="shared" si="36"/>
        <v>0</v>
      </c>
      <c r="N398" s="354">
        <f t="shared" si="36"/>
        <v>0</v>
      </c>
    </row>
    <row r="399" spans="1:14" ht="12.75" x14ac:dyDescent="0.2">
      <c r="A399" s="232"/>
      <c r="B399" s="108"/>
      <c r="C399" s="85" t="s">
        <v>129</v>
      </c>
      <c r="D399" s="124"/>
      <c r="E399" s="124"/>
      <c r="F399" s="124"/>
      <c r="G399" s="124"/>
      <c r="H399" s="124"/>
      <c r="I399" s="124"/>
      <c r="J399" s="354"/>
      <c r="K399" s="354">
        <f t="shared" si="36"/>
        <v>1000</v>
      </c>
      <c r="L399" s="354">
        <f t="shared" si="36"/>
        <v>0</v>
      </c>
      <c r="M399" s="354">
        <f t="shared" si="36"/>
        <v>0</v>
      </c>
      <c r="N399" s="354">
        <f t="shared" si="36"/>
        <v>1000</v>
      </c>
    </row>
    <row r="400" spans="1:14" ht="12.75" x14ac:dyDescent="0.2">
      <c r="A400" s="232"/>
      <c r="B400" s="108"/>
      <c r="C400" s="85" t="s">
        <v>692</v>
      </c>
      <c r="D400" s="124"/>
      <c r="E400" s="124"/>
      <c r="F400" s="124"/>
      <c r="G400" s="124"/>
      <c r="H400" s="124"/>
      <c r="I400" s="124"/>
      <c r="J400" s="354"/>
      <c r="K400" s="354">
        <f t="shared" si="36"/>
        <v>9867.380000000001</v>
      </c>
      <c r="L400" s="354">
        <f t="shared" si="36"/>
        <v>25952.9</v>
      </c>
      <c r="M400" s="354">
        <f t="shared" si="36"/>
        <v>7330.4699999999993</v>
      </c>
      <c r="N400" s="354">
        <f t="shared" si="36"/>
        <v>57000</v>
      </c>
    </row>
    <row r="401" spans="1:14" ht="12.75" x14ac:dyDescent="0.2">
      <c r="A401" s="232"/>
      <c r="B401" s="108"/>
      <c r="C401" s="85" t="s">
        <v>472</v>
      </c>
      <c r="D401" s="124"/>
      <c r="E401" s="124"/>
      <c r="F401" s="124"/>
      <c r="G401" s="124"/>
      <c r="H401" s="124"/>
      <c r="I401" s="124"/>
      <c r="J401" s="354"/>
      <c r="K401" s="354">
        <f t="shared" si="36"/>
        <v>1000</v>
      </c>
      <c r="L401" s="354">
        <f t="shared" si="36"/>
        <v>0</v>
      </c>
      <c r="M401" s="354">
        <f t="shared" si="36"/>
        <v>0</v>
      </c>
      <c r="N401" s="354">
        <f t="shared" si="36"/>
        <v>1000</v>
      </c>
    </row>
    <row r="402" spans="1:14" ht="12.75" x14ac:dyDescent="0.2">
      <c r="A402" s="232"/>
      <c r="B402" s="108"/>
      <c r="C402" s="85" t="s">
        <v>143</v>
      </c>
      <c r="D402" s="124"/>
      <c r="E402" s="124"/>
      <c r="F402" s="124"/>
      <c r="G402" s="124"/>
      <c r="H402" s="124"/>
      <c r="I402" s="124"/>
      <c r="J402" s="354"/>
      <c r="K402" s="354">
        <f t="shared" si="36"/>
        <v>0</v>
      </c>
      <c r="L402" s="354">
        <f t="shared" si="36"/>
        <v>0</v>
      </c>
      <c r="M402" s="354">
        <f t="shared" si="36"/>
        <v>0</v>
      </c>
      <c r="N402" s="354">
        <f t="shared" si="36"/>
        <v>1500</v>
      </c>
    </row>
    <row r="403" spans="1:14" ht="12.75" x14ac:dyDescent="0.2">
      <c r="A403" s="232"/>
      <c r="B403" s="108"/>
      <c r="C403" s="85" t="s">
        <v>146</v>
      </c>
      <c r="D403" s="124"/>
      <c r="E403" s="124"/>
      <c r="F403" s="124"/>
      <c r="G403" s="124"/>
      <c r="H403" s="124"/>
      <c r="I403" s="124"/>
      <c r="J403" s="354"/>
      <c r="K403" s="354">
        <f t="shared" si="36"/>
        <v>0</v>
      </c>
      <c r="L403" s="354">
        <f t="shared" si="36"/>
        <v>0</v>
      </c>
      <c r="M403" s="354">
        <f t="shared" si="36"/>
        <v>0</v>
      </c>
      <c r="N403" s="354">
        <f t="shared" si="36"/>
        <v>0</v>
      </c>
    </row>
    <row r="404" spans="1:14" ht="13.5" thickBot="1" x14ac:dyDescent="0.25">
      <c r="A404" s="325"/>
      <c r="B404" s="225"/>
      <c r="C404" s="443"/>
      <c r="D404" s="227"/>
      <c r="E404" s="227"/>
      <c r="F404" s="227"/>
      <c r="G404" s="227"/>
      <c r="H404" s="227"/>
      <c r="I404" s="227"/>
      <c r="J404" s="327"/>
      <c r="K404" s="327"/>
      <c r="L404" s="327"/>
      <c r="M404" s="327"/>
      <c r="N404" s="327"/>
    </row>
    <row r="405" spans="1:14" ht="13.5" thickBot="1" x14ac:dyDescent="0.25">
      <c r="A405" s="448"/>
      <c r="B405" s="449"/>
      <c r="C405" s="449"/>
      <c r="D405" s="450"/>
      <c r="E405" s="450"/>
      <c r="F405" s="450"/>
      <c r="G405" s="450"/>
      <c r="H405" s="450"/>
      <c r="I405" s="450"/>
      <c r="J405" s="451"/>
      <c r="K405" s="451">
        <f>K277-SUM(K340:K403)</f>
        <v>0</v>
      </c>
      <c r="L405" s="451">
        <f t="shared" ref="L405:N405" si="37">L277-SUM(L340:L403)</f>
        <v>0</v>
      </c>
      <c r="M405" s="451">
        <f t="shared" si="37"/>
        <v>0</v>
      </c>
      <c r="N405" s="451">
        <f t="shared" si="37"/>
        <v>0</v>
      </c>
    </row>
  </sheetData>
  <autoFilter ref="A27:N313"/>
  <sortState ref="A28:N70">
    <sortCondition ref="B28:B70"/>
    <sortCondition ref="C28:C70"/>
  </sortState>
  <dataValidations count="11">
    <dataValidation type="list" errorStyle="warning" allowBlank="1" showInputMessage="1" showErrorMessage="1" errorTitle="Warning" error="Choose the appropriate option." promptTitle="Existing/State Contract" prompt="Select the most appropriate answer. If there is an existing LHC contract, enter the contract number (see Sharepoint)." sqref="E28:E276">
      <formula1>ContractStatus</formula1>
    </dataValidation>
    <dataValidation allowBlank="1" showInputMessage="1" showErrorMessage="1" promptTitle="Contract Start Date" prompt="Enter the Contract Start Date." sqref="G277"/>
    <dataValidation allowBlank="1" showInputMessage="1" showErrorMessage="1" promptTitle="Contract End Date" prompt="Enter the Contract End Date" sqref="H277"/>
    <dataValidation allowBlank="1" showInputMessage="1" showErrorMessage="1" promptTitle="Old Contractor" prompt="Enter the old contractor's name if applicable." sqref="D277"/>
    <dataValidation errorStyle="warning" allowBlank="1" showInputMessage="1" showErrorMessage="1" errorTitle="Vendor/Supplier" error="Enter the vendor/supplier." promptTitle="Vendor/Supplier" prompt="Enter the supplier's name if applicable." sqref="F28:F276"/>
    <dataValidation type="list" allowBlank="1" showInputMessage="1" showErrorMessage="1" errorTitle="Error" error="You must choose from the list." promptTitle="Type of Supply/Services" prompt="Chose the type of supply/service from the list." sqref="J28:J276">
      <formula1>SuppliesType</formula1>
    </dataValidation>
    <dataValidation type="list" allowBlank="1" showInputMessage="1" showErrorMessage="1" errorTitle="Error" error="You must choose a budget unit from the list." promptTitle="Budget Unit" prompt="Choose the appropriate budget unit." sqref="B28:B126">
      <formula1>Budgets</formula1>
    </dataValidation>
    <dataValidation type="list" allowBlank="1" showInputMessage="1" showErrorMessage="1" errorTitle="Error" error="You must choose a funding source from the list." promptTitle="Funding Source" prompt="Choose the appropriate funding source." sqref="C28:C126">
      <formula1>Funding</formula1>
    </dataValidation>
    <dataValidation type="list" allowBlank="1" showInputMessage="1" showErrorMessage="1" errorTitle="Error" error="You must choose Yes or No." promptTitle="Existing Contract" prompt="Yes or No" sqref="I277">
      <formula1>Existing</formula1>
    </dataValidation>
    <dataValidation type="date" errorStyle="warning" allowBlank="1" showInputMessage="1" showErrorMessage="1" errorTitle="Start Date" error="Enter the start date." promptTitle="Start Date" prompt="Enter the Start Date." sqref="H28:H276">
      <formula1>42552</formula1>
      <formula2>42916</formula2>
    </dataValidation>
    <dataValidation type="date" errorStyle="warning" allowBlank="1" showInputMessage="1" showErrorMessage="1" errorTitle="End Date" error="Enter the end date." promptTitle="End Date" prompt="Enter the End Date" sqref="I28:I276">
      <formula1>42552</formula1>
      <formula2>42916</formula2>
    </dataValidation>
  </dataValidations>
  <pageMargins left="0.45" right="0.45" top="0.75" bottom="0.75" header="0.3" footer="0.3"/>
  <pageSetup scale="65" orientation="landscape"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279"/>
  <sheetViews>
    <sheetView topLeftCell="B1" zoomScale="75" zoomScaleNormal="75" workbookViewId="0">
      <selection activeCell="F24" sqref="F24"/>
    </sheetView>
  </sheetViews>
  <sheetFormatPr defaultRowHeight="15" x14ac:dyDescent="0.25"/>
  <cols>
    <col min="1" max="1" width="9.7109375" style="4" hidden="1" customWidth="1"/>
    <col min="2" max="3" width="17.140625" style="3" customWidth="1"/>
    <col min="4" max="4" width="46.5703125" style="4" customWidth="1"/>
    <col min="5" max="5" width="17" style="4" customWidth="1"/>
    <col min="6" max="7" width="33.28515625" style="4" hidden="1" customWidth="1"/>
    <col min="8" max="8" width="13.28515625" style="4" hidden="1" customWidth="1"/>
    <col min="9" max="9" width="13.5703125" style="4" hidden="1" customWidth="1"/>
    <col min="10" max="10" width="28.28515625" style="4" customWidth="1"/>
    <col min="11" max="11" width="21.42578125" style="4" hidden="1" customWidth="1"/>
    <col min="12" max="12" width="13" style="4" hidden="1" customWidth="1"/>
    <col min="13" max="13" width="16.7109375" style="4" hidden="1" customWidth="1"/>
    <col min="14" max="14" width="16.5703125" style="4" customWidth="1"/>
    <col min="15" max="20" width="9.140625" style="4" customWidth="1"/>
    <col min="21" max="16384" width="9.140625" style="4"/>
  </cols>
  <sheetData>
    <row r="1" spans="1:14" ht="18.75" x14ac:dyDescent="0.3">
      <c r="B1" s="27" t="s">
        <v>546</v>
      </c>
      <c r="D1" s="3"/>
      <c r="E1" s="3"/>
      <c r="F1" s="3"/>
      <c r="G1" s="3"/>
      <c r="H1" s="3"/>
      <c r="I1" s="3"/>
      <c r="J1" s="3"/>
      <c r="K1" s="3"/>
      <c r="L1" s="3"/>
      <c r="M1" s="3"/>
      <c r="N1" s="3"/>
    </row>
    <row r="2" spans="1:14" ht="19.5" thickBot="1" x14ac:dyDescent="0.35">
      <c r="B2" s="27"/>
      <c r="D2" s="3"/>
      <c r="E2" s="3"/>
      <c r="F2" s="3"/>
      <c r="G2" s="3"/>
      <c r="H2" s="3"/>
      <c r="I2" s="3"/>
      <c r="J2" s="3"/>
      <c r="K2" s="3"/>
      <c r="L2" s="3"/>
      <c r="M2" s="3"/>
      <c r="N2" s="3"/>
    </row>
    <row r="3" spans="1:14" customFormat="1" ht="18.75" x14ac:dyDescent="0.3">
      <c r="A3" s="4"/>
      <c r="B3" s="96" t="s">
        <v>515</v>
      </c>
      <c r="C3" s="87"/>
      <c r="D3" s="88"/>
      <c r="E3" s="89">
        <f>E4+E11+E14+E15+E16+E19+E22+E23+E24+E25</f>
        <v>85000</v>
      </c>
      <c r="F3" s="4"/>
    </row>
    <row r="4" spans="1:14" customFormat="1" ht="15" customHeight="1" x14ac:dyDescent="0.25">
      <c r="A4" s="4"/>
      <c r="B4" s="648" t="s">
        <v>511</v>
      </c>
      <c r="C4" s="649"/>
      <c r="D4" s="29"/>
      <c r="E4" s="91">
        <f>SUM(E5:E10)</f>
        <v>75000</v>
      </c>
      <c r="F4" s="4"/>
    </row>
    <row r="5" spans="1:14" customFormat="1" ht="15" customHeight="1" x14ac:dyDescent="0.25">
      <c r="A5" s="4"/>
      <c r="B5" s="648"/>
      <c r="C5" s="649" t="s">
        <v>513</v>
      </c>
      <c r="D5" s="29"/>
      <c r="E5" s="91">
        <f>N62+N80+N98+N116+N134+N152+N170+N188</f>
        <v>70000</v>
      </c>
      <c r="F5" s="4"/>
    </row>
    <row r="6" spans="1:14" customFormat="1" ht="15" customHeight="1" x14ac:dyDescent="0.25">
      <c r="A6" s="4"/>
      <c r="B6" s="648"/>
      <c r="C6" s="649" t="s">
        <v>32</v>
      </c>
      <c r="D6" s="29"/>
      <c r="E6" s="91">
        <f>N64+N82+N100+N118+N136+N154+N172+N190</f>
        <v>0</v>
      </c>
      <c r="F6" s="4"/>
    </row>
    <row r="7" spans="1:14" customFormat="1" ht="15" customHeight="1" x14ac:dyDescent="0.25">
      <c r="A7" s="4"/>
      <c r="B7" s="648"/>
      <c r="C7" s="649" t="s">
        <v>536</v>
      </c>
      <c r="D7" s="29"/>
      <c r="E7" s="91">
        <f>N70+N88+N106+N124+N142+N160+N178+N196</f>
        <v>0</v>
      </c>
      <c r="F7" s="4"/>
    </row>
    <row r="8" spans="1:14" customFormat="1" ht="15" customHeight="1" x14ac:dyDescent="0.25">
      <c r="A8" s="4"/>
      <c r="B8" s="648"/>
      <c r="C8" s="649" t="s">
        <v>36</v>
      </c>
      <c r="D8" s="29"/>
      <c r="E8" s="91">
        <f>N71+N89+N107+N125+N143+N161+N179+N197</f>
        <v>5000</v>
      </c>
      <c r="F8" s="4"/>
    </row>
    <row r="9" spans="1:14" customFormat="1" ht="15" customHeight="1" x14ac:dyDescent="0.25">
      <c r="A9" s="4"/>
      <c r="B9" s="648"/>
      <c r="C9" s="649" t="s">
        <v>683</v>
      </c>
      <c r="D9" s="29"/>
      <c r="E9" s="91">
        <f>N75+N93+N111+N129+N147+N165+N183+N201</f>
        <v>0</v>
      </c>
      <c r="F9" s="4"/>
    </row>
    <row r="10" spans="1:14" customFormat="1" ht="15" customHeight="1" x14ac:dyDescent="0.25">
      <c r="A10" s="4"/>
      <c r="B10" s="648"/>
      <c r="C10" s="649" t="s">
        <v>35</v>
      </c>
      <c r="D10" s="29"/>
      <c r="E10" s="91">
        <f>N77+N95+N113+N131+N149+N167+N185+N203</f>
        <v>0</v>
      </c>
      <c r="F10" s="4"/>
    </row>
    <row r="11" spans="1:14" customFormat="1" ht="15" customHeight="1" x14ac:dyDescent="0.25">
      <c r="A11" s="4"/>
      <c r="B11" s="648" t="s">
        <v>514</v>
      </c>
      <c r="C11" s="649"/>
      <c r="D11" s="29"/>
      <c r="E11" s="91">
        <f>SUM(E12:E13)</f>
        <v>10000</v>
      </c>
      <c r="F11" s="4"/>
    </row>
    <row r="12" spans="1:14" customFormat="1" ht="15" customHeight="1" x14ac:dyDescent="0.25">
      <c r="A12" s="4"/>
      <c r="B12" s="648"/>
      <c r="C12" s="649" t="s">
        <v>682</v>
      </c>
      <c r="D12" s="29"/>
      <c r="E12" s="91">
        <f>N65+N83+N101+N119+N137+N155+N173+N191</f>
        <v>10000</v>
      </c>
      <c r="F12" s="4"/>
    </row>
    <row r="13" spans="1:14" customFormat="1" ht="15" customHeight="1" x14ac:dyDescent="0.25">
      <c r="A13" s="4"/>
      <c r="B13" s="648"/>
      <c r="C13" s="649" t="s">
        <v>41</v>
      </c>
      <c r="D13" s="29"/>
      <c r="E13" s="91">
        <f>N66+N84+N102+N120+N138+N156+N174+N192</f>
        <v>0</v>
      </c>
      <c r="F13" s="4"/>
    </row>
    <row r="14" spans="1:14" customFormat="1" ht="15" customHeight="1" x14ac:dyDescent="0.25">
      <c r="A14" s="4"/>
      <c r="B14" s="648" t="s">
        <v>775</v>
      </c>
      <c r="C14" s="649"/>
      <c r="D14" s="29"/>
      <c r="E14" s="91">
        <f>N67+N85+N103+N121+N139+N157+N175+N193</f>
        <v>0</v>
      </c>
      <c r="F14" s="4"/>
    </row>
    <row r="15" spans="1:14" customFormat="1" ht="15" customHeight="1" x14ac:dyDescent="0.25">
      <c r="A15" s="4"/>
      <c r="B15" s="648" t="s">
        <v>660</v>
      </c>
      <c r="C15" s="649"/>
      <c r="D15" s="29"/>
      <c r="E15" s="91">
        <f>N68+N86+N104+N122+N140+N158+N176+N194</f>
        <v>0</v>
      </c>
      <c r="F15" s="4"/>
    </row>
    <row r="16" spans="1:14" customFormat="1" ht="15" customHeight="1" x14ac:dyDescent="0.3">
      <c r="A16" s="4"/>
      <c r="B16" s="648" t="s">
        <v>518</v>
      </c>
      <c r="C16" s="649"/>
      <c r="D16" s="29"/>
      <c r="E16" s="92">
        <f>SUM(E17:E18)</f>
        <v>0</v>
      </c>
      <c r="F16" s="4"/>
    </row>
    <row r="17" spans="1:17" customFormat="1" ht="15" customHeight="1" x14ac:dyDescent="0.25">
      <c r="A17" s="4"/>
      <c r="B17" s="648"/>
      <c r="C17" s="649" t="s">
        <v>512</v>
      </c>
      <c r="D17" s="29"/>
      <c r="E17" s="91">
        <f>N63+N81+N99+N117+N135+N153+N171+N189</f>
        <v>0</v>
      </c>
      <c r="F17" s="4"/>
    </row>
    <row r="18" spans="1:17" customFormat="1" ht="15" customHeight="1" x14ac:dyDescent="0.25">
      <c r="A18" s="4"/>
      <c r="B18" s="648"/>
      <c r="C18" s="649" t="s">
        <v>29</v>
      </c>
      <c r="D18" s="29"/>
      <c r="E18" s="91">
        <f>N69+N87+N105+N123+N141+N159+N177+N195</f>
        <v>0</v>
      </c>
      <c r="F18" s="4"/>
    </row>
    <row r="19" spans="1:17" customFormat="1" ht="15" customHeight="1" x14ac:dyDescent="0.3">
      <c r="A19" s="4"/>
      <c r="B19" s="648" t="s">
        <v>519</v>
      </c>
      <c r="C19" s="649"/>
      <c r="D19" s="29"/>
      <c r="E19" s="92">
        <f>SUM(E20:E21)</f>
        <v>0</v>
      </c>
      <c r="F19" s="4"/>
    </row>
    <row r="20" spans="1:17" customFormat="1" ht="15" customHeight="1" x14ac:dyDescent="0.25">
      <c r="A20" s="4"/>
      <c r="B20" s="648"/>
      <c r="C20" s="649" t="s">
        <v>526</v>
      </c>
      <c r="D20" s="29"/>
      <c r="E20" s="91">
        <f>N78+N96+N114+N132+N150+N168+N186+N204</f>
        <v>0</v>
      </c>
      <c r="F20" s="4"/>
    </row>
    <row r="21" spans="1:17" customFormat="1" ht="15" customHeight="1" x14ac:dyDescent="0.25">
      <c r="A21" s="4"/>
      <c r="B21" s="648"/>
      <c r="C21" s="649" t="s">
        <v>525</v>
      </c>
      <c r="D21" s="29"/>
      <c r="E21" s="91">
        <f>N79+N97+N115+N133+N151+N169+N187+N205</f>
        <v>0</v>
      </c>
      <c r="F21" s="4"/>
    </row>
    <row r="22" spans="1:17" customFormat="1" ht="15" customHeight="1" x14ac:dyDescent="0.25">
      <c r="A22" s="4"/>
      <c r="B22" s="648" t="s">
        <v>31</v>
      </c>
      <c r="C22" s="649"/>
      <c r="D22" s="29"/>
      <c r="E22" s="91">
        <f>N72+N90+N108+N126+N144+N162+N180+N198</f>
        <v>0</v>
      </c>
      <c r="F22" s="4"/>
    </row>
    <row r="23" spans="1:17" customFormat="1" ht="15" customHeight="1" x14ac:dyDescent="0.25">
      <c r="A23" s="4"/>
      <c r="B23" s="648" t="s">
        <v>516</v>
      </c>
      <c r="C23" s="649"/>
      <c r="D23" s="29"/>
      <c r="E23" s="91">
        <f>N73+N91+N109+N127+N145+N163+N181+N199</f>
        <v>0</v>
      </c>
      <c r="F23" s="4"/>
    </row>
    <row r="24" spans="1:17" customFormat="1" ht="15" customHeight="1" x14ac:dyDescent="0.25">
      <c r="A24" s="4"/>
      <c r="B24" s="648" t="s">
        <v>517</v>
      </c>
      <c r="C24" s="649"/>
      <c r="D24" s="29"/>
      <c r="E24" s="91">
        <f>N74+N92+N110+N128+N146+N164+N182+N200</f>
        <v>0</v>
      </c>
      <c r="F24" s="4"/>
    </row>
    <row r="25" spans="1:17" customFormat="1" ht="15" customHeight="1" thickBot="1" x14ac:dyDescent="0.3">
      <c r="A25" s="4"/>
      <c r="B25" s="650" t="s">
        <v>759</v>
      </c>
      <c r="C25" s="651"/>
      <c r="D25" s="94"/>
      <c r="E25" s="422">
        <f>N76+N94+N112+N130+N148+N166+N184+N202</f>
        <v>0</v>
      </c>
      <c r="F25" s="4"/>
    </row>
    <row r="26" spans="1:17" ht="19.5" thickBot="1" x14ac:dyDescent="0.35">
      <c r="A26" s="27"/>
      <c r="D26" s="3"/>
      <c r="E26" s="3"/>
      <c r="F26" s="3"/>
      <c r="G26" s="3"/>
      <c r="H26" s="3"/>
      <c r="I26" s="3"/>
      <c r="J26" s="3"/>
      <c r="K26" s="3"/>
      <c r="L26" s="3"/>
      <c r="M26" s="3"/>
      <c r="N26" s="3"/>
      <c r="O26" s="3"/>
      <c r="P26" s="3"/>
      <c r="Q26" s="3"/>
    </row>
    <row r="27" spans="1:17" ht="30.75" thickTop="1" x14ac:dyDescent="0.25">
      <c r="A27" s="5" t="s">
        <v>464</v>
      </c>
      <c r="B27" s="8" t="s">
        <v>379</v>
      </c>
      <c r="C27" s="8" t="s">
        <v>15</v>
      </c>
      <c r="D27" s="6" t="s">
        <v>8</v>
      </c>
      <c r="E27" s="6" t="s">
        <v>500</v>
      </c>
      <c r="F27" s="6" t="s">
        <v>508</v>
      </c>
      <c r="G27" s="6" t="s">
        <v>10</v>
      </c>
      <c r="H27" s="6" t="s">
        <v>501</v>
      </c>
      <c r="I27" s="6" t="s">
        <v>502</v>
      </c>
      <c r="J27" s="6" t="s">
        <v>806</v>
      </c>
      <c r="K27" s="7" t="s">
        <v>503</v>
      </c>
      <c r="L27" s="6" t="s">
        <v>14</v>
      </c>
      <c r="M27" s="6" t="s">
        <v>474</v>
      </c>
      <c r="N27" s="8" t="s">
        <v>504</v>
      </c>
    </row>
    <row r="28" spans="1:17" x14ac:dyDescent="0.25">
      <c r="A28" s="427">
        <f>VLOOKUP(J28,CapitalCodes,2)</f>
        <v>1320</v>
      </c>
      <c r="B28" s="518" t="s">
        <v>28</v>
      </c>
      <c r="C28" s="518" t="s">
        <v>692</v>
      </c>
      <c r="D28" s="518" t="s">
        <v>1088</v>
      </c>
      <c r="E28" s="518"/>
      <c r="F28" s="518" t="s">
        <v>996</v>
      </c>
      <c r="G28" s="518"/>
      <c r="H28" s="587"/>
      <c r="I28" s="587"/>
      <c r="J28" s="518" t="s">
        <v>800</v>
      </c>
      <c r="K28" s="520">
        <v>65000</v>
      </c>
      <c r="L28" s="520"/>
      <c r="M28" s="520"/>
      <c r="N28" s="520">
        <v>70000</v>
      </c>
    </row>
    <row r="29" spans="1:17" x14ac:dyDescent="0.25">
      <c r="A29" s="440">
        <f>VLOOKUP(J29,CapitalCodes,2)</f>
        <v>1320</v>
      </c>
      <c r="B29" s="518" t="s">
        <v>685</v>
      </c>
      <c r="C29" s="518" t="s">
        <v>692</v>
      </c>
      <c r="D29" s="698" t="s">
        <v>1594</v>
      </c>
      <c r="E29" s="467"/>
      <c r="F29" s="588" t="s">
        <v>996</v>
      </c>
      <c r="G29" s="588"/>
      <c r="H29" s="465"/>
      <c r="I29" s="465"/>
      <c r="J29" s="467" t="s">
        <v>800</v>
      </c>
      <c r="K29" s="586"/>
      <c r="L29" s="520"/>
      <c r="M29" s="520"/>
      <c r="N29" s="520">
        <v>10000</v>
      </c>
    </row>
    <row r="30" spans="1:17" x14ac:dyDescent="0.25">
      <c r="A30" s="513">
        <f>VLOOKUP(J30,CapitalCodes,2)</f>
        <v>1325</v>
      </c>
      <c r="B30" s="700" t="s">
        <v>37</v>
      </c>
      <c r="C30" s="700" t="s">
        <v>143</v>
      </c>
      <c r="D30" s="698" t="s">
        <v>1454</v>
      </c>
      <c r="E30" s="698"/>
      <c r="F30" s="702" t="s">
        <v>996</v>
      </c>
      <c r="G30" s="702"/>
      <c r="H30" s="697"/>
      <c r="I30" s="697"/>
      <c r="J30" s="698" t="s">
        <v>801</v>
      </c>
      <c r="K30" s="701"/>
      <c r="L30" s="689"/>
      <c r="M30" s="689"/>
      <c r="N30" s="689">
        <v>0</v>
      </c>
    </row>
    <row r="31" spans="1:17" x14ac:dyDescent="0.25">
      <c r="A31" s="254">
        <v>1325</v>
      </c>
      <c r="B31" s="700" t="s">
        <v>36</v>
      </c>
      <c r="C31" s="700" t="s">
        <v>692</v>
      </c>
      <c r="D31" s="700" t="s">
        <v>1135</v>
      </c>
      <c r="E31" s="700" t="s">
        <v>16</v>
      </c>
      <c r="F31" s="700" t="s">
        <v>897</v>
      </c>
      <c r="G31" s="700"/>
      <c r="H31" s="587"/>
      <c r="I31" s="587"/>
      <c r="J31" s="700" t="s">
        <v>800</v>
      </c>
      <c r="K31" s="689">
        <v>5000</v>
      </c>
      <c r="L31" s="689"/>
      <c r="M31" s="689"/>
      <c r="N31" s="689">
        <v>5000</v>
      </c>
    </row>
    <row r="32" spans="1:17" x14ac:dyDescent="0.25">
      <c r="A32" s="254">
        <f>VLOOKUP(J32,CapitalCodes,2)</f>
        <v>1325</v>
      </c>
      <c r="B32" s="700" t="s">
        <v>684</v>
      </c>
      <c r="C32" s="700" t="s">
        <v>692</v>
      </c>
      <c r="D32" s="700" t="s">
        <v>1286</v>
      </c>
      <c r="E32" s="700"/>
      <c r="F32" s="700"/>
      <c r="G32" s="700"/>
      <c r="H32" s="587"/>
      <c r="I32" s="587"/>
      <c r="J32" s="700" t="s">
        <v>801</v>
      </c>
      <c r="K32" s="689"/>
      <c r="L32" s="689"/>
      <c r="M32" s="689"/>
      <c r="N32" s="689">
        <v>0</v>
      </c>
    </row>
    <row r="33" spans="1:14" x14ac:dyDescent="0.25">
      <c r="A33" s="254">
        <f t="shared" ref="A33:A60" si="0">VLOOKUP(J33,CapitalCodes,2)</f>
        <v>1320</v>
      </c>
      <c r="B33" s="700" t="s">
        <v>684</v>
      </c>
      <c r="C33" s="700" t="s">
        <v>692</v>
      </c>
      <c r="D33" s="698" t="s">
        <v>1421</v>
      </c>
      <c r="E33" s="698"/>
      <c r="F33" s="702" t="s">
        <v>996</v>
      </c>
      <c r="G33" s="702"/>
      <c r="H33" s="697"/>
      <c r="I33" s="697"/>
      <c r="J33" s="698" t="s">
        <v>798</v>
      </c>
      <c r="K33" s="701"/>
      <c r="L33" s="689"/>
      <c r="M33" s="689"/>
      <c r="N33" s="689">
        <v>0</v>
      </c>
    </row>
    <row r="34" spans="1:14" x14ac:dyDescent="0.25">
      <c r="A34" s="254" t="e">
        <f t="shared" si="0"/>
        <v>#N/A</v>
      </c>
      <c r="B34" s="518"/>
      <c r="C34" s="518"/>
      <c r="D34" s="467"/>
      <c r="E34" s="467"/>
      <c r="F34" s="588"/>
      <c r="G34" s="588"/>
      <c r="H34" s="587"/>
      <c r="I34" s="587"/>
      <c r="J34" s="518"/>
      <c r="K34" s="520"/>
      <c r="L34" s="520"/>
      <c r="M34" s="520"/>
      <c r="N34" s="520"/>
    </row>
    <row r="35" spans="1:14" x14ac:dyDescent="0.25">
      <c r="A35" s="254" t="e">
        <f t="shared" si="0"/>
        <v>#N/A</v>
      </c>
      <c r="B35" s="518"/>
      <c r="C35" s="518"/>
      <c r="D35" s="467"/>
      <c r="E35" s="467"/>
      <c r="F35" s="588"/>
      <c r="G35" s="588"/>
      <c r="H35" s="465"/>
      <c r="I35" s="465"/>
      <c r="J35" s="467"/>
      <c r="K35" s="589"/>
      <c r="L35" s="516"/>
      <c r="M35" s="516"/>
      <c r="N35" s="516"/>
    </row>
    <row r="36" spans="1:14" hidden="1" x14ac:dyDescent="0.25">
      <c r="A36" s="254" t="e">
        <f t="shared" si="0"/>
        <v>#N/A</v>
      </c>
      <c r="B36" s="518"/>
      <c r="C36" s="518"/>
      <c r="D36" s="467"/>
      <c r="E36" s="518"/>
      <c r="F36" s="518"/>
      <c r="G36" s="518"/>
      <c r="H36" s="587"/>
      <c r="I36" s="587"/>
      <c r="J36" s="518"/>
      <c r="K36" s="516"/>
      <c r="L36" s="516"/>
      <c r="M36" s="516"/>
      <c r="N36" s="516"/>
    </row>
    <row r="37" spans="1:14" hidden="1" x14ac:dyDescent="0.25">
      <c r="A37" s="254" t="e">
        <f t="shared" si="0"/>
        <v>#N/A</v>
      </c>
      <c r="B37" s="518"/>
      <c r="C37" s="518"/>
      <c r="D37" s="467"/>
      <c r="E37" s="518"/>
      <c r="F37" s="518"/>
      <c r="G37" s="518"/>
      <c r="H37" s="587"/>
      <c r="I37" s="587"/>
      <c r="J37" s="518"/>
      <c r="K37" s="516"/>
      <c r="L37" s="516"/>
      <c r="M37" s="516"/>
      <c r="N37" s="516"/>
    </row>
    <row r="38" spans="1:14" hidden="1" x14ac:dyDescent="0.25">
      <c r="A38" s="254" t="e">
        <f t="shared" si="0"/>
        <v>#N/A</v>
      </c>
      <c r="B38" s="518"/>
      <c r="C38" s="518"/>
      <c r="D38" s="467"/>
      <c r="E38" s="518"/>
      <c r="F38" s="518"/>
      <c r="G38" s="518"/>
      <c r="H38" s="587"/>
      <c r="I38" s="587"/>
      <c r="J38" s="518"/>
      <c r="K38" s="516"/>
      <c r="L38" s="516"/>
      <c r="M38" s="516"/>
      <c r="N38" s="516"/>
    </row>
    <row r="39" spans="1:14" hidden="1" x14ac:dyDescent="0.25">
      <c r="A39" s="254" t="e">
        <f t="shared" si="0"/>
        <v>#N/A</v>
      </c>
      <c r="B39" s="518"/>
      <c r="C39" s="518"/>
      <c r="D39" s="518"/>
      <c r="E39" s="518"/>
      <c r="F39" s="518"/>
      <c r="G39" s="518"/>
      <c r="H39" s="587"/>
      <c r="I39" s="587"/>
      <c r="J39" s="518"/>
      <c r="K39" s="516"/>
      <c r="L39" s="516"/>
      <c r="M39" s="516"/>
      <c r="N39" s="516"/>
    </row>
    <row r="40" spans="1:14" hidden="1" x14ac:dyDescent="0.25">
      <c r="A40" s="254" t="e">
        <f t="shared" si="0"/>
        <v>#N/A</v>
      </c>
      <c r="B40" s="518"/>
      <c r="C40" s="518"/>
      <c r="D40" s="518"/>
      <c r="E40" s="518"/>
      <c r="F40" s="467"/>
      <c r="G40" s="518"/>
      <c r="H40" s="587"/>
      <c r="I40" s="587"/>
      <c r="J40" s="518"/>
      <c r="K40" s="520"/>
      <c r="L40" s="520"/>
      <c r="M40" s="520"/>
      <c r="N40" s="520"/>
    </row>
    <row r="41" spans="1:14" hidden="1" x14ac:dyDescent="0.25">
      <c r="A41" s="254" t="e">
        <f t="shared" si="0"/>
        <v>#N/A</v>
      </c>
      <c r="B41" s="518"/>
      <c r="C41" s="518"/>
      <c r="D41" s="518"/>
      <c r="E41" s="518"/>
      <c r="F41" s="518"/>
      <c r="G41" s="518"/>
      <c r="H41" s="587"/>
      <c r="I41" s="587"/>
      <c r="J41" s="518"/>
      <c r="K41" s="516"/>
      <c r="L41" s="516"/>
      <c r="M41" s="516"/>
      <c r="N41" s="516"/>
    </row>
    <row r="42" spans="1:14" hidden="1" x14ac:dyDescent="0.25">
      <c r="A42" s="254" t="e">
        <f t="shared" si="0"/>
        <v>#N/A</v>
      </c>
      <c r="B42" s="518"/>
      <c r="C42" s="518"/>
      <c r="D42" s="518"/>
      <c r="E42" s="518"/>
      <c r="F42" s="518"/>
      <c r="G42" s="518"/>
      <c r="H42" s="587"/>
      <c r="I42" s="587"/>
      <c r="J42" s="518"/>
      <c r="K42" s="516"/>
      <c r="L42" s="516"/>
      <c r="M42" s="516"/>
      <c r="N42" s="516"/>
    </row>
    <row r="43" spans="1:14" hidden="1" x14ac:dyDescent="0.25">
      <c r="A43" s="254" t="e">
        <f t="shared" si="0"/>
        <v>#N/A</v>
      </c>
      <c r="B43" s="518"/>
      <c r="C43" s="518"/>
      <c r="D43" s="518"/>
      <c r="E43" s="518"/>
      <c r="F43" s="518"/>
      <c r="G43" s="518"/>
      <c r="H43" s="587"/>
      <c r="I43" s="587"/>
      <c r="J43" s="518"/>
      <c r="K43" s="516"/>
      <c r="L43" s="516"/>
      <c r="M43" s="516"/>
      <c r="N43" s="516"/>
    </row>
    <row r="44" spans="1:14" hidden="1" x14ac:dyDescent="0.25">
      <c r="A44" s="255" t="e">
        <f t="shared" si="0"/>
        <v>#N/A</v>
      </c>
      <c r="B44" s="518"/>
      <c r="C44" s="518"/>
      <c r="D44" s="467"/>
      <c r="E44" s="467"/>
      <c r="F44" s="467"/>
      <c r="G44" s="467"/>
      <c r="H44" s="465"/>
      <c r="I44" s="465"/>
      <c r="J44" s="467"/>
      <c r="K44" s="589"/>
      <c r="L44" s="516"/>
      <c r="M44" s="516"/>
      <c r="N44" s="516"/>
    </row>
    <row r="45" spans="1:14" hidden="1" x14ac:dyDescent="0.25">
      <c r="A45" s="255" t="e">
        <f t="shared" si="0"/>
        <v>#N/A</v>
      </c>
      <c r="B45" s="518"/>
      <c r="C45" s="518"/>
      <c r="D45" s="467"/>
      <c r="E45" s="467"/>
      <c r="F45" s="467"/>
      <c r="G45" s="467"/>
      <c r="H45" s="465"/>
      <c r="I45" s="465"/>
      <c r="J45" s="467"/>
      <c r="K45" s="589"/>
      <c r="L45" s="516"/>
      <c r="M45" s="516"/>
      <c r="N45" s="516"/>
    </row>
    <row r="46" spans="1:14" hidden="1" x14ac:dyDescent="0.25">
      <c r="A46" s="255" t="e">
        <f t="shared" si="0"/>
        <v>#N/A</v>
      </c>
      <c r="B46" s="518"/>
      <c r="C46" s="518"/>
      <c r="D46" s="467"/>
      <c r="E46" s="467"/>
      <c r="F46" s="467"/>
      <c r="G46" s="467"/>
      <c r="H46" s="465"/>
      <c r="I46" s="465"/>
      <c r="J46" s="467"/>
      <c r="K46" s="589"/>
      <c r="L46" s="516"/>
      <c r="M46" s="516"/>
      <c r="N46" s="516"/>
    </row>
    <row r="47" spans="1:14" hidden="1" x14ac:dyDescent="0.25">
      <c r="A47" s="255" t="e">
        <f t="shared" si="0"/>
        <v>#N/A</v>
      </c>
      <c r="B47" s="518"/>
      <c r="C47" s="518"/>
      <c r="D47" s="467"/>
      <c r="E47" s="467"/>
      <c r="F47" s="467"/>
      <c r="G47" s="467"/>
      <c r="H47" s="465"/>
      <c r="I47" s="465"/>
      <c r="J47" s="467"/>
      <c r="K47" s="589"/>
      <c r="L47" s="516"/>
      <c r="M47" s="516"/>
      <c r="N47" s="516"/>
    </row>
    <row r="48" spans="1:14" hidden="1" x14ac:dyDescent="0.25">
      <c r="A48" s="255" t="e">
        <f t="shared" si="0"/>
        <v>#N/A</v>
      </c>
      <c r="B48" s="518"/>
      <c r="C48" s="518"/>
      <c r="D48" s="467"/>
      <c r="E48" s="467"/>
      <c r="F48" s="467"/>
      <c r="G48" s="467"/>
      <c r="H48" s="465"/>
      <c r="I48" s="465"/>
      <c r="J48" s="467"/>
      <c r="K48" s="589"/>
      <c r="L48" s="516"/>
      <c r="M48" s="516"/>
      <c r="N48" s="516"/>
    </row>
    <row r="49" spans="1:14" hidden="1" x14ac:dyDescent="0.25">
      <c r="A49" s="255" t="e">
        <f t="shared" si="0"/>
        <v>#N/A</v>
      </c>
      <c r="B49" s="518"/>
      <c r="C49" s="518"/>
      <c r="D49" s="467"/>
      <c r="E49" s="467"/>
      <c r="F49" s="467"/>
      <c r="G49" s="467"/>
      <c r="H49" s="465"/>
      <c r="I49" s="465"/>
      <c r="J49" s="467"/>
      <c r="K49" s="589"/>
      <c r="L49" s="516"/>
      <c r="M49" s="516"/>
      <c r="N49" s="516"/>
    </row>
    <row r="50" spans="1:14" hidden="1" x14ac:dyDescent="0.25">
      <c r="A50" s="255" t="e">
        <f t="shared" si="0"/>
        <v>#N/A</v>
      </c>
      <c r="B50" s="518"/>
      <c r="C50" s="518"/>
      <c r="D50" s="467"/>
      <c r="E50" s="467"/>
      <c r="F50" s="467"/>
      <c r="G50" s="467"/>
      <c r="H50" s="465"/>
      <c r="I50" s="465"/>
      <c r="J50" s="467"/>
      <c r="K50" s="589"/>
      <c r="L50" s="516"/>
      <c r="M50" s="516"/>
      <c r="N50" s="516"/>
    </row>
    <row r="51" spans="1:14" hidden="1" x14ac:dyDescent="0.25">
      <c r="A51" s="255" t="e">
        <f t="shared" si="0"/>
        <v>#N/A</v>
      </c>
      <c r="B51" s="518"/>
      <c r="C51" s="518"/>
      <c r="D51" s="467"/>
      <c r="E51" s="467"/>
      <c r="F51" s="467"/>
      <c r="G51" s="467"/>
      <c r="H51" s="465"/>
      <c r="I51" s="465"/>
      <c r="J51" s="467"/>
      <c r="K51" s="589"/>
      <c r="L51" s="516"/>
      <c r="M51" s="516"/>
      <c r="N51" s="516"/>
    </row>
    <row r="52" spans="1:14" hidden="1" x14ac:dyDescent="0.25">
      <c r="A52" s="255" t="e">
        <f t="shared" si="0"/>
        <v>#N/A</v>
      </c>
      <c r="B52" s="518"/>
      <c r="C52" s="518"/>
      <c r="D52" s="467"/>
      <c r="E52" s="467"/>
      <c r="F52" s="467"/>
      <c r="G52" s="467"/>
      <c r="H52" s="465"/>
      <c r="I52" s="465"/>
      <c r="J52" s="467"/>
      <c r="K52" s="589"/>
      <c r="L52" s="516"/>
      <c r="M52" s="516"/>
      <c r="N52" s="516"/>
    </row>
    <row r="53" spans="1:14" hidden="1" x14ac:dyDescent="0.25">
      <c r="A53" s="255" t="e">
        <f t="shared" si="0"/>
        <v>#N/A</v>
      </c>
      <c r="B53" s="518"/>
      <c r="C53" s="518"/>
      <c r="D53" s="467"/>
      <c r="E53" s="467"/>
      <c r="F53" s="467"/>
      <c r="G53" s="467"/>
      <c r="H53" s="465"/>
      <c r="I53" s="465"/>
      <c r="J53" s="467"/>
      <c r="K53" s="589"/>
      <c r="L53" s="516"/>
      <c r="M53" s="516"/>
      <c r="N53" s="516"/>
    </row>
    <row r="54" spans="1:14" ht="16.5" hidden="1" customHeight="1" x14ac:dyDescent="0.25">
      <c r="A54" s="255" t="e">
        <f t="shared" si="0"/>
        <v>#N/A</v>
      </c>
      <c r="B54" s="518"/>
      <c r="C54" s="518"/>
      <c r="D54" s="467"/>
      <c r="E54" s="467"/>
      <c r="F54" s="467"/>
      <c r="G54" s="467"/>
      <c r="H54" s="465"/>
      <c r="I54" s="465"/>
      <c r="J54" s="467"/>
      <c r="K54" s="589"/>
      <c r="L54" s="516"/>
      <c r="M54" s="516"/>
      <c r="N54" s="516"/>
    </row>
    <row r="55" spans="1:14" hidden="1" x14ac:dyDescent="0.25">
      <c r="A55" s="255" t="e">
        <f t="shared" si="0"/>
        <v>#N/A</v>
      </c>
      <c r="B55" s="518"/>
      <c r="C55" s="518"/>
      <c r="D55" s="467"/>
      <c r="E55" s="467"/>
      <c r="F55" s="467"/>
      <c r="G55" s="467"/>
      <c r="H55" s="465"/>
      <c r="I55" s="465"/>
      <c r="J55" s="467"/>
      <c r="K55" s="589"/>
      <c r="L55" s="516"/>
      <c r="M55" s="516"/>
      <c r="N55" s="516"/>
    </row>
    <row r="56" spans="1:14" hidden="1" x14ac:dyDescent="0.25">
      <c r="A56" s="255" t="e">
        <f t="shared" si="0"/>
        <v>#N/A</v>
      </c>
      <c r="B56" s="518"/>
      <c r="C56" s="518"/>
      <c r="D56" s="467"/>
      <c r="E56" s="467"/>
      <c r="F56" s="467"/>
      <c r="G56" s="467"/>
      <c r="H56" s="465"/>
      <c r="I56" s="465"/>
      <c r="J56" s="467"/>
      <c r="K56" s="589"/>
      <c r="L56" s="516"/>
      <c r="M56" s="516"/>
      <c r="N56" s="516"/>
    </row>
    <row r="57" spans="1:14" hidden="1" x14ac:dyDescent="0.25">
      <c r="A57" s="255" t="e">
        <f t="shared" si="0"/>
        <v>#N/A</v>
      </c>
      <c r="B57" s="518"/>
      <c r="C57" s="518"/>
      <c r="D57" s="467"/>
      <c r="E57" s="467"/>
      <c r="F57" s="467"/>
      <c r="G57" s="467"/>
      <c r="H57" s="465"/>
      <c r="I57" s="465"/>
      <c r="J57" s="467"/>
      <c r="K57" s="589"/>
      <c r="L57" s="516"/>
      <c r="M57" s="516"/>
      <c r="N57" s="516"/>
    </row>
    <row r="58" spans="1:14" hidden="1" x14ac:dyDescent="0.25">
      <c r="A58" s="255" t="e">
        <f t="shared" si="0"/>
        <v>#N/A</v>
      </c>
      <c r="B58" s="518"/>
      <c r="C58" s="518"/>
      <c r="D58" s="467"/>
      <c r="E58" s="467"/>
      <c r="F58" s="467"/>
      <c r="G58" s="467"/>
      <c r="H58" s="465"/>
      <c r="I58" s="465"/>
      <c r="J58" s="467"/>
      <c r="K58" s="589"/>
      <c r="L58" s="516"/>
      <c r="M58" s="516"/>
      <c r="N58" s="516"/>
    </row>
    <row r="59" spans="1:14" hidden="1" x14ac:dyDescent="0.25">
      <c r="A59" s="255" t="e">
        <f t="shared" si="0"/>
        <v>#N/A</v>
      </c>
      <c r="B59" s="518"/>
      <c r="C59" s="518"/>
      <c r="D59" s="467"/>
      <c r="E59" s="467"/>
      <c r="F59" s="467"/>
      <c r="G59" s="467"/>
      <c r="H59" s="465"/>
      <c r="I59" s="465"/>
      <c r="J59" s="467"/>
      <c r="K59" s="589"/>
      <c r="L59" s="516"/>
      <c r="M59" s="516"/>
      <c r="N59" s="516"/>
    </row>
    <row r="60" spans="1:14" ht="15.75" thickBot="1" x14ac:dyDescent="0.3">
      <c r="A60" s="255" t="e">
        <f t="shared" si="0"/>
        <v>#N/A</v>
      </c>
      <c r="B60" s="518"/>
      <c r="C60" s="518"/>
      <c r="D60" s="467"/>
      <c r="E60" s="467"/>
      <c r="F60" s="467"/>
      <c r="G60" s="467"/>
      <c r="H60" s="465"/>
      <c r="I60" s="465"/>
      <c r="J60" s="467"/>
      <c r="K60" s="589"/>
      <c r="L60" s="516"/>
      <c r="M60" s="516"/>
      <c r="N60" s="516"/>
    </row>
    <row r="61" spans="1:14" ht="15.75" thickBot="1" x14ac:dyDescent="0.3">
      <c r="A61" s="109"/>
      <c r="B61" s="110"/>
      <c r="C61" s="110"/>
      <c r="D61" s="111">
        <f>COUNTA(D28:D60)</f>
        <v>6</v>
      </c>
      <c r="E61" s="112"/>
      <c r="F61" s="112"/>
      <c r="G61" s="113"/>
      <c r="H61" s="113"/>
      <c r="I61" s="112"/>
      <c r="J61" s="114"/>
      <c r="K61" s="114">
        <f t="shared" ref="K61:M61" si="1">SUM(K28:K60)</f>
        <v>70000</v>
      </c>
      <c r="L61" s="115">
        <f t="shared" si="1"/>
        <v>0</v>
      </c>
      <c r="M61" s="116">
        <f t="shared" si="1"/>
        <v>0</v>
      </c>
      <c r="N61" s="115">
        <f>SUM(N28:N60)</f>
        <v>85000</v>
      </c>
    </row>
    <row r="62" spans="1:14" x14ac:dyDescent="0.25">
      <c r="A62" s="231">
        <v>1310</v>
      </c>
      <c r="B62" s="119" t="s">
        <v>28</v>
      </c>
      <c r="C62" s="120"/>
      <c r="D62" s="121"/>
      <c r="E62" s="121"/>
      <c r="F62" s="121"/>
      <c r="G62" s="121"/>
      <c r="H62" s="121"/>
      <c r="I62" s="121"/>
      <c r="J62" s="121"/>
      <c r="K62" s="236">
        <f t="shared" ref="K62:N81" si="2">SUMIFS(K$28:K$60,$A$28:$A$60,$A62,$B$28:$B$60,$B62)</f>
        <v>0</v>
      </c>
      <c r="L62" s="236">
        <f t="shared" si="2"/>
        <v>0</v>
      </c>
      <c r="M62" s="236">
        <f t="shared" si="2"/>
        <v>0</v>
      </c>
      <c r="N62" s="236">
        <f t="shared" si="2"/>
        <v>0</v>
      </c>
    </row>
    <row r="63" spans="1:14" x14ac:dyDescent="0.25">
      <c r="A63" s="232">
        <v>1310</v>
      </c>
      <c r="B63" s="108" t="s">
        <v>27</v>
      </c>
      <c r="C63" s="123"/>
      <c r="D63" s="124"/>
      <c r="E63" s="124"/>
      <c r="F63" s="124"/>
      <c r="G63" s="124"/>
      <c r="H63" s="124"/>
      <c r="I63" s="124"/>
      <c r="J63" s="124"/>
      <c r="K63" s="234">
        <f t="shared" si="2"/>
        <v>0</v>
      </c>
      <c r="L63" s="234">
        <f t="shared" si="2"/>
        <v>0</v>
      </c>
      <c r="M63" s="234">
        <f t="shared" si="2"/>
        <v>0</v>
      </c>
      <c r="N63" s="234">
        <f t="shared" si="2"/>
        <v>0</v>
      </c>
    </row>
    <row r="64" spans="1:14" x14ac:dyDescent="0.25">
      <c r="A64" s="232">
        <v>1310</v>
      </c>
      <c r="B64" s="108" t="s">
        <v>32</v>
      </c>
      <c r="C64" s="123"/>
      <c r="D64" s="124"/>
      <c r="E64" s="124"/>
      <c r="F64" s="124"/>
      <c r="G64" s="124"/>
      <c r="H64" s="124"/>
      <c r="I64" s="124"/>
      <c r="J64" s="124"/>
      <c r="K64" s="234">
        <f t="shared" si="2"/>
        <v>0</v>
      </c>
      <c r="L64" s="234">
        <f t="shared" si="2"/>
        <v>0</v>
      </c>
      <c r="M64" s="234">
        <f t="shared" si="2"/>
        <v>0</v>
      </c>
      <c r="N64" s="234">
        <f t="shared" si="2"/>
        <v>0</v>
      </c>
    </row>
    <row r="65" spans="1:14" x14ac:dyDescent="0.25">
      <c r="A65" s="232">
        <v>1310</v>
      </c>
      <c r="B65" s="108" t="s">
        <v>685</v>
      </c>
      <c r="C65" s="123"/>
      <c r="D65" s="124"/>
      <c r="E65" s="124"/>
      <c r="F65" s="124"/>
      <c r="G65" s="124"/>
      <c r="H65" s="124"/>
      <c r="I65" s="124"/>
      <c r="J65" s="124"/>
      <c r="K65" s="234">
        <f t="shared" si="2"/>
        <v>0</v>
      </c>
      <c r="L65" s="234">
        <f t="shared" si="2"/>
        <v>0</v>
      </c>
      <c r="M65" s="234">
        <f t="shared" si="2"/>
        <v>0</v>
      </c>
      <c r="N65" s="234">
        <f t="shared" si="2"/>
        <v>0</v>
      </c>
    </row>
    <row r="66" spans="1:14" x14ac:dyDescent="0.25">
      <c r="A66" s="232">
        <v>1310</v>
      </c>
      <c r="B66" s="108" t="s">
        <v>41</v>
      </c>
      <c r="C66" s="123"/>
      <c r="D66" s="124"/>
      <c r="E66" s="124"/>
      <c r="F66" s="124"/>
      <c r="G66" s="124"/>
      <c r="H66" s="124"/>
      <c r="I66" s="124"/>
      <c r="J66" s="124"/>
      <c r="K66" s="234">
        <f t="shared" si="2"/>
        <v>0</v>
      </c>
      <c r="L66" s="234">
        <f t="shared" si="2"/>
        <v>0</v>
      </c>
      <c r="M66" s="234">
        <f t="shared" si="2"/>
        <v>0</v>
      </c>
      <c r="N66" s="234">
        <f t="shared" si="2"/>
        <v>0</v>
      </c>
    </row>
    <row r="67" spans="1:14" x14ac:dyDescent="0.25">
      <c r="A67" s="232">
        <v>1310</v>
      </c>
      <c r="B67" s="108" t="s">
        <v>775</v>
      </c>
      <c r="C67" s="123"/>
      <c r="D67" s="124"/>
      <c r="E67" s="124"/>
      <c r="F67" s="124"/>
      <c r="G67" s="124"/>
      <c r="H67" s="124"/>
      <c r="I67" s="124"/>
      <c r="J67" s="124"/>
      <c r="K67" s="234">
        <f t="shared" si="2"/>
        <v>0</v>
      </c>
      <c r="L67" s="234">
        <f t="shared" si="2"/>
        <v>0</v>
      </c>
      <c r="M67" s="234">
        <f t="shared" si="2"/>
        <v>0</v>
      </c>
      <c r="N67" s="234">
        <f t="shared" si="2"/>
        <v>0</v>
      </c>
    </row>
    <row r="68" spans="1:14" x14ac:dyDescent="0.25">
      <c r="A68" s="232">
        <v>1310</v>
      </c>
      <c r="B68" s="108" t="s">
        <v>37</v>
      </c>
      <c r="C68" s="123"/>
      <c r="D68" s="124"/>
      <c r="E68" s="124"/>
      <c r="F68" s="124"/>
      <c r="G68" s="124"/>
      <c r="H68" s="124"/>
      <c r="I68" s="124"/>
      <c r="J68" s="124"/>
      <c r="K68" s="234">
        <f t="shared" si="2"/>
        <v>0</v>
      </c>
      <c r="L68" s="234">
        <f t="shared" si="2"/>
        <v>0</v>
      </c>
      <c r="M68" s="234">
        <f t="shared" si="2"/>
        <v>0</v>
      </c>
      <c r="N68" s="234">
        <f t="shared" si="2"/>
        <v>0</v>
      </c>
    </row>
    <row r="69" spans="1:14" x14ac:dyDescent="0.25">
      <c r="A69" s="232">
        <v>1310</v>
      </c>
      <c r="B69" s="108" t="s">
        <v>29</v>
      </c>
      <c r="C69" s="123"/>
      <c r="D69" s="124"/>
      <c r="E69" s="124"/>
      <c r="F69" s="124"/>
      <c r="G69" s="124"/>
      <c r="H69" s="124"/>
      <c r="I69" s="124"/>
      <c r="J69" s="124"/>
      <c r="K69" s="234">
        <f t="shared" si="2"/>
        <v>0</v>
      </c>
      <c r="L69" s="234">
        <f t="shared" si="2"/>
        <v>0</v>
      </c>
      <c r="M69" s="234">
        <f t="shared" si="2"/>
        <v>0</v>
      </c>
      <c r="N69" s="234">
        <f t="shared" si="2"/>
        <v>0</v>
      </c>
    </row>
    <row r="70" spans="1:14" x14ac:dyDescent="0.25">
      <c r="A70" s="232">
        <v>1310</v>
      </c>
      <c r="B70" s="108" t="s">
        <v>536</v>
      </c>
      <c r="C70" s="123"/>
      <c r="D70" s="124"/>
      <c r="E70" s="124"/>
      <c r="F70" s="124"/>
      <c r="G70" s="124"/>
      <c r="H70" s="124"/>
      <c r="I70" s="124"/>
      <c r="J70" s="124"/>
      <c r="K70" s="234">
        <f t="shared" si="2"/>
        <v>0</v>
      </c>
      <c r="L70" s="234">
        <f t="shared" si="2"/>
        <v>0</v>
      </c>
      <c r="M70" s="234">
        <f t="shared" si="2"/>
        <v>0</v>
      </c>
      <c r="N70" s="234">
        <f t="shared" si="2"/>
        <v>0</v>
      </c>
    </row>
    <row r="71" spans="1:14" x14ac:dyDescent="0.25">
      <c r="A71" s="232">
        <v>1310</v>
      </c>
      <c r="B71" s="108" t="s">
        <v>36</v>
      </c>
      <c r="C71" s="123"/>
      <c r="D71" s="124"/>
      <c r="E71" s="124"/>
      <c r="F71" s="124"/>
      <c r="G71" s="124"/>
      <c r="H71" s="124"/>
      <c r="I71" s="124"/>
      <c r="J71" s="124"/>
      <c r="K71" s="234">
        <f t="shared" si="2"/>
        <v>0</v>
      </c>
      <c r="L71" s="234">
        <f t="shared" si="2"/>
        <v>0</v>
      </c>
      <c r="M71" s="234">
        <f t="shared" si="2"/>
        <v>0</v>
      </c>
      <c r="N71" s="234">
        <f t="shared" si="2"/>
        <v>0</v>
      </c>
    </row>
    <row r="72" spans="1:14" x14ac:dyDescent="0.25">
      <c r="A72" s="232">
        <v>1310</v>
      </c>
      <c r="B72" s="85" t="s">
        <v>31</v>
      </c>
      <c r="C72" s="123"/>
      <c r="D72" s="124"/>
      <c r="E72" s="124"/>
      <c r="F72" s="124"/>
      <c r="G72" s="124"/>
      <c r="H72" s="124"/>
      <c r="I72" s="124"/>
      <c r="J72" s="124"/>
      <c r="K72" s="234">
        <f t="shared" si="2"/>
        <v>0</v>
      </c>
      <c r="L72" s="234">
        <f t="shared" si="2"/>
        <v>0</v>
      </c>
      <c r="M72" s="234">
        <f t="shared" si="2"/>
        <v>0</v>
      </c>
      <c r="N72" s="234">
        <f t="shared" si="2"/>
        <v>0</v>
      </c>
    </row>
    <row r="73" spans="1:14" x14ac:dyDescent="0.25">
      <c r="A73" s="232">
        <v>1310</v>
      </c>
      <c r="B73" s="85" t="s">
        <v>30</v>
      </c>
      <c r="C73" s="123"/>
      <c r="D73" s="124"/>
      <c r="E73" s="124"/>
      <c r="F73" s="124"/>
      <c r="G73" s="124"/>
      <c r="H73" s="124"/>
      <c r="I73" s="124"/>
      <c r="J73" s="124"/>
      <c r="K73" s="234">
        <f t="shared" si="2"/>
        <v>0</v>
      </c>
      <c r="L73" s="234">
        <f t="shared" si="2"/>
        <v>0</v>
      </c>
      <c r="M73" s="234">
        <f t="shared" si="2"/>
        <v>0</v>
      </c>
      <c r="N73" s="234">
        <f t="shared" si="2"/>
        <v>0</v>
      </c>
    </row>
    <row r="74" spans="1:14" x14ac:dyDescent="0.25">
      <c r="A74" s="232">
        <v>1310</v>
      </c>
      <c r="B74" s="85" t="s">
        <v>38</v>
      </c>
      <c r="C74" s="123"/>
      <c r="D74" s="124"/>
      <c r="E74" s="124"/>
      <c r="F74" s="124"/>
      <c r="G74" s="124"/>
      <c r="H74" s="124"/>
      <c r="I74" s="124"/>
      <c r="J74" s="124"/>
      <c r="K74" s="234">
        <f t="shared" si="2"/>
        <v>0</v>
      </c>
      <c r="L74" s="234">
        <f t="shared" si="2"/>
        <v>0</v>
      </c>
      <c r="M74" s="234">
        <f t="shared" si="2"/>
        <v>0</v>
      </c>
      <c r="N74" s="234">
        <f t="shared" si="2"/>
        <v>0</v>
      </c>
    </row>
    <row r="75" spans="1:14" x14ac:dyDescent="0.25">
      <c r="A75" s="232">
        <v>1310</v>
      </c>
      <c r="B75" s="85" t="s">
        <v>684</v>
      </c>
      <c r="C75" s="123"/>
      <c r="D75" s="124"/>
      <c r="E75" s="124"/>
      <c r="F75" s="124"/>
      <c r="G75" s="124"/>
      <c r="H75" s="124"/>
      <c r="I75" s="124"/>
      <c r="J75" s="124"/>
      <c r="K75" s="234">
        <f t="shared" si="2"/>
        <v>0</v>
      </c>
      <c r="L75" s="234">
        <f t="shared" si="2"/>
        <v>0</v>
      </c>
      <c r="M75" s="234">
        <f t="shared" si="2"/>
        <v>0</v>
      </c>
      <c r="N75" s="234">
        <f t="shared" si="2"/>
        <v>0</v>
      </c>
    </row>
    <row r="76" spans="1:14" x14ac:dyDescent="0.25">
      <c r="A76" s="232">
        <v>1310</v>
      </c>
      <c r="B76" s="85" t="s">
        <v>33</v>
      </c>
      <c r="C76" s="123"/>
      <c r="D76" s="124"/>
      <c r="E76" s="124"/>
      <c r="F76" s="124"/>
      <c r="G76" s="124"/>
      <c r="H76" s="124"/>
      <c r="I76" s="124"/>
      <c r="J76" s="124"/>
      <c r="K76" s="234">
        <f t="shared" si="2"/>
        <v>0</v>
      </c>
      <c r="L76" s="234">
        <f t="shared" si="2"/>
        <v>0</v>
      </c>
      <c r="M76" s="234">
        <f t="shared" si="2"/>
        <v>0</v>
      </c>
      <c r="N76" s="234">
        <f t="shared" si="2"/>
        <v>0</v>
      </c>
    </row>
    <row r="77" spans="1:14" x14ac:dyDescent="0.25">
      <c r="A77" s="232">
        <v>1310</v>
      </c>
      <c r="B77" s="85" t="s">
        <v>35</v>
      </c>
      <c r="C77" s="123"/>
      <c r="D77" s="124"/>
      <c r="E77" s="124"/>
      <c r="F77" s="124"/>
      <c r="G77" s="124"/>
      <c r="H77" s="124"/>
      <c r="I77" s="124"/>
      <c r="J77" s="124"/>
      <c r="K77" s="234">
        <f t="shared" si="2"/>
        <v>0</v>
      </c>
      <c r="L77" s="234">
        <f t="shared" si="2"/>
        <v>0</v>
      </c>
      <c r="M77" s="234">
        <f t="shared" si="2"/>
        <v>0</v>
      </c>
      <c r="N77" s="234">
        <f t="shared" si="2"/>
        <v>0</v>
      </c>
    </row>
    <row r="78" spans="1:14" x14ac:dyDescent="0.25">
      <c r="A78" s="232">
        <v>1310</v>
      </c>
      <c r="B78" s="108" t="s">
        <v>39</v>
      </c>
      <c r="C78" s="123"/>
      <c r="D78" s="124"/>
      <c r="E78" s="124"/>
      <c r="F78" s="124"/>
      <c r="G78" s="124"/>
      <c r="H78" s="124"/>
      <c r="I78" s="124"/>
      <c r="J78" s="124"/>
      <c r="K78" s="234">
        <f t="shared" si="2"/>
        <v>0</v>
      </c>
      <c r="L78" s="234">
        <f t="shared" si="2"/>
        <v>0</v>
      </c>
      <c r="M78" s="234">
        <f t="shared" si="2"/>
        <v>0</v>
      </c>
      <c r="N78" s="234">
        <f t="shared" si="2"/>
        <v>0</v>
      </c>
    </row>
    <row r="79" spans="1:14" ht="15.75" thickBot="1" x14ac:dyDescent="0.3">
      <c r="A79" s="232">
        <v>1310</v>
      </c>
      <c r="B79" s="108" t="s">
        <v>34</v>
      </c>
      <c r="C79" s="123"/>
      <c r="D79" s="124"/>
      <c r="E79" s="124"/>
      <c r="F79" s="124"/>
      <c r="G79" s="124"/>
      <c r="H79" s="124"/>
      <c r="I79" s="124"/>
      <c r="J79" s="124"/>
      <c r="K79" s="234">
        <f t="shared" si="2"/>
        <v>0</v>
      </c>
      <c r="L79" s="234">
        <f t="shared" si="2"/>
        <v>0</v>
      </c>
      <c r="M79" s="234">
        <f t="shared" si="2"/>
        <v>0</v>
      </c>
      <c r="N79" s="234">
        <f t="shared" si="2"/>
        <v>0</v>
      </c>
    </row>
    <row r="80" spans="1:14" x14ac:dyDescent="0.25">
      <c r="A80" s="231">
        <v>1315</v>
      </c>
      <c r="B80" s="119" t="s">
        <v>28</v>
      </c>
      <c r="C80" s="120"/>
      <c r="D80" s="121"/>
      <c r="E80" s="121"/>
      <c r="F80" s="121"/>
      <c r="G80" s="121"/>
      <c r="H80" s="121"/>
      <c r="I80" s="121"/>
      <c r="J80" s="121"/>
      <c r="K80" s="236">
        <f t="shared" si="2"/>
        <v>0</v>
      </c>
      <c r="L80" s="236">
        <f t="shared" si="2"/>
        <v>0</v>
      </c>
      <c r="M80" s="236">
        <f t="shared" si="2"/>
        <v>0</v>
      </c>
      <c r="N80" s="236">
        <f t="shared" si="2"/>
        <v>0</v>
      </c>
    </row>
    <row r="81" spans="1:14" x14ac:dyDescent="0.25">
      <c r="A81" s="232">
        <v>1315</v>
      </c>
      <c r="B81" s="108" t="s">
        <v>27</v>
      </c>
      <c r="C81" s="123"/>
      <c r="D81" s="124"/>
      <c r="E81" s="124"/>
      <c r="F81" s="124"/>
      <c r="G81" s="124"/>
      <c r="H81" s="124"/>
      <c r="I81" s="124"/>
      <c r="J81" s="124"/>
      <c r="K81" s="234">
        <f t="shared" si="2"/>
        <v>0</v>
      </c>
      <c r="L81" s="234">
        <f t="shared" si="2"/>
        <v>0</v>
      </c>
      <c r="M81" s="234">
        <f t="shared" si="2"/>
        <v>0</v>
      </c>
      <c r="N81" s="234">
        <f t="shared" si="2"/>
        <v>0</v>
      </c>
    </row>
    <row r="82" spans="1:14" x14ac:dyDescent="0.25">
      <c r="A82" s="232">
        <v>1315</v>
      </c>
      <c r="B82" s="108" t="s">
        <v>32</v>
      </c>
      <c r="C82" s="123"/>
      <c r="D82" s="124"/>
      <c r="E82" s="124"/>
      <c r="F82" s="124"/>
      <c r="G82" s="124"/>
      <c r="H82" s="124"/>
      <c r="I82" s="124"/>
      <c r="J82" s="124"/>
      <c r="K82" s="234">
        <f t="shared" ref="K82:N101" si="3">SUMIFS(K$28:K$60,$A$28:$A$60,$A82,$B$28:$B$60,$B82)</f>
        <v>0</v>
      </c>
      <c r="L82" s="234">
        <f t="shared" si="3"/>
        <v>0</v>
      </c>
      <c r="M82" s="234">
        <f t="shared" si="3"/>
        <v>0</v>
      </c>
      <c r="N82" s="234">
        <f t="shared" si="3"/>
        <v>0</v>
      </c>
    </row>
    <row r="83" spans="1:14" x14ac:dyDescent="0.25">
      <c r="A83" s="232">
        <v>1315</v>
      </c>
      <c r="B83" s="108" t="s">
        <v>685</v>
      </c>
      <c r="C83" s="123"/>
      <c r="D83" s="124"/>
      <c r="E83" s="124"/>
      <c r="F83" s="124"/>
      <c r="G83" s="124"/>
      <c r="H83" s="124"/>
      <c r="I83" s="124"/>
      <c r="J83" s="124"/>
      <c r="K83" s="234">
        <f t="shared" si="3"/>
        <v>0</v>
      </c>
      <c r="L83" s="234">
        <f t="shared" si="3"/>
        <v>0</v>
      </c>
      <c r="M83" s="234">
        <f t="shared" si="3"/>
        <v>0</v>
      </c>
      <c r="N83" s="234">
        <f t="shared" si="3"/>
        <v>0</v>
      </c>
    </row>
    <row r="84" spans="1:14" x14ac:dyDescent="0.25">
      <c r="A84" s="232">
        <v>1315</v>
      </c>
      <c r="B84" s="108" t="s">
        <v>41</v>
      </c>
      <c r="C84" s="123"/>
      <c r="D84" s="124"/>
      <c r="E84" s="124"/>
      <c r="F84" s="124"/>
      <c r="G84" s="124"/>
      <c r="H84" s="124"/>
      <c r="I84" s="124"/>
      <c r="J84" s="124"/>
      <c r="K84" s="234">
        <f t="shared" si="3"/>
        <v>0</v>
      </c>
      <c r="L84" s="234">
        <f t="shared" si="3"/>
        <v>0</v>
      </c>
      <c r="M84" s="234">
        <f t="shared" si="3"/>
        <v>0</v>
      </c>
      <c r="N84" s="234">
        <f t="shared" si="3"/>
        <v>0</v>
      </c>
    </row>
    <row r="85" spans="1:14" x14ac:dyDescent="0.25">
      <c r="A85" s="232">
        <v>1315</v>
      </c>
      <c r="B85" s="108" t="s">
        <v>775</v>
      </c>
      <c r="C85" s="123"/>
      <c r="D85" s="124"/>
      <c r="E85" s="124"/>
      <c r="F85" s="124"/>
      <c r="G85" s="124"/>
      <c r="H85" s="124"/>
      <c r="I85" s="124"/>
      <c r="J85" s="124"/>
      <c r="K85" s="234">
        <f t="shared" si="3"/>
        <v>0</v>
      </c>
      <c r="L85" s="234">
        <f t="shared" si="3"/>
        <v>0</v>
      </c>
      <c r="M85" s="234">
        <f t="shared" si="3"/>
        <v>0</v>
      </c>
      <c r="N85" s="234">
        <f t="shared" si="3"/>
        <v>0</v>
      </c>
    </row>
    <row r="86" spans="1:14" x14ac:dyDescent="0.25">
      <c r="A86" s="232">
        <v>1315</v>
      </c>
      <c r="B86" s="108" t="s">
        <v>37</v>
      </c>
      <c r="C86" s="123"/>
      <c r="D86" s="124"/>
      <c r="E86" s="124"/>
      <c r="F86" s="124"/>
      <c r="G86" s="124"/>
      <c r="H86" s="124"/>
      <c r="I86" s="124"/>
      <c r="J86" s="124"/>
      <c r="K86" s="234">
        <f t="shared" si="3"/>
        <v>0</v>
      </c>
      <c r="L86" s="234">
        <f t="shared" si="3"/>
        <v>0</v>
      </c>
      <c r="M86" s="234">
        <f t="shared" si="3"/>
        <v>0</v>
      </c>
      <c r="N86" s="234">
        <f t="shared" si="3"/>
        <v>0</v>
      </c>
    </row>
    <row r="87" spans="1:14" x14ac:dyDescent="0.25">
      <c r="A87" s="232">
        <v>1315</v>
      </c>
      <c r="B87" s="108" t="s">
        <v>29</v>
      </c>
      <c r="C87" s="123"/>
      <c r="D87" s="124"/>
      <c r="E87" s="124"/>
      <c r="F87" s="124"/>
      <c r="G87" s="124"/>
      <c r="H87" s="124"/>
      <c r="I87" s="124"/>
      <c r="J87" s="124"/>
      <c r="K87" s="234">
        <f t="shared" si="3"/>
        <v>0</v>
      </c>
      <c r="L87" s="234">
        <f t="shared" si="3"/>
        <v>0</v>
      </c>
      <c r="M87" s="234">
        <f t="shared" si="3"/>
        <v>0</v>
      </c>
      <c r="N87" s="234">
        <f t="shared" si="3"/>
        <v>0</v>
      </c>
    </row>
    <row r="88" spans="1:14" x14ac:dyDescent="0.25">
      <c r="A88" s="232">
        <v>1315</v>
      </c>
      <c r="B88" s="108" t="s">
        <v>536</v>
      </c>
      <c r="C88" s="123"/>
      <c r="D88" s="124"/>
      <c r="E88" s="124"/>
      <c r="F88" s="124"/>
      <c r="G88" s="124"/>
      <c r="H88" s="124"/>
      <c r="I88" s="124"/>
      <c r="J88" s="124"/>
      <c r="K88" s="234">
        <f t="shared" si="3"/>
        <v>0</v>
      </c>
      <c r="L88" s="234">
        <f t="shared" si="3"/>
        <v>0</v>
      </c>
      <c r="M88" s="234">
        <f t="shared" si="3"/>
        <v>0</v>
      </c>
      <c r="N88" s="234">
        <f t="shared" si="3"/>
        <v>0</v>
      </c>
    </row>
    <row r="89" spans="1:14" x14ac:dyDescent="0.25">
      <c r="A89" s="232">
        <v>1315</v>
      </c>
      <c r="B89" s="108" t="s">
        <v>36</v>
      </c>
      <c r="C89" s="123"/>
      <c r="D89" s="124"/>
      <c r="E89" s="124"/>
      <c r="F89" s="124"/>
      <c r="G89" s="124"/>
      <c r="H89" s="124"/>
      <c r="I89" s="124"/>
      <c r="J89" s="124"/>
      <c r="K89" s="234">
        <f t="shared" si="3"/>
        <v>0</v>
      </c>
      <c r="L89" s="234">
        <f t="shared" si="3"/>
        <v>0</v>
      </c>
      <c r="M89" s="234">
        <f t="shared" si="3"/>
        <v>0</v>
      </c>
      <c r="N89" s="234">
        <f t="shared" si="3"/>
        <v>0</v>
      </c>
    </row>
    <row r="90" spans="1:14" x14ac:dyDescent="0.25">
      <c r="A90" s="232">
        <v>1315</v>
      </c>
      <c r="B90" s="85" t="s">
        <v>31</v>
      </c>
      <c r="C90" s="123"/>
      <c r="D90" s="124"/>
      <c r="E90" s="124"/>
      <c r="F90" s="124"/>
      <c r="G90" s="124"/>
      <c r="H90" s="124"/>
      <c r="I90" s="124"/>
      <c r="J90" s="124"/>
      <c r="K90" s="234">
        <f t="shared" si="3"/>
        <v>0</v>
      </c>
      <c r="L90" s="234">
        <f t="shared" si="3"/>
        <v>0</v>
      </c>
      <c r="M90" s="234">
        <f t="shared" si="3"/>
        <v>0</v>
      </c>
      <c r="N90" s="234">
        <f t="shared" si="3"/>
        <v>0</v>
      </c>
    </row>
    <row r="91" spans="1:14" x14ac:dyDescent="0.25">
      <c r="A91" s="232">
        <v>1315</v>
      </c>
      <c r="B91" s="85" t="s">
        <v>30</v>
      </c>
      <c r="C91" s="123"/>
      <c r="D91" s="124"/>
      <c r="E91" s="124"/>
      <c r="F91" s="124"/>
      <c r="G91" s="124"/>
      <c r="H91" s="124"/>
      <c r="I91" s="124"/>
      <c r="J91" s="124"/>
      <c r="K91" s="234">
        <f t="shared" si="3"/>
        <v>0</v>
      </c>
      <c r="L91" s="234">
        <f t="shared" si="3"/>
        <v>0</v>
      </c>
      <c r="M91" s="234">
        <f t="shared" si="3"/>
        <v>0</v>
      </c>
      <c r="N91" s="234">
        <f t="shared" si="3"/>
        <v>0</v>
      </c>
    </row>
    <row r="92" spans="1:14" x14ac:dyDescent="0.25">
      <c r="A92" s="232">
        <v>1315</v>
      </c>
      <c r="B92" s="85" t="s">
        <v>38</v>
      </c>
      <c r="C92" s="123"/>
      <c r="D92" s="124"/>
      <c r="E92" s="124"/>
      <c r="F92" s="124"/>
      <c r="G92" s="124"/>
      <c r="H92" s="124"/>
      <c r="I92" s="124"/>
      <c r="J92" s="124"/>
      <c r="K92" s="234">
        <f t="shared" si="3"/>
        <v>0</v>
      </c>
      <c r="L92" s="234">
        <f t="shared" si="3"/>
        <v>0</v>
      </c>
      <c r="M92" s="234">
        <f t="shared" si="3"/>
        <v>0</v>
      </c>
      <c r="N92" s="234">
        <f t="shared" si="3"/>
        <v>0</v>
      </c>
    </row>
    <row r="93" spans="1:14" x14ac:dyDescent="0.25">
      <c r="A93" s="232">
        <v>1315</v>
      </c>
      <c r="B93" s="85" t="s">
        <v>684</v>
      </c>
      <c r="C93" s="123"/>
      <c r="D93" s="124"/>
      <c r="E93" s="124"/>
      <c r="F93" s="124"/>
      <c r="G93" s="124"/>
      <c r="H93" s="124"/>
      <c r="I93" s="124"/>
      <c r="J93" s="124"/>
      <c r="K93" s="234">
        <f t="shared" si="3"/>
        <v>0</v>
      </c>
      <c r="L93" s="234">
        <f t="shared" si="3"/>
        <v>0</v>
      </c>
      <c r="M93" s="234">
        <f t="shared" si="3"/>
        <v>0</v>
      </c>
      <c r="N93" s="234">
        <f t="shared" si="3"/>
        <v>0</v>
      </c>
    </row>
    <row r="94" spans="1:14" x14ac:dyDescent="0.25">
      <c r="A94" s="232">
        <v>1315</v>
      </c>
      <c r="B94" s="85" t="s">
        <v>33</v>
      </c>
      <c r="C94" s="123"/>
      <c r="D94" s="124"/>
      <c r="E94" s="124"/>
      <c r="F94" s="124"/>
      <c r="G94" s="124"/>
      <c r="H94" s="124"/>
      <c r="I94" s="124"/>
      <c r="J94" s="124"/>
      <c r="K94" s="234">
        <f t="shared" si="3"/>
        <v>0</v>
      </c>
      <c r="L94" s="234">
        <f t="shared" si="3"/>
        <v>0</v>
      </c>
      <c r="M94" s="234">
        <f t="shared" si="3"/>
        <v>0</v>
      </c>
      <c r="N94" s="234">
        <f t="shared" si="3"/>
        <v>0</v>
      </c>
    </row>
    <row r="95" spans="1:14" x14ac:dyDescent="0.25">
      <c r="A95" s="232">
        <v>1315</v>
      </c>
      <c r="B95" s="85" t="s">
        <v>35</v>
      </c>
      <c r="C95" s="123"/>
      <c r="D95" s="124"/>
      <c r="E95" s="124"/>
      <c r="F95" s="124"/>
      <c r="G95" s="124"/>
      <c r="H95" s="124"/>
      <c r="I95" s="124"/>
      <c r="J95" s="124"/>
      <c r="K95" s="234">
        <f t="shared" si="3"/>
        <v>0</v>
      </c>
      <c r="L95" s="234">
        <f t="shared" si="3"/>
        <v>0</v>
      </c>
      <c r="M95" s="234">
        <f t="shared" si="3"/>
        <v>0</v>
      </c>
      <c r="N95" s="234">
        <f t="shared" si="3"/>
        <v>0</v>
      </c>
    </row>
    <row r="96" spans="1:14" x14ac:dyDescent="0.25">
      <c r="A96" s="232">
        <v>1315</v>
      </c>
      <c r="B96" s="108" t="s">
        <v>39</v>
      </c>
      <c r="C96" s="123"/>
      <c r="D96" s="124"/>
      <c r="E96" s="124"/>
      <c r="F96" s="124"/>
      <c r="G96" s="124"/>
      <c r="H96" s="124"/>
      <c r="I96" s="124"/>
      <c r="J96" s="124"/>
      <c r="K96" s="234">
        <f t="shared" si="3"/>
        <v>0</v>
      </c>
      <c r="L96" s="234">
        <f t="shared" si="3"/>
        <v>0</v>
      </c>
      <c r="M96" s="234">
        <f t="shared" si="3"/>
        <v>0</v>
      </c>
      <c r="N96" s="234">
        <f t="shared" si="3"/>
        <v>0</v>
      </c>
    </row>
    <row r="97" spans="1:14" ht="15.75" thickBot="1" x14ac:dyDescent="0.3">
      <c r="A97" s="232">
        <v>1315</v>
      </c>
      <c r="B97" s="108" t="s">
        <v>34</v>
      </c>
      <c r="C97" s="123"/>
      <c r="D97" s="124"/>
      <c r="E97" s="124"/>
      <c r="F97" s="124"/>
      <c r="G97" s="124"/>
      <c r="H97" s="124"/>
      <c r="I97" s="124"/>
      <c r="J97" s="124"/>
      <c r="K97" s="234">
        <f t="shared" si="3"/>
        <v>0</v>
      </c>
      <c r="L97" s="234">
        <f t="shared" si="3"/>
        <v>0</v>
      </c>
      <c r="M97" s="234">
        <f t="shared" si="3"/>
        <v>0</v>
      </c>
      <c r="N97" s="234">
        <f t="shared" si="3"/>
        <v>0</v>
      </c>
    </row>
    <row r="98" spans="1:14" x14ac:dyDescent="0.25">
      <c r="A98" s="231">
        <v>1320</v>
      </c>
      <c r="B98" s="119" t="s">
        <v>28</v>
      </c>
      <c r="C98" s="120"/>
      <c r="D98" s="121"/>
      <c r="E98" s="121"/>
      <c r="F98" s="121"/>
      <c r="G98" s="121"/>
      <c r="H98" s="121"/>
      <c r="I98" s="121"/>
      <c r="J98" s="121"/>
      <c r="K98" s="236">
        <f t="shared" si="3"/>
        <v>65000</v>
      </c>
      <c r="L98" s="236">
        <f t="shared" si="3"/>
        <v>0</v>
      </c>
      <c r="M98" s="236">
        <f t="shared" si="3"/>
        <v>0</v>
      </c>
      <c r="N98" s="236">
        <f t="shared" si="3"/>
        <v>70000</v>
      </c>
    </row>
    <row r="99" spans="1:14" x14ac:dyDescent="0.25">
      <c r="A99" s="232">
        <v>1320</v>
      </c>
      <c r="B99" s="108" t="s">
        <v>27</v>
      </c>
      <c r="C99" s="123"/>
      <c r="D99" s="124"/>
      <c r="E99" s="124"/>
      <c r="F99" s="124"/>
      <c r="G99" s="124"/>
      <c r="H99" s="124"/>
      <c r="I99" s="124"/>
      <c r="J99" s="124"/>
      <c r="K99" s="234">
        <f t="shared" si="3"/>
        <v>0</v>
      </c>
      <c r="L99" s="234">
        <f t="shared" si="3"/>
        <v>0</v>
      </c>
      <c r="M99" s="234">
        <f t="shared" si="3"/>
        <v>0</v>
      </c>
      <c r="N99" s="234">
        <f t="shared" si="3"/>
        <v>0</v>
      </c>
    </row>
    <row r="100" spans="1:14" x14ac:dyDescent="0.25">
      <c r="A100" s="232">
        <v>1320</v>
      </c>
      <c r="B100" s="108" t="s">
        <v>32</v>
      </c>
      <c r="C100" s="123"/>
      <c r="D100" s="124"/>
      <c r="E100" s="124"/>
      <c r="F100" s="124"/>
      <c r="G100" s="124"/>
      <c r="H100" s="124"/>
      <c r="I100" s="124"/>
      <c r="J100" s="124"/>
      <c r="K100" s="234">
        <f t="shared" si="3"/>
        <v>0</v>
      </c>
      <c r="L100" s="234">
        <f t="shared" si="3"/>
        <v>0</v>
      </c>
      <c r="M100" s="234">
        <f t="shared" si="3"/>
        <v>0</v>
      </c>
      <c r="N100" s="234">
        <f t="shared" si="3"/>
        <v>0</v>
      </c>
    </row>
    <row r="101" spans="1:14" x14ac:dyDescent="0.25">
      <c r="A101" s="232">
        <v>1320</v>
      </c>
      <c r="B101" s="108" t="s">
        <v>685</v>
      </c>
      <c r="C101" s="123"/>
      <c r="D101" s="124"/>
      <c r="E101" s="124"/>
      <c r="F101" s="124"/>
      <c r="G101" s="124"/>
      <c r="H101" s="124"/>
      <c r="I101" s="124"/>
      <c r="J101" s="124"/>
      <c r="K101" s="234">
        <f t="shared" si="3"/>
        <v>0</v>
      </c>
      <c r="L101" s="234">
        <f t="shared" si="3"/>
        <v>0</v>
      </c>
      <c r="M101" s="234">
        <f t="shared" si="3"/>
        <v>0</v>
      </c>
      <c r="N101" s="234">
        <f t="shared" si="3"/>
        <v>10000</v>
      </c>
    </row>
    <row r="102" spans="1:14" x14ac:dyDescent="0.25">
      <c r="A102" s="232">
        <v>1320</v>
      </c>
      <c r="B102" s="108" t="s">
        <v>41</v>
      </c>
      <c r="C102" s="123"/>
      <c r="D102" s="124"/>
      <c r="E102" s="124"/>
      <c r="F102" s="124"/>
      <c r="G102" s="124"/>
      <c r="H102" s="124"/>
      <c r="I102" s="124"/>
      <c r="J102" s="124"/>
      <c r="K102" s="234">
        <f t="shared" ref="K102:N121" si="4">SUMIFS(K$28:K$60,$A$28:$A$60,$A102,$B$28:$B$60,$B102)</f>
        <v>0</v>
      </c>
      <c r="L102" s="234">
        <f t="shared" si="4"/>
        <v>0</v>
      </c>
      <c r="M102" s="234">
        <f t="shared" si="4"/>
        <v>0</v>
      </c>
      <c r="N102" s="234">
        <f t="shared" si="4"/>
        <v>0</v>
      </c>
    </row>
    <row r="103" spans="1:14" x14ac:dyDescent="0.25">
      <c r="A103" s="232">
        <v>1320</v>
      </c>
      <c r="B103" s="108" t="s">
        <v>775</v>
      </c>
      <c r="C103" s="123"/>
      <c r="D103" s="124"/>
      <c r="E103" s="124"/>
      <c r="F103" s="124"/>
      <c r="G103" s="124"/>
      <c r="H103" s="124"/>
      <c r="I103" s="124"/>
      <c r="J103" s="124"/>
      <c r="K103" s="234">
        <f t="shared" si="4"/>
        <v>0</v>
      </c>
      <c r="L103" s="234">
        <f t="shared" si="4"/>
        <v>0</v>
      </c>
      <c r="M103" s="234">
        <f t="shared" si="4"/>
        <v>0</v>
      </c>
      <c r="N103" s="234">
        <f t="shared" si="4"/>
        <v>0</v>
      </c>
    </row>
    <row r="104" spans="1:14" x14ac:dyDescent="0.25">
      <c r="A104" s="232">
        <v>1320</v>
      </c>
      <c r="B104" s="108" t="s">
        <v>37</v>
      </c>
      <c r="C104" s="123"/>
      <c r="D104" s="124"/>
      <c r="E104" s="124"/>
      <c r="F104" s="124"/>
      <c r="G104" s="124"/>
      <c r="H104" s="124"/>
      <c r="I104" s="124"/>
      <c r="J104" s="124"/>
      <c r="K104" s="234">
        <f t="shared" si="4"/>
        <v>0</v>
      </c>
      <c r="L104" s="234">
        <f t="shared" si="4"/>
        <v>0</v>
      </c>
      <c r="M104" s="234">
        <f t="shared" si="4"/>
        <v>0</v>
      </c>
      <c r="N104" s="234">
        <f t="shared" si="4"/>
        <v>0</v>
      </c>
    </row>
    <row r="105" spans="1:14" x14ac:dyDescent="0.25">
      <c r="A105" s="232">
        <v>1320</v>
      </c>
      <c r="B105" s="108" t="s">
        <v>29</v>
      </c>
      <c r="C105" s="123"/>
      <c r="D105" s="124"/>
      <c r="E105" s="124"/>
      <c r="F105" s="124"/>
      <c r="G105" s="124"/>
      <c r="H105" s="124"/>
      <c r="I105" s="124"/>
      <c r="J105" s="124"/>
      <c r="K105" s="234">
        <f t="shared" si="4"/>
        <v>0</v>
      </c>
      <c r="L105" s="234">
        <f t="shared" si="4"/>
        <v>0</v>
      </c>
      <c r="M105" s="234">
        <f t="shared" si="4"/>
        <v>0</v>
      </c>
      <c r="N105" s="234">
        <f t="shared" si="4"/>
        <v>0</v>
      </c>
    </row>
    <row r="106" spans="1:14" x14ac:dyDescent="0.25">
      <c r="A106" s="232">
        <v>1320</v>
      </c>
      <c r="B106" s="108" t="s">
        <v>536</v>
      </c>
      <c r="C106" s="123"/>
      <c r="D106" s="124"/>
      <c r="E106" s="124"/>
      <c r="F106" s="124"/>
      <c r="G106" s="124"/>
      <c r="H106" s="124"/>
      <c r="I106" s="124"/>
      <c r="J106" s="124"/>
      <c r="K106" s="234">
        <f t="shared" si="4"/>
        <v>0</v>
      </c>
      <c r="L106" s="234">
        <f t="shared" si="4"/>
        <v>0</v>
      </c>
      <c r="M106" s="234">
        <f t="shared" si="4"/>
        <v>0</v>
      </c>
      <c r="N106" s="234">
        <f t="shared" si="4"/>
        <v>0</v>
      </c>
    </row>
    <row r="107" spans="1:14" x14ac:dyDescent="0.25">
      <c r="A107" s="232">
        <v>1320</v>
      </c>
      <c r="B107" s="108" t="s">
        <v>36</v>
      </c>
      <c r="C107" s="123"/>
      <c r="D107" s="124"/>
      <c r="E107" s="124"/>
      <c r="F107" s="124"/>
      <c r="G107" s="124"/>
      <c r="H107" s="124"/>
      <c r="I107" s="124"/>
      <c r="J107" s="124"/>
      <c r="K107" s="234">
        <f t="shared" si="4"/>
        <v>0</v>
      </c>
      <c r="L107" s="234">
        <f t="shared" si="4"/>
        <v>0</v>
      </c>
      <c r="M107" s="234">
        <f t="shared" si="4"/>
        <v>0</v>
      </c>
      <c r="N107" s="234">
        <f t="shared" si="4"/>
        <v>0</v>
      </c>
    </row>
    <row r="108" spans="1:14" x14ac:dyDescent="0.25">
      <c r="A108" s="232">
        <v>1320</v>
      </c>
      <c r="B108" s="85" t="s">
        <v>31</v>
      </c>
      <c r="C108" s="123"/>
      <c r="D108" s="124"/>
      <c r="E108" s="124"/>
      <c r="F108" s="124"/>
      <c r="G108" s="124"/>
      <c r="H108" s="124"/>
      <c r="I108" s="124"/>
      <c r="J108" s="124"/>
      <c r="K108" s="234">
        <f t="shared" si="4"/>
        <v>0</v>
      </c>
      <c r="L108" s="234">
        <f t="shared" si="4"/>
        <v>0</v>
      </c>
      <c r="M108" s="234">
        <f t="shared" si="4"/>
        <v>0</v>
      </c>
      <c r="N108" s="234">
        <f t="shared" si="4"/>
        <v>0</v>
      </c>
    </row>
    <row r="109" spans="1:14" x14ac:dyDescent="0.25">
      <c r="A109" s="232">
        <v>1320</v>
      </c>
      <c r="B109" s="85" t="s">
        <v>30</v>
      </c>
      <c r="C109" s="123"/>
      <c r="D109" s="124"/>
      <c r="E109" s="124"/>
      <c r="F109" s="124"/>
      <c r="G109" s="124"/>
      <c r="H109" s="124"/>
      <c r="I109" s="124"/>
      <c r="J109" s="124"/>
      <c r="K109" s="234">
        <f t="shared" si="4"/>
        <v>0</v>
      </c>
      <c r="L109" s="234">
        <f t="shared" si="4"/>
        <v>0</v>
      </c>
      <c r="M109" s="234">
        <f t="shared" si="4"/>
        <v>0</v>
      </c>
      <c r="N109" s="234">
        <f t="shared" si="4"/>
        <v>0</v>
      </c>
    </row>
    <row r="110" spans="1:14" x14ac:dyDescent="0.25">
      <c r="A110" s="232">
        <v>1320</v>
      </c>
      <c r="B110" s="85" t="s">
        <v>38</v>
      </c>
      <c r="C110" s="123"/>
      <c r="D110" s="124"/>
      <c r="E110" s="124"/>
      <c r="F110" s="124"/>
      <c r="G110" s="124"/>
      <c r="H110" s="124"/>
      <c r="I110" s="124"/>
      <c r="J110" s="124"/>
      <c r="K110" s="234">
        <f t="shared" si="4"/>
        <v>0</v>
      </c>
      <c r="L110" s="234">
        <f t="shared" si="4"/>
        <v>0</v>
      </c>
      <c r="M110" s="234">
        <f t="shared" si="4"/>
        <v>0</v>
      </c>
      <c r="N110" s="234">
        <f t="shared" si="4"/>
        <v>0</v>
      </c>
    </row>
    <row r="111" spans="1:14" x14ac:dyDescent="0.25">
      <c r="A111" s="232">
        <v>1320</v>
      </c>
      <c r="B111" s="85" t="s">
        <v>684</v>
      </c>
      <c r="C111" s="123"/>
      <c r="D111" s="124"/>
      <c r="E111" s="124"/>
      <c r="F111" s="124"/>
      <c r="G111" s="124"/>
      <c r="H111" s="124"/>
      <c r="I111" s="124"/>
      <c r="J111" s="124"/>
      <c r="K111" s="234">
        <f t="shared" si="4"/>
        <v>0</v>
      </c>
      <c r="L111" s="234">
        <f t="shared" si="4"/>
        <v>0</v>
      </c>
      <c r="M111" s="234">
        <f t="shared" si="4"/>
        <v>0</v>
      </c>
      <c r="N111" s="234">
        <f t="shared" si="4"/>
        <v>0</v>
      </c>
    </row>
    <row r="112" spans="1:14" x14ac:dyDescent="0.25">
      <c r="A112" s="232">
        <v>1320</v>
      </c>
      <c r="B112" s="85" t="s">
        <v>33</v>
      </c>
      <c r="C112" s="123"/>
      <c r="D112" s="124"/>
      <c r="E112" s="124"/>
      <c r="F112" s="124"/>
      <c r="G112" s="124"/>
      <c r="H112" s="124"/>
      <c r="I112" s="124"/>
      <c r="J112" s="124"/>
      <c r="K112" s="234">
        <f t="shared" si="4"/>
        <v>0</v>
      </c>
      <c r="L112" s="234">
        <f t="shared" si="4"/>
        <v>0</v>
      </c>
      <c r="M112" s="234">
        <f t="shared" si="4"/>
        <v>0</v>
      </c>
      <c r="N112" s="234">
        <f t="shared" si="4"/>
        <v>0</v>
      </c>
    </row>
    <row r="113" spans="1:14" x14ac:dyDescent="0.25">
      <c r="A113" s="232">
        <v>1320</v>
      </c>
      <c r="B113" s="85" t="s">
        <v>35</v>
      </c>
      <c r="C113" s="123"/>
      <c r="D113" s="124"/>
      <c r="E113" s="124"/>
      <c r="F113" s="124"/>
      <c r="G113" s="124"/>
      <c r="H113" s="124"/>
      <c r="I113" s="124"/>
      <c r="J113" s="124"/>
      <c r="K113" s="234">
        <f t="shared" si="4"/>
        <v>0</v>
      </c>
      <c r="L113" s="234">
        <f t="shared" si="4"/>
        <v>0</v>
      </c>
      <c r="M113" s="234">
        <f t="shared" si="4"/>
        <v>0</v>
      </c>
      <c r="N113" s="234">
        <f t="shared" si="4"/>
        <v>0</v>
      </c>
    </row>
    <row r="114" spans="1:14" x14ac:dyDescent="0.25">
      <c r="A114" s="232">
        <v>1320</v>
      </c>
      <c r="B114" s="108" t="s">
        <v>39</v>
      </c>
      <c r="C114" s="123"/>
      <c r="D114" s="124"/>
      <c r="E114" s="124"/>
      <c r="F114" s="124"/>
      <c r="G114" s="124"/>
      <c r="H114" s="124"/>
      <c r="I114" s="124"/>
      <c r="J114" s="124"/>
      <c r="K114" s="234">
        <f t="shared" si="4"/>
        <v>0</v>
      </c>
      <c r="L114" s="234">
        <f t="shared" si="4"/>
        <v>0</v>
      </c>
      <c r="M114" s="234">
        <f t="shared" si="4"/>
        <v>0</v>
      </c>
      <c r="N114" s="234">
        <f t="shared" si="4"/>
        <v>0</v>
      </c>
    </row>
    <row r="115" spans="1:14" ht="15.75" thickBot="1" x14ac:dyDescent="0.3">
      <c r="A115" s="232">
        <v>1320</v>
      </c>
      <c r="B115" s="108" t="s">
        <v>34</v>
      </c>
      <c r="C115" s="123"/>
      <c r="D115" s="124"/>
      <c r="E115" s="124"/>
      <c r="F115" s="124"/>
      <c r="G115" s="124"/>
      <c r="H115" s="124"/>
      <c r="I115" s="124"/>
      <c r="J115" s="124"/>
      <c r="K115" s="234">
        <f t="shared" si="4"/>
        <v>0</v>
      </c>
      <c r="L115" s="234">
        <f t="shared" si="4"/>
        <v>0</v>
      </c>
      <c r="M115" s="234">
        <f t="shared" si="4"/>
        <v>0</v>
      </c>
      <c r="N115" s="234">
        <f t="shared" si="4"/>
        <v>0</v>
      </c>
    </row>
    <row r="116" spans="1:14" x14ac:dyDescent="0.25">
      <c r="A116" s="231">
        <v>1325</v>
      </c>
      <c r="B116" s="119" t="s">
        <v>28</v>
      </c>
      <c r="C116" s="120"/>
      <c r="D116" s="121"/>
      <c r="E116" s="121"/>
      <c r="F116" s="121"/>
      <c r="G116" s="121"/>
      <c r="H116" s="121"/>
      <c r="I116" s="121"/>
      <c r="J116" s="121"/>
      <c r="K116" s="236">
        <f t="shared" si="4"/>
        <v>0</v>
      </c>
      <c r="L116" s="236">
        <f t="shared" si="4"/>
        <v>0</v>
      </c>
      <c r="M116" s="236">
        <f t="shared" si="4"/>
        <v>0</v>
      </c>
      <c r="N116" s="236">
        <f t="shared" si="4"/>
        <v>0</v>
      </c>
    </row>
    <row r="117" spans="1:14" x14ac:dyDescent="0.25">
      <c r="A117" s="232">
        <v>1325</v>
      </c>
      <c r="B117" s="108" t="s">
        <v>27</v>
      </c>
      <c r="C117" s="123"/>
      <c r="D117" s="124"/>
      <c r="E117" s="124"/>
      <c r="F117" s="124"/>
      <c r="G117" s="124"/>
      <c r="H117" s="124"/>
      <c r="I117" s="124"/>
      <c r="J117" s="124"/>
      <c r="K117" s="234">
        <f t="shared" si="4"/>
        <v>0</v>
      </c>
      <c r="L117" s="234">
        <f t="shared" si="4"/>
        <v>0</v>
      </c>
      <c r="M117" s="234">
        <f t="shared" si="4"/>
        <v>0</v>
      </c>
      <c r="N117" s="234">
        <f t="shared" si="4"/>
        <v>0</v>
      </c>
    </row>
    <row r="118" spans="1:14" x14ac:dyDescent="0.25">
      <c r="A118" s="232">
        <v>1325</v>
      </c>
      <c r="B118" s="108" t="s">
        <v>32</v>
      </c>
      <c r="C118" s="123"/>
      <c r="D118" s="124"/>
      <c r="E118" s="124"/>
      <c r="F118" s="124"/>
      <c r="G118" s="124"/>
      <c r="H118" s="124"/>
      <c r="I118" s="124"/>
      <c r="J118" s="124"/>
      <c r="K118" s="234">
        <f t="shared" si="4"/>
        <v>0</v>
      </c>
      <c r="L118" s="234">
        <f t="shared" si="4"/>
        <v>0</v>
      </c>
      <c r="M118" s="234">
        <f t="shared" si="4"/>
        <v>0</v>
      </c>
      <c r="N118" s="234">
        <f t="shared" si="4"/>
        <v>0</v>
      </c>
    </row>
    <row r="119" spans="1:14" x14ac:dyDescent="0.25">
      <c r="A119" s="232">
        <v>1325</v>
      </c>
      <c r="B119" s="108" t="s">
        <v>685</v>
      </c>
      <c r="C119" s="123"/>
      <c r="D119" s="124"/>
      <c r="E119" s="124"/>
      <c r="F119" s="124"/>
      <c r="G119" s="124"/>
      <c r="H119" s="124"/>
      <c r="I119" s="124"/>
      <c r="J119" s="124"/>
      <c r="K119" s="234">
        <f t="shared" si="4"/>
        <v>0</v>
      </c>
      <c r="L119" s="234">
        <f t="shared" si="4"/>
        <v>0</v>
      </c>
      <c r="M119" s="234">
        <f t="shared" si="4"/>
        <v>0</v>
      </c>
      <c r="N119" s="234">
        <f t="shared" si="4"/>
        <v>0</v>
      </c>
    </row>
    <row r="120" spans="1:14" x14ac:dyDescent="0.25">
      <c r="A120" s="232">
        <v>1325</v>
      </c>
      <c r="B120" s="108" t="s">
        <v>41</v>
      </c>
      <c r="C120" s="123"/>
      <c r="D120" s="124"/>
      <c r="E120" s="124"/>
      <c r="F120" s="124"/>
      <c r="G120" s="124"/>
      <c r="H120" s="124"/>
      <c r="I120" s="124"/>
      <c r="J120" s="124"/>
      <c r="K120" s="234">
        <f t="shared" si="4"/>
        <v>0</v>
      </c>
      <c r="L120" s="234">
        <f t="shared" si="4"/>
        <v>0</v>
      </c>
      <c r="M120" s="234">
        <f t="shared" si="4"/>
        <v>0</v>
      </c>
      <c r="N120" s="234">
        <f t="shared" si="4"/>
        <v>0</v>
      </c>
    </row>
    <row r="121" spans="1:14" x14ac:dyDescent="0.25">
      <c r="A121" s="232">
        <v>1325</v>
      </c>
      <c r="B121" s="108" t="s">
        <v>775</v>
      </c>
      <c r="C121" s="123"/>
      <c r="D121" s="124"/>
      <c r="E121" s="124"/>
      <c r="F121" s="124"/>
      <c r="G121" s="124"/>
      <c r="H121" s="124"/>
      <c r="I121" s="124"/>
      <c r="J121" s="124"/>
      <c r="K121" s="234">
        <f t="shared" si="4"/>
        <v>0</v>
      </c>
      <c r="L121" s="234">
        <f t="shared" si="4"/>
        <v>0</v>
      </c>
      <c r="M121" s="234">
        <f t="shared" si="4"/>
        <v>0</v>
      </c>
      <c r="N121" s="234">
        <f t="shared" si="4"/>
        <v>0</v>
      </c>
    </row>
    <row r="122" spans="1:14" x14ac:dyDescent="0.25">
      <c r="A122" s="232">
        <v>1325</v>
      </c>
      <c r="B122" s="108" t="s">
        <v>37</v>
      </c>
      <c r="C122" s="123"/>
      <c r="D122" s="124"/>
      <c r="E122" s="124"/>
      <c r="F122" s="124"/>
      <c r="G122" s="124"/>
      <c r="H122" s="124"/>
      <c r="I122" s="124"/>
      <c r="J122" s="124"/>
      <c r="K122" s="234">
        <f t="shared" ref="K122:N141" si="5">SUMIFS(K$28:K$60,$A$28:$A$60,$A122,$B$28:$B$60,$B122)</f>
        <v>0</v>
      </c>
      <c r="L122" s="234">
        <f t="shared" si="5"/>
        <v>0</v>
      </c>
      <c r="M122" s="234">
        <f t="shared" si="5"/>
        <v>0</v>
      </c>
      <c r="N122" s="234">
        <f t="shared" si="5"/>
        <v>0</v>
      </c>
    </row>
    <row r="123" spans="1:14" x14ac:dyDescent="0.25">
      <c r="A123" s="232">
        <v>1325</v>
      </c>
      <c r="B123" s="108" t="s">
        <v>29</v>
      </c>
      <c r="C123" s="123"/>
      <c r="D123" s="124"/>
      <c r="E123" s="124"/>
      <c r="F123" s="124"/>
      <c r="G123" s="124"/>
      <c r="H123" s="124"/>
      <c r="I123" s="124"/>
      <c r="J123" s="124"/>
      <c r="K123" s="234">
        <f t="shared" si="5"/>
        <v>0</v>
      </c>
      <c r="L123" s="234">
        <f t="shared" si="5"/>
        <v>0</v>
      </c>
      <c r="M123" s="234">
        <f t="shared" si="5"/>
        <v>0</v>
      </c>
      <c r="N123" s="234">
        <f t="shared" si="5"/>
        <v>0</v>
      </c>
    </row>
    <row r="124" spans="1:14" x14ac:dyDescent="0.25">
      <c r="A124" s="232">
        <v>1325</v>
      </c>
      <c r="B124" s="108" t="s">
        <v>536</v>
      </c>
      <c r="C124" s="123"/>
      <c r="D124" s="124"/>
      <c r="E124" s="124"/>
      <c r="F124" s="124"/>
      <c r="G124" s="124"/>
      <c r="H124" s="124"/>
      <c r="I124" s="124"/>
      <c r="J124" s="124"/>
      <c r="K124" s="234">
        <f t="shared" si="5"/>
        <v>0</v>
      </c>
      <c r="L124" s="234">
        <f t="shared" si="5"/>
        <v>0</v>
      </c>
      <c r="M124" s="234">
        <f t="shared" si="5"/>
        <v>0</v>
      </c>
      <c r="N124" s="234">
        <f t="shared" si="5"/>
        <v>0</v>
      </c>
    </row>
    <row r="125" spans="1:14" x14ac:dyDescent="0.25">
      <c r="A125" s="232">
        <v>1325</v>
      </c>
      <c r="B125" s="108" t="s">
        <v>36</v>
      </c>
      <c r="C125" s="123"/>
      <c r="D125" s="124"/>
      <c r="E125" s="124"/>
      <c r="F125" s="124"/>
      <c r="G125" s="124"/>
      <c r="H125" s="124"/>
      <c r="I125" s="124"/>
      <c r="J125" s="124"/>
      <c r="K125" s="234">
        <f t="shared" si="5"/>
        <v>5000</v>
      </c>
      <c r="L125" s="234">
        <f t="shared" si="5"/>
        <v>0</v>
      </c>
      <c r="M125" s="234">
        <f t="shared" si="5"/>
        <v>0</v>
      </c>
      <c r="N125" s="234">
        <f t="shared" si="5"/>
        <v>5000</v>
      </c>
    </row>
    <row r="126" spans="1:14" x14ac:dyDescent="0.25">
      <c r="A126" s="232">
        <v>1325</v>
      </c>
      <c r="B126" s="85" t="s">
        <v>31</v>
      </c>
      <c r="C126" s="123"/>
      <c r="D126" s="124"/>
      <c r="E126" s="124"/>
      <c r="F126" s="124"/>
      <c r="G126" s="124"/>
      <c r="H126" s="124"/>
      <c r="I126" s="124"/>
      <c r="J126" s="124"/>
      <c r="K126" s="234">
        <f t="shared" si="5"/>
        <v>0</v>
      </c>
      <c r="L126" s="234">
        <f t="shared" si="5"/>
        <v>0</v>
      </c>
      <c r="M126" s="234">
        <f t="shared" si="5"/>
        <v>0</v>
      </c>
      <c r="N126" s="234">
        <f t="shared" si="5"/>
        <v>0</v>
      </c>
    </row>
    <row r="127" spans="1:14" x14ac:dyDescent="0.25">
      <c r="A127" s="232">
        <v>1325</v>
      </c>
      <c r="B127" s="85" t="s">
        <v>30</v>
      </c>
      <c r="C127" s="123"/>
      <c r="D127" s="124"/>
      <c r="E127" s="124"/>
      <c r="F127" s="124"/>
      <c r="G127" s="124"/>
      <c r="H127" s="124"/>
      <c r="I127" s="124"/>
      <c r="J127" s="124"/>
      <c r="K127" s="234">
        <f t="shared" si="5"/>
        <v>0</v>
      </c>
      <c r="L127" s="234">
        <f t="shared" si="5"/>
        <v>0</v>
      </c>
      <c r="M127" s="234">
        <f t="shared" si="5"/>
        <v>0</v>
      </c>
      <c r="N127" s="234">
        <f t="shared" si="5"/>
        <v>0</v>
      </c>
    </row>
    <row r="128" spans="1:14" x14ac:dyDescent="0.25">
      <c r="A128" s="232">
        <v>1325</v>
      </c>
      <c r="B128" s="85" t="s">
        <v>38</v>
      </c>
      <c r="C128" s="123"/>
      <c r="D128" s="124"/>
      <c r="E128" s="124"/>
      <c r="F128" s="124"/>
      <c r="G128" s="124"/>
      <c r="H128" s="124"/>
      <c r="I128" s="124"/>
      <c r="J128" s="124"/>
      <c r="K128" s="234">
        <f t="shared" si="5"/>
        <v>0</v>
      </c>
      <c r="L128" s="234">
        <f t="shared" si="5"/>
        <v>0</v>
      </c>
      <c r="M128" s="234">
        <f t="shared" si="5"/>
        <v>0</v>
      </c>
      <c r="N128" s="234">
        <f t="shared" si="5"/>
        <v>0</v>
      </c>
    </row>
    <row r="129" spans="1:14" x14ac:dyDescent="0.25">
      <c r="A129" s="232">
        <v>1325</v>
      </c>
      <c r="B129" s="85" t="s">
        <v>684</v>
      </c>
      <c r="C129" s="123"/>
      <c r="D129" s="124"/>
      <c r="E129" s="124"/>
      <c r="F129" s="124"/>
      <c r="G129" s="124"/>
      <c r="H129" s="124"/>
      <c r="I129" s="124"/>
      <c r="J129" s="124"/>
      <c r="K129" s="234">
        <f t="shared" si="5"/>
        <v>0</v>
      </c>
      <c r="L129" s="234">
        <f t="shared" si="5"/>
        <v>0</v>
      </c>
      <c r="M129" s="234">
        <f t="shared" si="5"/>
        <v>0</v>
      </c>
      <c r="N129" s="234">
        <f t="shared" si="5"/>
        <v>0</v>
      </c>
    </row>
    <row r="130" spans="1:14" x14ac:dyDescent="0.25">
      <c r="A130" s="232">
        <v>1325</v>
      </c>
      <c r="B130" s="85" t="s">
        <v>33</v>
      </c>
      <c r="C130" s="123"/>
      <c r="D130" s="124"/>
      <c r="E130" s="124"/>
      <c r="F130" s="124"/>
      <c r="G130" s="124"/>
      <c r="H130" s="124"/>
      <c r="I130" s="124"/>
      <c r="J130" s="124"/>
      <c r="K130" s="234">
        <f t="shared" si="5"/>
        <v>0</v>
      </c>
      <c r="L130" s="234">
        <f t="shared" si="5"/>
        <v>0</v>
      </c>
      <c r="M130" s="234">
        <f t="shared" si="5"/>
        <v>0</v>
      </c>
      <c r="N130" s="234">
        <f t="shared" si="5"/>
        <v>0</v>
      </c>
    </row>
    <row r="131" spans="1:14" x14ac:dyDescent="0.25">
      <c r="A131" s="232">
        <v>1325</v>
      </c>
      <c r="B131" s="85" t="s">
        <v>35</v>
      </c>
      <c r="C131" s="123"/>
      <c r="D131" s="124"/>
      <c r="E131" s="124"/>
      <c r="F131" s="124"/>
      <c r="G131" s="124"/>
      <c r="H131" s="124"/>
      <c r="I131" s="124"/>
      <c r="J131" s="124"/>
      <c r="K131" s="234">
        <f t="shared" si="5"/>
        <v>0</v>
      </c>
      <c r="L131" s="234">
        <f t="shared" si="5"/>
        <v>0</v>
      </c>
      <c r="M131" s="234">
        <f t="shared" si="5"/>
        <v>0</v>
      </c>
      <c r="N131" s="234">
        <f t="shared" si="5"/>
        <v>0</v>
      </c>
    </row>
    <row r="132" spans="1:14" x14ac:dyDescent="0.25">
      <c r="A132" s="232">
        <v>1325</v>
      </c>
      <c r="B132" s="108" t="s">
        <v>39</v>
      </c>
      <c r="C132" s="123"/>
      <c r="D132" s="124"/>
      <c r="E132" s="124"/>
      <c r="F132" s="124"/>
      <c r="G132" s="124"/>
      <c r="H132" s="124"/>
      <c r="I132" s="124"/>
      <c r="J132" s="124"/>
      <c r="K132" s="234">
        <f t="shared" si="5"/>
        <v>0</v>
      </c>
      <c r="L132" s="234">
        <f t="shared" si="5"/>
        <v>0</v>
      </c>
      <c r="M132" s="234">
        <f t="shared" si="5"/>
        <v>0</v>
      </c>
      <c r="N132" s="234">
        <f t="shared" si="5"/>
        <v>0</v>
      </c>
    </row>
    <row r="133" spans="1:14" ht="15.75" thickBot="1" x14ac:dyDescent="0.3">
      <c r="A133" s="232">
        <v>1325</v>
      </c>
      <c r="B133" s="108" t="s">
        <v>34</v>
      </c>
      <c r="C133" s="123"/>
      <c r="D133" s="124"/>
      <c r="E133" s="124"/>
      <c r="F133" s="124"/>
      <c r="G133" s="124"/>
      <c r="H133" s="124"/>
      <c r="I133" s="124"/>
      <c r="J133" s="124"/>
      <c r="K133" s="234">
        <f t="shared" si="5"/>
        <v>0</v>
      </c>
      <c r="L133" s="234">
        <f t="shared" si="5"/>
        <v>0</v>
      </c>
      <c r="M133" s="234">
        <f t="shared" si="5"/>
        <v>0</v>
      </c>
      <c r="N133" s="234">
        <f t="shared" si="5"/>
        <v>0</v>
      </c>
    </row>
    <row r="134" spans="1:14" x14ac:dyDescent="0.25">
      <c r="A134" s="231">
        <v>1330</v>
      </c>
      <c r="B134" s="119" t="s">
        <v>28</v>
      </c>
      <c r="C134" s="120"/>
      <c r="D134" s="121"/>
      <c r="E134" s="121"/>
      <c r="F134" s="121"/>
      <c r="G134" s="121"/>
      <c r="H134" s="121"/>
      <c r="I134" s="121"/>
      <c r="J134" s="121"/>
      <c r="K134" s="236">
        <f t="shared" si="5"/>
        <v>0</v>
      </c>
      <c r="L134" s="236">
        <f t="shared" si="5"/>
        <v>0</v>
      </c>
      <c r="M134" s="236">
        <f t="shared" si="5"/>
        <v>0</v>
      </c>
      <c r="N134" s="236">
        <f t="shared" si="5"/>
        <v>0</v>
      </c>
    </row>
    <row r="135" spans="1:14" x14ac:dyDescent="0.25">
      <c r="A135" s="232">
        <v>1330</v>
      </c>
      <c r="B135" s="108" t="s">
        <v>27</v>
      </c>
      <c r="C135" s="123"/>
      <c r="D135" s="124"/>
      <c r="E135" s="124"/>
      <c r="F135" s="124"/>
      <c r="G135" s="124"/>
      <c r="H135" s="124"/>
      <c r="I135" s="124"/>
      <c r="J135" s="124"/>
      <c r="K135" s="234">
        <f t="shared" si="5"/>
        <v>0</v>
      </c>
      <c r="L135" s="234">
        <f t="shared" si="5"/>
        <v>0</v>
      </c>
      <c r="M135" s="234">
        <f t="shared" si="5"/>
        <v>0</v>
      </c>
      <c r="N135" s="234">
        <f t="shared" si="5"/>
        <v>0</v>
      </c>
    </row>
    <row r="136" spans="1:14" x14ac:dyDescent="0.25">
      <c r="A136" s="232">
        <v>1330</v>
      </c>
      <c r="B136" s="108" t="s">
        <v>32</v>
      </c>
      <c r="C136" s="123"/>
      <c r="D136" s="124"/>
      <c r="E136" s="124"/>
      <c r="F136" s="124"/>
      <c r="G136" s="124"/>
      <c r="H136" s="124"/>
      <c r="I136" s="124"/>
      <c r="J136" s="124"/>
      <c r="K136" s="234">
        <f t="shared" si="5"/>
        <v>0</v>
      </c>
      <c r="L136" s="234">
        <f t="shared" si="5"/>
        <v>0</v>
      </c>
      <c r="M136" s="234">
        <f t="shared" si="5"/>
        <v>0</v>
      </c>
      <c r="N136" s="234">
        <f t="shared" si="5"/>
        <v>0</v>
      </c>
    </row>
    <row r="137" spans="1:14" x14ac:dyDescent="0.25">
      <c r="A137" s="232">
        <v>1330</v>
      </c>
      <c r="B137" s="108" t="s">
        <v>685</v>
      </c>
      <c r="C137" s="123"/>
      <c r="D137" s="124"/>
      <c r="E137" s="124"/>
      <c r="F137" s="124"/>
      <c r="G137" s="124"/>
      <c r="H137" s="124"/>
      <c r="I137" s="124"/>
      <c r="J137" s="124"/>
      <c r="K137" s="234">
        <f t="shared" si="5"/>
        <v>0</v>
      </c>
      <c r="L137" s="234">
        <f t="shared" si="5"/>
        <v>0</v>
      </c>
      <c r="M137" s="234">
        <f t="shared" si="5"/>
        <v>0</v>
      </c>
      <c r="N137" s="234">
        <f t="shared" si="5"/>
        <v>0</v>
      </c>
    </row>
    <row r="138" spans="1:14" x14ac:dyDescent="0.25">
      <c r="A138" s="232">
        <v>1330</v>
      </c>
      <c r="B138" s="108" t="s">
        <v>41</v>
      </c>
      <c r="C138" s="123"/>
      <c r="D138" s="124"/>
      <c r="E138" s="124"/>
      <c r="F138" s="124"/>
      <c r="G138" s="124"/>
      <c r="H138" s="124"/>
      <c r="I138" s="124"/>
      <c r="J138" s="124"/>
      <c r="K138" s="234">
        <f t="shared" si="5"/>
        <v>0</v>
      </c>
      <c r="L138" s="234">
        <f t="shared" si="5"/>
        <v>0</v>
      </c>
      <c r="M138" s="234">
        <f t="shared" si="5"/>
        <v>0</v>
      </c>
      <c r="N138" s="234">
        <f t="shared" si="5"/>
        <v>0</v>
      </c>
    </row>
    <row r="139" spans="1:14" x14ac:dyDescent="0.25">
      <c r="A139" s="232">
        <v>1330</v>
      </c>
      <c r="B139" s="108" t="s">
        <v>775</v>
      </c>
      <c r="C139" s="123"/>
      <c r="D139" s="124"/>
      <c r="E139" s="124"/>
      <c r="F139" s="124"/>
      <c r="G139" s="124"/>
      <c r="H139" s="124"/>
      <c r="I139" s="124"/>
      <c r="J139" s="124"/>
      <c r="K139" s="234">
        <f t="shared" si="5"/>
        <v>0</v>
      </c>
      <c r="L139" s="234">
        <f t="shared" si="5"/>
        <v>0</v>
      </c>
      <c r="M139" s="234">
        <f t="shared" si="5"/>
        <v>0</v>
      </c>
      <c r="N139" s="234">
        <f t="shared" si="5"/>
        <v>0</v>
      </c>
    </row>
    <row r="140" spans="1:14" x14ac:dyDescent="0.25">
      <c r="A140" s="232">
        <v>1330</v>
      </c>
      <c r="B140" s="108" t="s">
        <v>37</v>
      </c>
      <c r="C140" s="123"/>
      <c r="D140" s="124"/>
      <c r="E140" s="124"/>
      <c r="F140" s="124"/>
      <c r="G140" s="124"/>
      <c r="H140" s="124"/>
      <c r="I140" s="124"/>
      <c r="J140" s="124"/>
      <c r="K140" s="234">
        <f t="shared" si="5"/>
        <v>0</v>
      </c>
      <c r="L140" s="234">
        <f t="shared" si="5"/>
        <v>0</v>
      </c>
      <c r="M140" s="234">
        <f t="shared" si="5"/>
        <v>0</v>
      </c>
      <c r="N140" s="234">
        <f t="shared" si="5"/>
        <v>0</v>
      </c>
    </row>
    <row r="141" spans="1:14" x14ac:dyDescent="0.25">
      <c r="A141" s="232">
        <v>1330</v>
      </c>
      <c r="B141" s="108" t="s">
        <v>29</v>
      </c>
      <c r="C141" s="123"/>
      <c r="D141" s="124"/>
      <c r="E141" s="124"/>
      <c r="F141" s="124"/>
      <c r="G141" s="124"/>
      <c r="H141" s="124"/>
      <c r="I141" s="124"/>
      <c r="J141" s="124"/>
      <c r="K141" s="234">
        <f t="shared" si="5"/>
        <v>0</v>
      </c>
      <c r="L141" s="234">
        <f t="shared" si="5"/>
        <v>0</v>
      </c>
      <c r="M141" s="234">
        <f t="shared" si="5"/>
        <v>0</v>
      </c>
      <c r="N141" s="234">
        <f t="shared" si="5"/>
        <v>0</v>
      </c>
    </row>
    <row r="142" spans="1:14" x14ac:dyDescent="0.25">
      <c r="A142" s="232">
        <v>1330</v>
      </c>
      <c r="B142" s="108" t="s">
        <v>536</v>
      </c>
      <c r="C142" s="123"/>
      <c r="D142" s="124"/>
      <c r="E142" s="124"/>
      <c r="F142" s="124"/>
      <c r="G142" s="124"/>
      <c r="H142" s="124"/>
      <c r="I142" s="124"/>
      <c r="J142" s="124"/>
      <c r="K142" s="234">
        <f t="shared" ref="K142:N161" si="6">SUMIFS(K$28:K$60,$A$28:$A$60,$A142,$B$28:$B$60,$B142)</f>
        <v>0</v>
      </c>
      <c r="L142" s="234">
        <f t="shared" si="6"/>
        <v>0</v>
      </c>
      <c r="M142" s="234">
        <f t="shared" si="6"/>
        <v>0</v>
      </c>
      <c r="N142" s="234">
        <f t="shared" si="6"/>
        <v>0</v>
      </c>
    </row>
    <row r="143" spans="1:14" x14ac:dyDescent="0.25">
      <c r="A143" s="232">
        <v>1330</v>
      </c>
      <c r="B143" s="108" t="s">
        <v>36</v>
      </c>
      <c r="C143" s="123"/>
      <c r="D143" s="124"/>
      <c r="E143" s="124"/>
      <c r="F143" s="124"/>
      <c r="G143" s="124"/>
      <c r="H143" s="124"/>
      <c r="I143" s="124"/>
      <c r="J143" s="124"/>
      <c r="K143" s="234">
        <f t="shared" si="6"/>
        <v>0</v>
      </c>
      <c r="L143" s="234">
        <f t="shared" si="6"/>
        <v>0</v>
      </c>
      <c r="M143" s="234">
        <f t="shared" si="6"/>
        <v>0</v>
      </c>
      <c r="N143" s="234">
        <f t="shared" si="6"/>
        <v>0</v>
      </c>
    </row>
    <row r="144" spans="1:14" x14ac:dyDescent="0.25">
      <c r="A144" s="232">
        <v>1330</v>
      </c>
      <c r="B144" s="85" t="s">
        <v>31</v>
      </c>
      <c r="C144" s="123"/>
      <c r="D144" s="124"/>
      <c r="E144" s="124"/>
      <c r="F144" s="124"/>
      <c r="G144" s="124"/>
      <c r="H144" s="124"/>
      <c r="I144" s="124"/>
      <c r="J144" s="124"/>
      <c r="K144" s="234">
        <f t="shared" si="6"/>
        <v>0</v>
      </c>
      <c r="L144" s="234">
        <f t="shared" si="6"/>
        <v>0</v>
      </c>
      <c r="M144" s="234">
        <f t="shared" si="6"/>
        <v>0</v>
      </c>
      <c r="N144" s="234">
        <f t="shared" si="6"/>
        <v>0</v>
      </c>
    </row>
    <row r="145" spans="1:14" x14ac:dyDescent="0.25">
      <c r="A145" s="232">
        <v>1330</v>
      </c>
      <c r="B145" s="85" t="s">
        <v>30</v>
      </c>
      <c r="C145" s="123"/>
      <c r="D145" s="124"/>
      <c r="E145" s="124"/>
      <c r="F145" s="124"/>
      <c r="G145" s="124"/>
      <c r="H145" s="124"/>
      <c r="I145" s="124"/>
      <c r="J145" s="124"/>
      <c r="K145" s="234">
        <f t="shared" si="6"/>
        <v>0</v>
      </c>
      <c r="L145" s="234">
        <f t="shared" si="6"/>
        <v>0</v>
      </c>
      <c r="M145" s="234">
        <f t="shared" si="6"/>
        <v>0</v>
      </c>
      <c r="N145" s="234">
        <f t="shared" si="6"/>
        <v>0</v>
      </c>
    </row>
    <row r="146" spans="1:14" x14ac:dyDescent="0.25">
      <c r="A146" s="232">
        <v>1330</v>
      </c>
      <c r="B146" s="85" t="s">
        <v>38</v>
      </c>
      <c r="C146" s="123"/>
      <c r="D146" s="124"/>
      <c r="E146" s="124"/>
      <c r="F146" s="124"/>
      <c r="G146" s="124"/>
      <c r="H146" s="124"/>
      <c r="I146" s="124"/>
      <c r="J146" s="124"/>
      <c r="K146" s="234">
        <f t="shared" si="6"/>
        <v>0</v>
      </c>
      <c r="L146" s="234">
        <f t="shared" si="6"/>
        <v>0</v>
      </c>
      <c r="M146" s="234">
        <f t="shared" si="6"/>
        <v>0</v>
      </c>
      <c r="N146" s="234">
        <f t="shared" si="6"/>
        <v>0</v>
      </c>
    </row>
    <row r="147" spans="1:14" x14ac:dyDescent="0.25">
      <c r="A147" s="232">
        <v>1330</v>
      </c>
      <c r="B147" s="85" t="s">
        <v>684</v>
      </c>
      <c r="C147" s="123"/>
      <c r="D147" s="124"/>
      <c r="E147" s="124"/>
      <c r="F147" s="124"/>
      <c r="G147" s="124"/>
      <c r="H147" s="124"/>
      <c r="I147" s="124"/>
      <c r="J147" s="124"/>
      <c r="K147" s="234">
        <f t="shared" si="6"/>
        <v>0</v>
      </c>
      <c r="L147" s="234">
        <f t="shared" si="6"/>
        <v>0</v>
      </c>
      <c r="M147" s="234">
        <f t="shared" si="6"/>
        <v>0</v>
      </c>
      <c r="N147" s="234">
        <f t="shared" si="6"/>
        <v>0</v>
      </c>
    </row>
    <row r="148" spans="1:14" x14ac:dyDescent="0.25">
      <c r="A148" s="232">
        <v>1330</v>
      </c>
      <c r="B148" s="85" t="s">
        <v>33</v>
      </c>
      <c r="C148" s="123"/>
      <c r="D148" s="124"/>
      <c r="E148" s="124"/>
      <c r="F148" s="124"/>
      <c r="G148" s="124"/>
      <c r="H148" s="124"/>
      <c r="I148" s="124"/>
      <c r="J148" s="124"/>
      <c r="K148" s="234">
        <f t="shared" si="6"/>
        <v>0</v>
      </c>
      <c r="L148" s="234">
        <f t="shared" si="6"/>
        <v>0</v>
      </c>
      <c r="M148" s="234">
        <f t="shared" si="6"/>
        <v>0</v>
      </c>
      <c r="N148" s="234">
        <f t="shared" si="6"/>
        <v>0</v>
      </c>
    </row>
    <row r="149" spans="1:14" x14ac:dyDescent="0.25">
      <c r="A149" s="232">
        <v>1330</v>
      </c>
      <c r="B149" s="85" t="s">
        <v>35</v>
      </c>
      <c r="C149" s="123"/>
      <c r="D149" s="124"/>
      <c r="E149" s="124"/>
      <c r="F149" s="124"/>
      <c r="G149" s="124"/>
      <c r="H149" s="124"/>
      <c r="I149" s="124"/>
      <c r="J149" s="124"/>
      <c r="K149" s="234">
        <f t="shared" si="6"/>
        <v>0</v>
      </c>
      <c r="L149" s="234">
        <f t="shared" si="6"/>
        <v>0</v>
      </c>
      <c r="M149" s="234">
        <f t="shared" si="6"/>
        <v>0</v>
      </c>
      <c r="N149" s="234">
        <f t="shared" si="6"/>
        <v>0</v>
      </c>
    </row>
    <row r="150" spans="1:14" x14ac:dyDescent="0.25">
      <c r="A150" s="232">
        <v>1330</v>
      </c>
      <c r="B150" s="108" t="s">
        <v>39</v>
      </c>
      <c r="C150" s="123"/>
      <c r="D150" s="124"/>
      <c r="E150" s="124"/>
      <c r="F150" s="124"/>
      <c r="G150" s="124"/>
      <c r="H150" s="124"/>
      <c r="I150" s="124"/>
      <c r="J150" s="124"/>
      <c r="K150" s="234">
        <f t="shared" si="6"/>
        <v>0</v>
      </c>
      <c r="L150" s="234">
        <f t="shared" si="6"/>
        <v>0</v>
      </c>
      <c r="M150" s="234">
        <f t="shared" si="6"/>
        <v>0</v>
      </c>
      <c r="N150" s="234">
        <f t="shared" si="6"/>
        <v>0</v>
      </c>
    </row>
    <row r="151" spans="1:14" ht="15.75" thickBot="1" x14ac:dyDescent="0.3">
      <c r="A151" s="232">
        <v>1330</v>
      </c>
      <c r="B151" s="108" t="s">
        <v>34</v>
      </c>
      <c r="C151" s="123"/>
      <c r="D151" s="124"/>
      <c r="E151" s="124"/>
      <c r="F151" s="124"/>
      <c r="G151" s="124"/>
      <c r="H151" s="124"/>
      <c r="I151" s="124"/>
      <c r="J151" s="124"/>
      <c r="K151" s="234">
        <f t="shared" si="6"/>
        <v>0</v>
      </c>
      <c r="L151" s="234">
        <f t="shared" si="6"/>
        <v>0</v>
      </c>
      <c r="M151" s="234">
        <f t="shared" si="6"/>
        <v>0</v>
      </c>
      <c r="N151" s="234">
        <f t="shared" si="6"/>
        <v>0</v>
      </c>
    </row>
    <row r="152" spans="1:14" x14ac:dyDescent="0.25">
      <c r="A152" s="231">
        <v>1331</v>
      </c>
      <c r="B152" s="119" t="s">
        <v>28</v>
      </c>
      <c r="C152" s="120"/>
      <c r="D152" s="121"/>
      <c r="E152" s="121"/>
      <c r="F152" s="121"/>
      <c r="G152" s="121"/>
      <c r="H152" s="121"/>
      <c r="I152" s="121"/>
      <c r="J152" s="121"/>
      <c r="K152" s="236">
        <f t="shared" si="6"/>
        <v>0</v>
      </c>
      <c r="L152" s="236">
        <f t="shared" si="6"/>
        <v>0</v>
      </c>
      <c r="M152" s="236">
        <f t="shared" si="6"/>
        <v>0</v>
      </c>
      <c r="N152" s="236">
        <f t="shared" si="6"/>
        <v>0</v>
      </c>
    </row>
    <row r="153" spans="1:14" x14ac:dyDescent="0.25">
      <c r="A153" s="232">
        <v>1331</v>
      </c>
      <c r="B153" s="108" t="s">
        <v>27</v>
      </c>
      <c r="C153" s="123"/>
      <c r="D153" s="124"/>
      <c r="E153" s="124"/>
      <c r="F153" s="124"/>
      <c r="G153" s="124"/>
      <c r="H153" s="124"/>
      <c r="I153" s="124"/>
      <c r="J153" s="124"/>
      <c r="K153" s="234">
        <f t="shared" si="6"/>
        <v>0</v>
      </c>
      <c r="L153" s="234">
        <f t="shared" si="6"/>
        <v>0</v>
      </c>
      <c r="M153" s="234">
        <f t="shared" si="6"/>
        <v>0</v>
      </c>
      <c r="N153" s="234">
        <f t="shared" si="6"/>
        <v>0</v>
      </c>
    </row>
    <row r="154" spans="1:14" x14ac:dyDescent="0.25">
      <c r="A154" s="232">
        <v>1331</v>
      </c>
      <c r="B154" s="108" t="s">
        <v>32</v>
      </c>
      <c r="C154" s="123"/>
      <c r="D154" s="124"/>
      <c r="E154" s="124"/>
      <c r="F154" s="124"/>
      <c r="G154" s="124"/>
      <c r="H154" s="124"/>
      <c r="I154" s="124"/>
      <c r="J154" s="124"/>
      <c r="K154" s="234">
        <f t="shared" si="6"/>
        <v>0</v>
      </c>
      <c r="L154" s="234">
        <f t="shared" si="6"/>
        <v>0</v>
      </c>
      <c r="M154" s="234">
        <f t="shared" si="6"/>
        <v>0</v>
      </c>
      <c r="N154" s="234">
        <f t="shared" si="6"/>
        <v>0</v>
      </c>
    </row>
    <row r="155" spans="1:14" x14ac:dyDescent="0.25">
      <c r="A155" s="232">
        <v>1331</v>
      </c>
      <c r="B155" s="108" t="s">
        <v>685</v>
      </c>
      <c r="C155" s="123"/>
      <c r="D155" s="124"/>
      <c r="E155" s="124"/>
      <c r="F155" s="124"/>
      <c r="G155" s="124"/>
      <c r="H155" s="124"/>
      <c r="I155" s="124"/>
      <c r="J155" s="124"/>
      <c r="K155" s="234">
        <f t="shared" si="6"/>
        <v>0</v>
      </c>
      <c r="L155" s="234">
        <f t="shared" si="6"/>
        <v>0</v>
      </c>
      <c r="M155" s="234">
        <f t="shared" si="6"/>
        <v>0</v>
      </c>
      <c r="N155" s="234">
        <f t="shared" si="6"/>
        <v>0</v>
      </c>
    </row>
    <row r="156" spans="1:14" x14ac:dyDescent="0.25">
      <c r="A156" s="232">
        <v>1331</v>
      </c>
      <c r="B156" s="108" t="s">
        <v>41</v>
      </c>
      <c r="C156" s="123"/>
      <c r="D156" s="124"/>
      <c r="E156" s="124"/>
      <c r="F156" s="124"/>
      <c r="G156" s="124"/>
      <c r="H156" s="124"/>
      <c r="I156" s="124"/>
      <c r="J156" s="124"/>
      <c r="K156" s="234">
        <f t="shared" si="6"/>
        <v>0</v>
      </c>
      <c r="L156" s="234">
        <f t="shared" si="6"/>
        <v>0</v>
      </c>
      <c r="M156" s="234">
        <f t="shared" si="6"/>
        <v>0</v>
      </c>
      <c r="N156" s="234">
        <f t="shared" si="6"/>
        <v>0</v>
      </c>
    </row>
    <row r="157" spans="1:14" x14ac:dyDescent="0.25">
      <c r="A157" s="232">
        <v>1331</v>
      </c>
      <c r="B157" s="108" t="s">
        <v>775</v>
      </c>
      <c r="C157" s="123"/>
      <c r="D157" s="124"/>
      <c r="E157" s="124"/>
      <c r="F157" s="124"/>
      <c r="G157" s="124"/>
      <c r="H157" s="124"/>
      <c r="I157" s="124"/>
      <c r="J157" s="124"/>
      <c r="K157" s="234">
        <f t="shared" si="6"/>
        <v>0</v>
      </c>
      <c r="L157" s="234">
        <f t="shared" si="6"/>
        <v>0</v>
      </c>
      <c r="M157" s="234">
        <f t="shared" si="6"/>
        <v>0</v>
      </c>
      <c r="N157" s="234">
        <f t="shared" si="6"/>
        <v>0</v>
      </c>
    </row>
    <row r="158" spans="1:14" x14ac:dyDescent="0.25">
      <c r="A158" s="232">
        <v>1331</v>
      </c>
      <c r="B158" s="108" t="s">
        <v>37</v>
      </c>
      <c r="C158" s="123"/>
      <c r="D158" s="124"/>
      <c r="E158" s="124"/>
      <c r="F158" s="124"/>
      <c r="G158" s="124"/>
      <c r="H158" s="124"/>
      <c r="I158" s="124"/>
      <c r="J158" s="124"/>
      <c r="K158" s="234">
        <f t="shared" si="6"/>
        <v>0</v>
      </c>
      <c r="L158" s="234">
        <f t="shared" si="6"/>
        <v>0</v>
      </c>
      <c r="M158" s="234">
        <f t="shared" si="6"/>
        <v>0</v>
      </c>
      <c r="N158" s="234">
        <f t="shared" si="6"/>
        <v>0</v>
      </c>
    </row>
    <row r="159" spans="1:14" x14ac:dyDescent="0.25">
      <c r="A159" s="232">
        <v>1331</v>
      </c>
      <c r="B159" s="108" t="s">
        <v>29</v>
      </c>
      <c r="C159" s="123"/>
      <c r="D159" s="124"/>
      <c r="E159" s="124"/>
      <c r="F159" s="124"/>
      <c r="G159" s="124"/>
      <c r="H159" s="124"/>
      <c r="I159" s="124"/>
      <c r="J159" s="124"/>
      <c r="K159" s="234">
        <f t="shared" si="6"/>
        <v>0</v>
      </c>
      <c r="L159" s="234">
        <f t="shared" si="6"/>
        <v>0</v>
      </c>
      <c r="M159" s="234">
        <f t="shared" si="6"/>
        <v>0</v>
      </c>
      <c r="N159" s="234">
        <f t="shared" si="6"/>
        <v>0</v>
      </c>
    </row>
    <row r="160" spans="1:14" x14ac:dyDescent="0.25">
      <c r="A160" s="232">
        <v>1331</v>
      </c>
      <c r="B160" s="108" t="s">
        <v>536</v>
      </c>
      <c r="C160" s="123"/>
      <c r="D160" s="124"/>
      <c r="E160" s="124"/>
      <c r="F160" s="124"/>
      <c r="G160" s="124"/>
      <c r="H160" s="124"/>
      <c r="I160" s="124"/>
      <c r="J160" s="124"/>
      <c r="K160" s="234">
        <f t="shared" si="6"/>
        <v>0</v>
      </c>
      <c r="L160" s="234">
        <f t="shared" si="6"/>
        <v>0</v>
      </c>
      <c r="M160" s="234">
        <f t="shared" si="6"/>
        <v>0</v>
      </c>
      <c r="N160" s="234">
        <f t="shared" si="6"/>
        <v>0</v>
      </c>
    </row>
    <row r="161" spans="1:14" x14ac:dyDescent="0.25">
      <c r="A161" s="232">
        <v>1331</v>
      </c>
      <c r="B161" s="108" t="s">
        <v>36</v>
      </c>
      <c r="C161" s="123"/>
      <c r="D161" s="124"/>
      <c r="E161" s="124"/>
      <c r="F161" s="124"/>
      <c r="G161" s="124"/>
      <c r="H161" s="124"/>
      <c r="I161" s="124"/>
      <c r="J161" s="124"/>
      <c r="K161" s="234">
        <f t="shared" si="6"/>
        <v>0</v>
      </c>
      <c r="L161" s="234">
        <f t="shared" si="6"/>
        <v>0</v>
      </c>
      <c r="M161" s="234">
        <f t="shared" si="6"/>
        <v>0</v>
      </c>
      <c r="N161" s="234">
        <f t="shared" si="6"/>
        <v>0</v>
      </c>
    </row>
    <row r="162" spans="1:14" x14ac:dyDescent="0.25">
      <c r="A162" s="232">
        <v>1331</v>
      </c>
      <c r="B162" s="85" t="s">
        <v>31</v>
      </c>
      <c r="C162" s="123"/>
      <c r="D162" s="124"/>
      <c r="E162" s="124"/>
      <c r="F162" s="124"/>
      <c r="G162" s="124"/>
      <c r="H162" s="124"/>
      <c r="I162" s="124"/>
      <c r="J162" s="124"/>
      <c r="K162" s="234">
        <f t="shared" ref="K162:N181" si="7">SUMIFS(K$28:K$60,$A$28:$A$60,$A162,$B$28:$B$60,$B162)</f>
        <v>0</v>
      </c>
      <c r="L162" s="234">
        <f t="shared" si="7"/>
        <v>0</v>
      </c>
      <c r="M162" s="234">
        <f t="shared" si="7"/>
        <v>0</v>
      </c>
      <c r="N162" s="234">
        <f t="shared" si="7"/>
        <v>0</v>
      </c>
    </row>
    <row r="163" spans="1:14" x14ac:dyDescent="0.25">
      <c r="A163" s="232">
        <v>1331</v>
      </c>
      <c r="B163" s="85" t="s">
        <v>30</v>
      </c>
      <c r="C163" s="123"/>
      <c r="D163" s="124"/>
      <c r="E163" s="124"/>
      <c r="F163" s="124"/>
      <c r="G163" s="124"/>
      <c r="H163" s="124"/>
      <c r="I163" s="124"/>
      <c r="J163" s="124"/>
      <c r="K163" s="234">
        <f t="shared" si="7"/>
        <v>0</v>
      </c>
      <c r="L163" s="234">
        <f t="shared" si="7"/>
        <v>0</v>
      </c>
      <c r="M163" s="234">
        <f t="shared" si="7"/>
        <v>0</v>
      </c>
      <c r="N163" s="234">
        <f t="shared" si="7"/>
        <v>0</v>
      </c>
    </row>
    <row r="164" spans="1:14" x14ac:dyDescent="0.25">
      <c r="A164" s="232">
        <v>1331</v>
      </c>
      <c r="B164" s="85" t="s">
        <v>38</v>
      </c>
      <c r="C164" s="123"/>
      <c r="D164" s="124"/>
      <c r="E164" s="124"/>
      <c r="F164" s="124"/>
      <c r="G164" s="124"/>
      <c r="H164" s="124"/>
      <c r="I164" s="124"/>
      <c r="J164" s="124"/>
      <c r="K164" s="234">
        <f t="shared" si="7"/>
        <v>0</v>
      </c>
      <c r="L164" s="234">
        <f t="shared" si="7"/>
        <v>0</v>
      </c>
      <c r="M164" s="234">
        <f t="shared" si="7"/>
        <v>0</v>
      </c>
      <c r="N164" s="234">
        <f t="shared" si="7"/>
        <v>0</v>
      </c>
    </row>
    <row r="165" spans="1:14" x14ac:dyDescent="0.25">
      <c r="A165" s="232">
        <v>1331</v>
      </c>
      <c r="B165" s="85" t="s">
        <v>684</v>
      </c>
      <c r="C165" s="123"/>
      <c r="D165" s="124"/>
      <c r="E165" s="124"/>
      <c r="F165" s="124"/>
      <c r="G165" s="124"/>
      <c r="H165" s="124"/>
      <c r="I165" s="124"/>
      <c r="J165" s="124"/>
      <c r="K165" s="234">
        <f t="shared" si="7"/>
        <v>0</v>
      </c>
      <c r="L165" s="234">
        <f t="shared" si="7"/>
        <v>0</v>
      </c>
      <c r="M165" s="234">
        <f t="shared" si="7"/>
        <v>0</v>
      </c>
      <c r="N165" s="234">
        <f t="shared" si="7"/>
        <v>0</v>
      </c>
    </row>
    <row r="166" spans="1:14" x14ac:dyDescent="0.25">
      <c r="A166" s="232">
        <v>1331</v>
      </c>
      <c r="B166" s="85" t="s">
        <v>33</v>
      </c>
      <c r="C166" s="123"/>
      <c r="D166" s="124"/>
      <c r="E166" s="124"/>
      <c r="F166" s="124"/>
      <c r="G166" s="124"/>
      <c r="H166" s="124"/>
      <c r="I166" s="124"/>
      <c r="J166" s="124"/>
      <c r="K166" s="234">
        <f t="shared" si="7"/>
        <v>0</v>
      </c>
      <c r="L166" s="234">
        <f t="shared" si="7"/>
        <v>0</v>
      </c>
      <c r="M166" s="234">
        <f t="shared" si="7"/>
        <v>0</v>
      </c>
      <c r="N166" s="234">
        <f t="shared" si="7"/>
        <v>0</v>
      </c>
    </row>
    <row r="167" spans="1:14" x14ac:dyDescent="0.25">
      <c r="A167" s="232">
        <v>1331</v>
      </c>
      <c r="B167" s="85" t="s">
        <v>35</v>
      </c>
      <c r="C167" s="123"/>
      <c r="D167" s="124"/>
      <c r="E167" s="124"/>
      <c r="F167" s="124"/>
      <c r="G167" s="124"/>
      <c r="H167" s="124"/>
      <c r="I167" s="124"/>
      <c r="J167" s="124"/>
      <c r="K167" s="234">
        <f t="shared" si="7"/>
        <v>0</v>
      </c>
      <c r="L167" s="234">
        <f t="shared" si="7"/>
        <v>0</v>
      </c>
      <c r="M167" s="234">
        <f t="shared" si="7"/>
        <v>0</v>
      </c>
      <c r="N167" s="234">
        <f t="shared" si="7"/>
        <v>0</v>
      </c>
    </row>
    <row r="168" spans="1:14" x14ac:dyDescent="0.25">
      <c r="A168" s="232">
        <v>1331</v>
      </c>
      <c r="B168" s="108" t="s">
        <v>39</v>
      </c>
      <c r="C168" s="123"/>
      <c r="D168" s="124"/>
      <c r="E168" s="124"/>
      <c r="F168" s="124"/>
      <c r="G168" s="124"/>
      <c r="H168" s="124"/>
      <c r="I168" s="124"/>
      <c r="J168" s="124"/>
      <c r="K168" s="234">
        <f t="shared" si="7"/>
        <v>0</v>
      </c>
      <c r="L168" s="234">
        <f t="shared" si="7"/>
        <v>0</v>
      </c>
      <c r="M168" s="234">
        <f t="shared" si="7"/>
        <v>0</v>
      </c>
      <c r="N168" s="234">
        <f t="shared" si="7"/>
        <v>0</v>
      </c>
    </row>
    <row r="169" spans="1:14" ht="15.75" thickBot="1" x14ac:dyDescent="0.3">
      <c r="A169" s="232">
        <v>1331</v>
      </c>
      <c r="B169" s="108" t="s">
        <v>34</v>
      </c>
      <c r="C169" s="123"/>
      <c r="D169" s="124"/>
      <c r="E169" s="124"/>
      <c r="F169" s="124"/>
      <c r="G169" s="124"/>
      <c r="H169" s="124"/>
      <c r="I169" s="124"/>
      <c r="J169" s="124"/>
      <c r="K169" s="234">
        <f t="shared" si="7"/>
        <v>0</v>
      </c>
      <c r="L169" s="234">
        <f t="shared" si="7"/>
        <v>0</v>
      </c>
      <c r="M169" s="234">
        <f t="shared" si="7"/>
        <v>0</v>
      </c>
      <c r="N169" s="234">
        <f t="shared" si="7"/>
        <v>0</v>
      </c>
    </row>
    <row r="170" spans="1:14" x14ac:dyDescent="0.25">
      <c r="A170" s="231">
        <v>1335</v>
      </c>
      <c r="B170" s="119" t="s">
        <v>28</v>
      </c>
      <c r="C170" s="120"/>
      <c r="D170" s="121"/>
      <c r="E170" s="121"/>
      <c r="F170" s="121"/>
      <c r="G170" s="121"/>
      <c r="H170" s="121"/>
      <c r="I170" s="121"/>
      <c r="J170" s="121"/>
      <c r="K170" s="236">
        <f t="shared" si="7"/>
        <v>0</v>
      </c>
      <c r="L170" s="236">
        <f t="shared" si="7"/>
        <v>0</v>
      </c>
      <c r="M170" s="236">
        <f t="shared" si="7"/>
        <v>0</v>
      </c>
      <c r="N170" s="236">
        <f t="shared" si="7"/>
        <v>0</v>
      </c>
    </row>
    <row r="171" spans="1:14" x14ac:dyDescent="0.25">
      <c r="A171" s="232">
        <v>1335</v>
      </c>
      <c r="B171" s="108" t="s">
        <v>27</v>
      </c>
      <c r="C171" s="123"/>
      <c r="D171" s="124"/>
      <c r="E171" s="124"/>
      <c r="F171" s="124"/>
      <c r="G171" s="124"/>
      <c r="H171" s="124"/>
      <c r="I171" s="124"/>
      <c r="J171" s="124"/>
      <c r="K171" s="234">
        <f t="shared" si="7"/>
        <v>0</v>
      </c>
      <c r="L171" s="234">
        <f t="shared" si="7"/>
        <v>0</v>
      </c>
      <c r="M171" s="234">
        <f t="shared" si="7"/>
        <v>0</v>
      </c>
      <c r="N171" s="234">
        <f t="shared" si="7"/>
        <v>0</v>
      </c>
    </row>
    <row r="172" spans="1:14" x14ac:dyDescent="0.25">
      <c r="A172" s="232">
        <v>1335</v>
      </c>
      <c r="B172" s="108" t="s">
        <v>32</v>
      </c>
      <c r="C172" s="123"/>
      <c r="D172" s="124"/>
      <c r="E172" s="124"/>
      <c r="F172" s="124"/>
      <c r="G172" s="124"/>
      <c r="H172" s="124"/>
      <c r="I172" s="124"/>
      <c r="J172" s="124"/>
      <c r="K172" s="234">
        <f t="shared" si="7"/>
        <v>0</v>
      </c>
      <c r="L172" s="234">
        <f t="shared" si="7"/>
        <v>0</v>
      </c>
      <c r="M172" s="234">
        <f t="shared" si="7"/>
        <v>0</v>
      </c>
      <c r="N172" s="234">
        <f t="shared" si="7"/>
        <v>0</v>
      </c>
    </row>
    <row r="173" spans="1:14" x14ac:dyDescent="0.25">
      <c r="A173" s="232">
        <v>1335</v>
      </c>
      <c r="B173" s="108" t="s">
        <v>685</v>
      </c>
      <c r="C173" s="123"/>
      <c r="D173" s="124"/>
      <c r="E173" s="124"/>
      <c r="F173" s="124"/>
      <c r="G173" s="124"/>
      <c r="H173" s="124"/>
      <c r="I173" s="124"/>
      <c r="J173" s="124"/>
      <c r="K173" s="234">
        <f t="shared" si="7"/>
        <v>0</v>
      </c>
      <c r="L173" s="234">
        <f t="shared" si="7"/>
        <v>0</v>
      </c>
      <c r="M173" s="234">
        <f t="shared" si="7"/>
        <v>0</v>
      </c>
      <c r="N173" s="234">
        <f t="shared" si="7"/>
        <v>0</v>
      </c>
    </row>
    <row r="174" spans="1:14" x14ac:dyDescent="0.25">
      <c r="A174" s="232">
        <v>1335</v>
      </c>
      <c r="B174" s="108" t="s">
        <v>41</v>
      </c>
      <c r="C174" s="123"/>
      <c r="D174" s="124"/>
      <c r="E174" s="124"/>
      <c r="F174" s="124"/>
      <c r="G174" s="124"/>
      <c r="H174" s="124"/>
      <c r="I174" s="124"/>
      <c r="J174" s="124"/>
      <c r="K174" s="234">
        <f t="shared" si="7"/>
        <v>0</v>
      </c>
      <c r="L174" s="234">
        <f t="shared" si="7"/>
        <v>0</v>
      </c>
      <c r="M174" s="234">
        <f t="shared" si="7"/>
        <v>0</v>
      </c>
      <c r="N174" s="234">
        <f t="shared" si="7"/>
        <v>0</v>
      </c>
    </row>
    <row r="175" spans="1:14" x14ac:dyDescent="0.25">
      <c r="A175" s="232">
        <v>1335</v>
      </c>
      <c r="B175" s="108" t="s">
        <v>775</v>
      </c>
      <c r="C175" s="123"/>
      <c r="D175" s="124"/>
      <c r="E175" s="124"/>
      <c r="F175" s="124"/>
      <c r="G175" s="124"/>
      <c r="H175" s="124"/>
      <c r="I175" s="124"/>
      <c r="J175" s="124"/>
      <c r="K175" s="234">
        <f t="shared" si="7"/>
        <v>0</v>
      </c>
      <c r="L175" s="234">
        <f t="shared" si="7"/>
        <v>0</v>
      </c>
      <c r="M175" s="234">
        <f t="shared" si="7"/>
        <v>0</v>
      </c>
      <c r="N175" s="234">
        <f t="shared" si="7"/>
        <v>0</v>
      </c>
    </row>
    <row r="176" spans="1:14" x14ac:dyDescent="0.25">
      <c r="A176" s="232">
        <v>1335</v>
      </c>
      <c r="B176" s="108" t="s">
        <v>37</v>
      </c>
      <c r="C176" s="123"/>
      <c r="D176" s="124"/>
      <c r="E176" s="124"/>
      <c r="F176" s="124"/>
      <c r="G176" s="124"/>
      <c r="H176" s="124"/>
      <c r="I176" s="124"/>
      <c r="J176" s="124"/>
      <c r="K176" s="234">
        <f t="shared" si="7"/>
        <v>0</v>
      </c>
      <c r="L176" s="234">
        <f t="shared" si="7"/>
        <v>0</v>
      </c>
      <c r="M176" s="234">
        <f t="shared" si="7"/>
        <v>0</v>
      </c>
      <c r="N176" s="234">
        <f t="shared" si="7"/>
        <v>0</v>
      </c>
    </row>
    <row r="177" spans="1:14" x14ac:dyDescent="0.25">
      <c r="A177" s="232">
        <v>1335</v>
      </c>
      <c r="B177" s="108" t="s">
        <v>29</v>
      </c>
      <c r="C177" s="123"/>
      <c r="D177" s="124"/>
      <c r="E177" s="124"/>
      <c r="F177" s="124"/>
      <c r="G177" s="124"/>
      <c r="H177" s="124"/>
      <c r="I177" s="124"/>
      <c r="J177" s="124"/>
      <c r="K177" s="234">
        <f t="shared" si="7"/>
        <v>0</v>
      </c>
      <c r="L177" s="234">
        <f t="shared" si="7"/>
        <v>0</v>
      </c>
      <c r="M177" s="234">
        <f t="shared" si="7"/>
        <v>0</v>
      </c>
      <c r="N177" s="234">
        <f t="shared" si="7"/>
        <v>0</v>
      </c>
    </row>
    <row r="178" spans="1:14" x14ac:dyDescent="0.25">
      <c r="A178" s="232">
        <v>1335</v>
      </c>
      <c r="B178" s="108" t="s">
        <v>536</v>
      </c>
      <c r="C178" s="123"/>
      <c r="D178" s="124"/>
      <c r="E178" s="124"/>
      <c r="F178" s="124"/>
      <c r="G178" s="124"/>
      <c r="H178" s="124"/>
      <c r="I178" s="124"/>
      <c r="J178" s="124"/>
      <c r="K178" s="234">
        <f t="shared" si="7"/>
        <v>0</v>
      </c>
      <c r="L178" s="234">
        <f t="shared" si="7"/>
        <v>0</v>
      </c>
      <c r="M178" s="234">
        <f t="shared" si="7"/>
        <v>0</v>
      </c>
      <c r="N178" s="234">
        <f t="shared" si="7"/>
        <v>0</v>
      </c>
    </row>
    <row r="179" spans="1:14" x14ac:dyDescent="0.25">
      <c r="A179" s="232">
        <v>1335</v>
      </c>
      <c r="B179" s="108" t="s">
        <v>36</v>
      </c>
      <c r="C179" s="123"/>
      <c r="D179" s="124"/>
      <c r="E179" s="124"/>
      <c r="F179" s="124"/>
      <c r="G179" s="124"/>
      <c r="H179" s="124"/>
      <c r="I179" s="124"/>
      <c r="J179" s="124"/>
      <c r="K179" s="234">
        <f t="shared" si="7"/>
        <v>0</v>
      </c>
      <c r="L179" s="234">
        <f t="shared" si="7"/>
        <v>0</v>
      </c>
      <c r="M179" s="234">
        <f t="shared" si="7"/>
        <v>0</v>
      </c>
      <c r="N179" s="234">
        <f t="shared" si="7"/>
        <v>0</v>
      </c>
    </row>
    <row r="180" spans="1:14" x14ac:dyDescent="0.25">
      <c r="A180" s="232">
        <v>1335</v>
      </c>
      <c r="B180" s="85" t="s">
        <v>31</v>
      </c>
      <c r="C180" s="123"/>
      <c r="D180" s="124"/>
      <c r="E180" s="124"/>
      <c r="F180" s="124"/>
      <c r="G180" s="124"/>
      <c r="H180" s="124"/>
      <c r="I180" s="124"/>
      <c r="J180" s="124"/>
      <c r="K180" s="234">
        <f t="shared" si="7"/>
        <v>0</v>
      </c>
      <c r="L180" s="234">
        <f t="shared" si="7"/>
        <v>0</v>
      </c>
      <c r="M180" s="234">
        <f t="shared" si="7"/>
        <v>0</v>
      </c>
      <c r="N180" s="234">
        <f t="shared" si="7"/>
        <v>0</v>
      </c>
    </row>
    <row r="181" spans="1:14" x14ac:dyDescent="0.25">
      <c r="A181" s="232">
        <v>1335</v>
      </c>
      <c r="B181" s="85" t="s">
        <v>30</v>
      </c>
      <c r="C181" s="123"/>
      <c r="D181" s="124"/>
      <c r="E181" s="124"/>
      <c r="F181" s="124"/>
      <c r="G181" s="124"/>
      <c r="H181" s="124"/>
      <c r="I181" s="124"/>
      <c r="J181" s="124"/>
      <c r="K181" s="234">
        <f t="shared" si="7"/>
        <v>0</v>
      </c>
      <c r="L181" s="234">
        <f t="shared" si="7"/>
        <v>0</v>
      </c>
      <c r="M181" s="234">
        <f t="shared" si="7"/>
        <v>0</v>
      </c>
      <c r="N181" s="234">
        <f t="shared" si="7"/>
        <v>0</v>
      </c>
    </row>
    <row r="182" spans="1:14" x14ac:dyDescent="0.25">
      <c r="A182" s="232">
        <v>1335</v>
      </c>
      <c r="B182" s="85" t="s">
        <v>38</v>
      </c>
      <c r="C182" s="123"/>
      <c r="D182" s="124"/>
      <c r="E182" s="124"/>
      <c r="F182" s="124"/>
      <c r="G182" s="124"/>
      <c r="H182" s="124"/>
      <c r="I182" s="124"/>
      <c r="J182" s="124"/>
      <c r="K182" s="234">
        <f t="shared" ref="K182:N205" si="8">SUMIFS(K$28:K$60,$A$28:$A$60,$A182,$B$28:$B$60,$B182)</f>
        <v>0</v>
      </c>
      <c r="L182" s="234">
        <f t="shared" si="8"/>
        <v>0</v>
      </c>
      <c r="M182" s="234">
        <f t="shared" si="8"/>
        <v>0</v>
      </c>
      <c r="N182" s="234">
        <f t="shared" si="8"/>
        <v>0</v>
      </c>
    </row>
    <row r="183" spans="1:14" x14ac:dyDescent="0.25">
      <c r="A183" s="232">
        <v>1335</v>
      </c>
      <c r="B183" s="85" t="s">
        <v>684</v>
      </c>
      <c r="C183" s="123"/>
      <c r="D183" s="124"/>
      <c r="E183" s="124"/>
      <c r="F183" s="124"/>
      <c r="G183" s="124"/>
      <c r="H183" s="124"/>
      <c r="I183" s="124"/>
      <c r="J183" s="124"/>
      <c r="K183" s="234">
        <f t="shared" si="8"/>
        <v>0</v>
      </c>
      <c r="L183" s="234">
        <f t="shared" si="8"/>
        <v>0</v>
      </c>
      <c r="M183" s="234">
        <f t="shared" si="8"/>
        <v>0</v>
      </c>
      <c r="N183" s="234">
        <f t="shared" si="8"/>
        <v>0</v>
      </c>
    </row>
    <row r="184" spans="1:14" x14ac:dyDescent="0.25">
      <c r="A184" s="232">
        <v>1335</v>
      </c>
      <c r="B184" s="85" t="s">
        <v>33</v>
      </c>
      <c r="C184" s="123"/>
      <c r="D184" s="124"/>
      <c r="E184" s="124"/>
      <c r="F184" s="124"/>
      <c r="G184" s="124"/>
      <c r="H184" s="124"/>
      <c r="I184" s="124"/>
      <c r="J184" s="124"/>
      <c r="K184" s="234">
        <f t="shared" si="8"/>
        <v>0</v>
      </c>
      <c r="L184" s="234">
        <f t="shared" si="8"/>
        <v>0</v>
      </c>
      <c r="M184" s="234">
        <f t="shared" si="8"/>
        <v>0</v>
      </c>
      <c r="N184" s="234">
        <f t="shared" si="8"/>
        <v>0</v>
      </c>
    </row>
    <row r="185" spans="1:14" x14ac:dyDescent="0.25">
      <c r="A185" s="232">
        <v>1335</v>
      </c>
      <c r="B185" s="85" t="s">
        <v>35</v>
      </c>
      <c r="C185" s="123"/>
      <c r="D185" s="124"/>
      <c r="E185" s="124"/>
      <c r="F185" s="124"/>
      <c r="G185" s="124"/>
      <c r="H185" s="124"/>
      <c r="I185" s="124"/>
      <c r="J185" s="124"/>
      <c r="K185" s="234">
        <f t="shared" si="8"/>
        <v>0</v>
      </c>
      <c r="L185" s="234">
        <f t="shared" si="8"/>
        <v>0</v>
      </c>
      <c r="M185" s="234">
        <f t="shared" si="8"/>
        <v>0</v>
      </c>
      <c r="N185" s="234">
        <f t="shared" si="8"/>
        <v>0</v>
      </c>
    </row>
    <row r="186" spans="1:14" x14ac:dyDescent="0.25">
      <c r="A186" s="232">
        <v>1335</v>
      </c>
      <c r="B186" s="108" t="s">
        <v>39</v>
      </c>
      <c r="C186" s="123"/>
      <c r="D186" s="124"/>
      <c r="E186" s="124"/>
      <c r="F186" s="124"/>
      <c r="G186" s="124"/>
      <c r="H186" s="124"/>
      <c r="I186" s="124"/>
      <c r="J186" s="124"/>
      <c r="K186" s="234">
        <f t="shared" si="8"/>
        <v>0</v>
      </c>
      <c r="L186" s="234">
        <f t="shared" si="8"/>
        <v>0</v>
      </c>
      <c r="M186" s="234">
        <f t="shared" si="8"/>
        <v>0</v>
      </c>
      <c r="N186" s="234">
        <f t="shared" si="8"/>
        <v>0</v>
      </c>
    </row>
    <row r="187" spans="1:14" ht="15.75" thickBot="1" x14ac:dyDescent="0.3">
      <c r="A187" s="232">
        <v>1335</v>
      </c>
      <c r="B187" s="108" t="s">
        <v>34</v>
      </c>
      <c r="C187" s="123"/>
      <c r="D187" s="124"/>
      <c r="E187" s="124"/>
      <c r="F187" s="124"/>
      <c r="G187" s="124"/>
      <c r="H187" s="124"/>
      <c r="I187" s="124"/>
      <c r="J187" s="124"/>
      <c r="K187" s="234">
        <f t="shared" si="8"/>
        <v>0</v>
      </c>
      <c r="L187" s="234">
        <f t="shared" si="8"/>
        <v>0</v>
      </c>
      <c r="M187" s="234">
        <f t="shared" si="8"/>
        <v>0</v>
      </c>
      <c r="N187" s="234">
        <f t="shared" si="8"/>
        <v>0</v>
      </c>
    </row>
    <row r="188" spans="1:14" x14ac:dyDescent="0.25">
      <c r="A188" s="231">
        <v>1340</v>
      </c>
      <c r="B188" s="119" t="s">
        <v>28</v>
      </c>
      <c r="C188" s="120"/>
      <c r="D188" s="121"/>
      <c r="E188" s="121"/>
      <c r="F188" s="121"/>
      <c r="G188" s="121"/>
      <c r="H188" s="121"/>
      <c r="I188" s="121"/>
      <c r="J188" s="121"/>
      <c r="K188" s="236">
        <f t="shared" si="8"/>
        <v>0</v>
      </c>
      <c r="L188" s="236">
        <f t="shared" si="8"/>
        <v>0</v>
      </c>
      <c r="M188" s="236">
        <f t="shared" si="8"/>
        <v>0</v>
      </c>
      <c r="N188" s="236">
        <f t="shared" si="8"/>
        <v>0</v>
      </c>
    </row>
    <row r="189" spans="1:14" x14ac:dyDescent="0.25">
      <c r="A189" s="232">
        <v>1340</v>
      </c>
      <c r="B189" s="108" t="s">
        <v>27</v>
      </c>
      <c r="C189" s="123"/>
      <c r="D189" s="124"/>
      <c r="E189" s="124"/>
      <c r="F189" s="124"/>
      <c r="G189" s="124"/>
      <c r="H189" s="124"/>
      <c r="I189" s="124"/>
      <c r="J189" s="124"/>
      <c r="K189" s="234">
        <f t="shared" si="8"/>
        <v>0</v>
      </c>
      <c r="L189" s="234">
        <f t="shared" si="8"/>
        <v>0</v>
      </c>
      <c r="M189" s="234">
        <f t="shared" si="8"/>
        <v>0</v>
      </c>
      <c r="N189" s="234">
        <f t="shared" si="8"/>
        <v>0</v>
      </c>
    </row>
    <row r="190" spans="1:14" x14ac:dyDescent="0.25">
      <c r="A190" s="232">
        <v>1340</v>
      </c>
      <c r="B190" s="108" t="s">
        <v>32</v>
      </c>
      <c r="C190" s="123"/>
      <c r="D190" s="124"/>
      <c r="E190" s="124"/>
      <c r="F190" s="124"/>
      <c r="G190" s="124"/>
      <c r="H190" s="124"/>
      <c r="I190" s="124"/>
      <c r="J190" s="124"/>
      <c r="K190" s="234">
        <f t="shared" si="8"/>
        <v>0</v>
      </c>
      <c r="L190" s="234">
        <f t="shared" si="8"/>
        <v>0</v>
      </c>
      <c r="M190" s="234">
        <f t="shared" si="8"/>
        <v>0</v>
      </c>
      <c r="N190" s="234">
        <f t="shared" si="8"/>
        <v>0</v>
      </c>
    </row>
    <row r="191" spans="1:14" x14ac:dyDescent="0.25">
      <c r="A191" s="232">
        <v>1340</v>
      </c>
      <c r="B191" s="108" t="s">
        <v>685</v>
      </c>
      <c r="C191" s="123"/>
      <c r="D191" s="124"/>
      <c r="E191" s="124"/>
      <c r="F191" s="124"/>
      <c r="G191" s="124"/>
      <c r="H191" s="124"/>
      <c r="I191" s="124"/>
      <c r="J191" s="124"/>
      <c r="K191" s="234">
        <f t="shared" si="8"/>
        <v>0</v>
      </c>
      <c r="L191" s="234">
        <f t="shared" si="8"/>
        <v>0</v>
      </c>
      <c r="M191" s="234">
        <f t="shared" si="8"/>
        <v>0</v>
      </c>
      <c r="N191" s="234">
        <f t="shared" si="8"/>
        <v>0</v>
      </c>
    </row>
    <row r="192" spans="1:14" x14ac:dyDescent="0.25">
      <c r="A192" s="232">
        <v>1340</v>
      </c>
      <c r="B192" s="108" t="s">
        <v>41</v>
      </c>
      <c r="C192" s="123"/>
      <c r="D192" s="124"/>
      <c r="E192" s="124"/>
      <c r="F192" s="124"/>
      <c r="G192" s="124"/>
      <c r="H192" s="124"/>
      <c r="I192" s="124"/>
      <c r="J192" s="124"/>
      <c r="K192" s="234">
        <f t="shared" si="8"/>
        <v>0</v>
      </c>
      <c r="L192" s="234">
        <f t="shared" si="8"/>
        <v>0</v>
      </c>
      <c r="M192" s="234">
        <f t="shared" si="8"/>
        <v>0</v>
      </c>
      <c r="N192" s="234">
        <f t="shared" si="8"/>
        <v>0</v>
      </c>
    </row>
    <row r="193" spans="1:14" x14ac:dyDescent="0.25">
      <c r="A193" s="232">
        <v>1340</v>
      </c>
      <c r="B193" s="108" t="s">
        <v>775</v>
      </c>
      <c r="C193" s="123"/>
      <c r="D193" s="124"/>
      <c r="E193" s="124"/>
      <c r="F193" s="124"/>
      <c r="G193" s="124"/>
      <c r="H193" s="124"/>
      <c r="I193" s="124"/>
      <c r="J193" s="124"/>
      <c r="K193" s="234">
        <f t="shared" si="8"/>
        <v>0</v>
      </c>
      <c r="L193" s="234">
        <f t="shared" si="8"/>
        <v>0</v>
      </c>
      <c r="M193" s="234">
        <f t="shared" si="8"/>
        <v>0</v>
      </c>
      <c r="N193" s="234">
        <f t="shared" si="8"/>
        <v>0</v>
      </c>
    </row>
    <row r="194" spans="1:14" x14ac:dyDescent="0.25">
      <c r="A194" s="232">
        <v>1340</v>
      </c>
      <c r="B194" s="108" t="s">
        <v>37</v>
      </c>
      <c r="C194" s="123"/>
      <c r="D194" s="124"/>
      <c r="E194" s="124"/>
      <c r="F194" s="124"/>
      <c r="G194" s="124"/>
      <c r="H194" s="124"/>
      <c r="I194" s="124"/>
      <c r="J194" s="124"/>
      <c r="K194" s="234">
        <f t="shared" si="8"/>
        <v>0</v>
      </c>
      <c r="L194" s="234">
        <f t="shared" si="8"/>
        <v>0</v>
      </c>
      <c r="M194" s="234">
        <f t="shared" si="8"/>
        <v>0</v>
      </c>
      <c r="N194" s="234">
        <f t="shared" si="8"/>
        <v>0</v>
      </c>
    </row>
    <row r="195" spans="1:14" x14ac:dyDescent="0.25">
      <c r="A195" s="232">
        <v>1340</v>
      </c>
      <c r="B195" s="108" t="s">
        <v>29</v>
      </c>
      <c r="C195" s="123"/>
      <c r="D195" s="124"/>
      <c r="E195" s="124"/>
      <c r="F195" s="124"/>
      <c r="G195" s="124"/>
      <c r="H195" s="124"/>
      <c r="I195" s="124"/>
      <c r="J195" s="124"/>
      <c r="K195" s="234">
        <f t="shared" si="8"/>
        <v>0</v>
      </c>
      <c r="L195" s="234">
        <f t="shared" si="8"/>
        <v>0</v>
      </c>
      <c r="M195" s="234">
        <f t="shared" si="8"/>
        <v>0</v>
      </c>
      <c r="N195" s="234">
        <f t="shared" si="8"/>
        <v>0</v>
      </c>
    </row>
    <row r="196" spans="1:14" x14ac:dyDescent="0.25">
      <c r="A196" s="232">
        <v>1340</v>
      </c>
      <c r="B196" s="108" t="s">
        <v>536</v>
      </c>
      <c r="C196" s="123"/>
      <c r="D196" s="124"/>
      <c r="E196" s="124"/>
      <c r="F196" s="124"/>
      <c r="G196" s="124"/>
      <c r="H196" s="124"/>
      <c r="I196" s="124"/>
      <c r="J196" s="124"/>
      <c r="K196" s="234">
        <f t="shared" si="8"/>
        <v>0</v>
      </c>
      <c r="L196" s="234">
        <f t="shared" si="8"/>
        <v>0</v>
      </c>
      <c r="M196" s="234">
        <f t="shared" si="8"/>
        <v>0</v>
      </c>
      <c r="N196" s="234">
        <f t="shared" si="8"/>
        <v>0</v>
      </c>
    </row>
    <row r="197" spans="1:14" x14ac:dyDescent="0.25">
      <c r="A197" s="232">
        <v>1340</v>
      </c>
      <c r="B197" s="108" t="s">
        <v>36</v>
      </c>
      <c r="C197" s="123"/>
      <c r="D197" s="124"/>
      <c r="E197" s="124"/>
      <c r="F197" s="124"/>
      <c r="G197" s="124"/>
      <c r="H197" s="124"/>
      <c r="I197" s="124"/>
      <c r="J197" s="124"/>
      <c r="K197" s="234">
        <f t="shared" si="8"/>
        <v>0</v>
      </c>
      <c r="L197" s="234">
        <f t="shared" si="8"/>
        <v>0</v>
      </c>
      <c r="M197" s="234">
        <f t="shared" si="8"/>
        <v>0</v>
      </c>
      <c r="N197" s="234">
        <f t="shared" si="8"/>
        <v>0</v>
      </c>
    </row>
    <row r="198" spans="1:14" x14ac:dyDescent="0.25">
      <c r="A198" s="232">
        <v>1340</v>
      </c>
      <c r="B198" s="85" t="s">
        <v>31</v>
      </c>
      <c r="C198" s="123"/>
      <c r="D198" s="124"/>
      <c r="E198" s="124"/>
      <c r="F198" s="124"/>
      <c r="G198" s="124"/>
      <c r="H198" s="124"/>
      <c r="I198" s="124"/>
      <c r="J198" s="124"/>
      <c r="K198" s="234">
        <f t="shared" si="8"/>
        <v>0</v>
      </c>
      <c r="L198" s="234">
        <f t="shared" si="8"/>
        <v>0</v>
      </c>
      <c r="M198" s="234">
        <f t="shared" si="8"/>
        <v>0</v>
      </c>
      <c r="N198" s="234">
        <f t="shared" si="8"/>
        <v>0</v>
      </c>
    </row>
    <row r="199" spans="1:14" x14ac:dyDescent="0.25">
      <c r="A199" s="232">
        <v>1340</v>
      </c>
      <c r="B199" s="85" t="s">
        <v>30</v>
      </c>
      <c r="C199" s="123"/>
      <c r="D199" s="124"/>
      <c r="E199" s="124"/>
      <c r="F199" s="124"/>
      <c r="G199" s="124"/>
      <c r="H199" s="124"/>
      <c r="I199" s="124"/>
      <c r="J199" s="124"/>
      <c r="K199" s="234">
        <f t="shared" si="8"/>
        <v>0</v>
      </c>
      <c r="L199" s="234">
        <f t="shared" si="8"/>
        <v>0</v>
      </c>
      <c r="M199" s="234">
        <f t="shared" si="8"/>
        <v>0</v>
      </c>
      <c r="N199" s="234">
        <f t="shared" si="8"/>
        <v>0</v>
      </c>
    </row>
    <row r="200" spans="1:14" x14ac:dyDescent="0.25">
      <c r="A200" s="232">
        <v>1340</v>
      </c>
      <c r="B200" s="85" t="s">
        <v>38</v>
      </c>
      <c r="C200" s="123"/>
      <c r="D200" s="124"/>
      <c r="E200" s="124"/>
      <c r="F200" s="124"/>
      <c r="G200" s="124"/>
      <c r="H200" s="124"/>
      <c r="I200" s="124"/>
      <c r="J200" s="124"/>
      <c r="K200" s="234">
        <f t="shared" si="8"/>
        <v>0</v>
      </c>
      <c r="L200" s="234">
        <f t="shared" si="8"/>
        <v>0</v>
      </c>
      <c r="M200" s="234">
        <f t="shared" si="8"/>
        <v>0</v>
      </c>
      <c r="N200" s="234">
        <f t="shared" si="8"/>
        <v>0</v>
      </c>
    </row>
    <row r="201" spans="1:14" x14ac:dyDescent="0.25">
      <c r="A201" s="232">
        <v>1340</v>
      </c>
      <c r="B201" s="85" t="s">
        <v>684</v>
      </c>
      <c r="C201" s="123"/>
      <c r="D201" s="124"/>
      <c r="E201" s="124"/>
      <c r="F201" s="124"/>
      <c r="G201" s="124"/>
      <c r="H201" s="124"/>
      <c r="I201" s="124"/>
      <c r="J201" s="124"/>
      <c r="K201" s="234">
        <f t="shared" si="8"/>
        <v>0</v>
      </c>
      <c r="L201" s="234">
        <f t="shared" si="8"/>
        <v>0</v>
      </c>
      <c r="M201" s="234">
        <f t="shared" si="8"/>
        <v>0</v>
      </c>
      <c r="N201" s="234">
        <f t="shared" si="8"/>
        <v>0</v>
      </c>
    </row>
    <row r="202" spans="1:14" x14ac:dyDescent="0.25">
      <c r="A202" s="232">
        <v>1340</v>
      </c>
      <c r="B202" s="85" t="s">
        <v>33</v>
      </c>
      <c r="C202" s="123"/>
      <c r="D202" s="124"/>
      <c r="E202" s="124"/>
      <c r="F202" s="124"/>
      <c r="G202" s="124"/>
      <c r="H202" s="124"/>
      <c r="I202" s="124"/>
      <c r="J202" s="124"/>
      <c r="K202" s="234">
        <f t="shared" si="8"/>
        <v>0</v>
      </c>
      <c r="L202" s="234">
        <f t="shared" si="8"/>
        <v>0</v>
      </c>
      <c r="M202" s="234">
        <f t="shared" si="8"/>
        <v>0</v>
      </c>
      <c r="N202" s="234">
        <f t="shared" si="8"/>
        <v>0</v>
      </c>
    </row>
    <row r="203" spans="1:14" x14ac:dyDescent="0.25">
      <c r="A203" s="232">
        <v>1340</v>
      </c>
      <c r="B203" s="85" t="s">
        <v>35</v>
      </c>
      <c r="C203" s="123"/>
      <c r="D203" s="124"/>
      <c r="E203" s="124"/>
      <c r="F203" s="124"/>
      <c r="G203" s="124"/>
      <c r="H203" s="124"/>
      <c r="I203" s="124"/>
      <c r="J203" s="124"/>
      <c r="K203" s="234">
        <f t="shared" si="8"/>
        <v>0</v>
      </c>
      <c r="L203" s="234">
        <f t="shared" si="8"/>
        <v>0</v>
      </c>
      <c r="M203" s="234">
        <f t="shared" si="8"/>
        <v>0</v>
      </c>
      <c r="N203" s="234">
        <f t="shared" si="8"/>
        <v>0</v>
      </c>
    </row>
    <row r="204" spans="1:14" x14ac:dyDescent="0.25">
      <c r="A204" s="232">
        <v>1340</v>
      </c>
      <c r="B204" s="108" t="s">
        <v>39</v>
      </c>
      <c r="C204" s="123"/>
      <c r="D204" s="124"/>
      <c r="E204" s="124"/>
      <c r="F204" s="124"/>
      <c r="G204" s="124"/>
      <c r="H204" s="124"/>
      <c r="I204" s="124"/>
      <c r="J204" s="124"/>
      <c r="K204" s="234">
        <f t="shared" si="8"/>
        <v>0</v>
      </c>
      <c r="L204" s="234">
        <f t="shared" si="8"/>
        <v>0</v>
      </c>
      <c r="M204" s="234">
        <f t="shared" si="8"/>
        <v>0</v>
      </c>
      <c r="N204" s="234">
        <f t="shared" si="8"/>
        <v>0</v>
      </c>
    </row>
    <row r="205" spans="1:14" x14ac:dyDescent="0.25">
      <c r="A205" s="232">
        <v>1340</v>
      </c>
      <c r="B205" s="108" t="s">
        <v>34</v>
      </c>
      <c r="C205" s="123"/>
      <c r="D205" s="124"/>
      <c r="E205" s="124"/>
      <c r="F205" s="124"/>
      <c r="G205" s="124"/>
      <c r="H205" s="124"/>
      <c r="I205" s="124"/>
      <c r="J205" s="124"/>
      <c r="K205" s="234">
        <f t="shared" si="8"/>
        <v>0</v>
      </c>
      <c r="L205" s="234">
        <f t="shared" si="8"/>
        <v>0</v>
      </c>
      <c r="M205" s="234">
        <f t="shared" si="8"/>
        <v>0</v>
      </c>
      <c r="N205" s="234">
        <f t="shared" si="8"/>
        <v>0</v>
      </c>
    </row>
    <row r="206" spans="1:14" ht="15.75" thickBot="1" x14ac:dyDescent="0.3"/>
    <row r="207" spans="1:14" ht="15.75" thickBot="1" x14ac:dyDescent="0.3">
      <c r="A207" s="228"/>
      <c r="B207" s="229"/>
      <c r="C207" s="229"/>
      <c r="D207" s="228"/>
      <c r="E207" s="228"/>
      <c r="F207" s="228"/>
      <c r="G207" s="228"/>
      <c r="H207" s="228"/>
      <c r="I207" s="228"/>
      <c r="J207" s="228"/>
      <c r="K207" s="240">
        <f>K61-SUM(K62:K205)</f>
        <v>0</v>
      </c>
      <c r="L207" s="240">
        <f t="shared" ref="L207:N207" si="9">L61-SUM(L62:L205)</f>
        <v>0</v>
      </c>
      <c r="M207" s="240">
        <f t="shared" si="9"/>
        <v>0</v>
      </c>
      <c r="N207" s="240">
        <f t="shared" si="9"/>
        <v>0</v>
      </c>
    </row>
    <row r="263" spans="1:14" ht="15.75" thickBot="1" x14ac:dyDescent="0.3"/>
    <row r="264" spans="1:14" ht="15.75" thickBot="1" x14ac:dyDescent="0.3">
      <c r="A264" s="228"/>
      <c r="B264" s="229"/>
      <c r="C264" s="229"/>
      <c r="D264" s="228"/>
      <c r="E264" s="228"/>
      <c r="F264" s="228"/>
      <c r="G264" s="228"/>
      <c r="H264" s="228"/>
      <c r="I264" s="228"/>
      <c r="J264" s="228"/>
      <c r="K264" s="240">
        <f>K61-SUM(K62:K97)</f>
        <v>70000</v>
      </c>
      <c r="L264" s="240">
        <f t="shared" ref="L264:N264" si="10">L61-SUM(L62:L97)</f>
        <v>0</v>
      </c>
      <c r="M264" s="240">
        <f t="shared" si="10"/>
        <v>0</v>
      </c>
      <c r="N264" s="240">
        <f t="shared" si="10"/>
        <v>85000</v>
      </c>
    </row>
    <row r="266" spans="1:14" customFormat="1" ht="12.75" x14ac:dyDescent="0.2">
      <c r="A266" s="36" t="s">
        <v>376</v>
      </c>
      <c r="B266" s="36"/>
      <c r="E266" s="36"/>
    </row>
    <row r="267" spans="1:14" customFormat="1" ht="12.75" x14ac:dyDescent="0.2"/>
    <row r="268" spans="1:14" customFormat="1" ht="12.75" x14ac:dyDescent="0.2">
      <c r="A268" s="1" t="s">
        <v>377</v>
      </c>
      <c r="B268" s="1"/>
      <c r="E268" s="1"/>
    </row>
    <row r="269" spans="1:14" customFormat="1" ht="12.75" x14ac:dyDescent="0.2">
      <c r="A269" s="1" t="s">
        <v>378</v>
      </c>
      <c r="B269" s="1"/>
      <c r="E269" s="1"/>
    </row>
    <row r="270" spans="1:14" customFormat="1" ht="12.75" x14ac:dyDescent="0.2"/>
    <row r="271" spans="1:14" customFormat="1" ht="12.75" x14ac:dyDescent="0.2"/>
    <row r="272" spans="1:14" customFormat="1" ht="12.75" x14ac:dyDescent="0.2"/>
    <row r="273" spans="1:15" customFormat="1" ht="12.75" x14ac:dyDescent="0.2"/>
    <row r="274" spans="1:15" customFormat="1" ht="12.75" x14ac:dyDescent="0.2"/>
    <row r="275" spans="1:15" customFormat="1" ht="12.75" x14ac:dyDescent="0.2"/>
    <row r="276" spans="1:15" customFormat="1" ht="12.75" x14ac:dyDescent="0.2">
      <c r="A276" s="36" t="s">
        <v>380</v>
      </c>
      <c r="D276" s="39" t="s">
        <v>381</v>
      </c>
      <c r="F276" s="39" t="s">
        <v>382</v>
      </c>
      <c r="K276" s="39"/>
      <c r="L276" s="39"/>
      <c r="M276" s="39"/>
      <c r="N276" s="39"/>
      <c r="O276" s="39"/>
    </row>
    <row r="277" spans="1:15" customFormat="1" ht="12.75" x14ac:dyDescent="0.2">
      <c r="A277" s="1" t="s">
        <v>377</v>
      </c>
    </row>
    <row r="278" spans="1:15" customFormat="1" ht="12.75" x14ac:dyDescent="0.2">
      <c r="A278" s="1" t="s">
        <v>378</v>
      </c>
    </row>
    <row r="279" spans="1:15" customFormat="1" ht="12.75" x14ac:dyDescent="0.2"/>
  </sheetData>
  <autoFilter ref="A27:N205"/>
  <sortState ref="A28:N32">
    <sortCondition ref="B28:B32"/>
    <sortCondition ref="C28:C32"/>
  </sortState>
  <dataValidations count="11">
    <dataValidation type="list" allowBlank="1" showInputMessage="1" showErrorMessage="1" errorTitle="Error" error="You must choose Yes or No." promptTitle="Existing Contract" prompt="Yes or No" sqref="I61">
      <formula1>Existing</formula1>
    </dataValidation>
    <dataValidation allowBlank="1" showInputMessage="1" showErrorMessage="1" promptTitle="Old Contractor" prompt="Enter the old contractor's name if applicable." sqref="D61"/>
    <dataValidation allowBlank="1" showInputMessage="1" showErrorMessage="1" promptTitle="Contract End Date" prompt="Enter the Contract End Date" sqref="H61"/>
    <dataValidation allowBlank="1" showInputMessage="1" showErrorMessage="1" promptTitle="Contract Start Date" prompt="Enter the Contract Start Date." sqref="G61"/>
    <dataValidation type="date" errorStyle="warning" allowBlank="1" showInputMessage="1" showErrorMessage="1" errorTitle="End Date" error="Enter the end date." promptTitle="End Date" prompt="Enter the End Date" sqref="I28:I60">
      <formula1>42552</formula1>
      <formula2>42916</formula2>
    </dataValidation>
    <dataValidation type="date" errorStyle="warning" allowBlank="1" showInputMessage="1" showErrorMessage="1" errorTitle="Start Date" error="Enter the start date." promptTitle="Start Date" prompt="Enter the Start Date." sqref="H28:H60">
      <formula1>42552</formula1>
      <formula2>42916</formula2>
    </dataValidation>
    <dataValidation type="list" allowBlank="1" showInputMessage="1" showErrorMessage="1" errorTitle="Error" error="You must choose a funding source from the list." promptTitle="Funding Source" prompt="Choose the appropriate funding source." sqref="C28:C60">
      <formula1>Funding</formula1>
    </dataValidation>
    <dataValidation type="list" allowBlank="1" showInputMessage="1" showErrorMessage="1" errorTitle="Error" error="You must choose a budget unit from the list." promptTitle="Budget Unit" prompt="Choose the appropriate budget unit." sqref="B28:B60">
      <formula1>Budgets</formula1>
    </dataValidation>
    <dataValidation type="list" allowBlank="1" showInputMessage="1" showErrorMessage="1" errorTitle="Error" error="You must choose from the list." promptTitle="Type of Fixed Asset" prompt="Chose the type of fixed asset from the list." sqref="J28:J60">
      <formula1>Capital</formula1>
    </dataValidation>
    <dataValidation errorStyle="warning" allowBlank="1" showInputMessage="1" showErrorMessage="1" errorTitle="Vendor/Supplier" error="Enter the vendor/supplier." promptTitle="Vendor/Supplier" prompt="Enter the supplier's name if applicable." sqref="F28:F60"/>
    <dataValidation type="list" errorStyle="warning" allowBlank="1" showInputMessage="1" showErrorMessage="1" errorTitle="Warning" error="Choose the appropriate option." promptTitle="Existing/State Contract" prompt="Select the most appropriate answer. If there is an existing LHC contract, enter the contract number (see Sharepoint)." sqref="E28:E60">
      <formula1>ContractStatus</formula1>
    </dataValidation>
  </dataValidations>
  <pageMargins left="0.7" right="0.7" top="0.75" bottom="0.75" header="0.3" footer="0.3"/>
  <pageSetup scale="87" orientation="landscape"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4"/>
  <sheetViews>
    <sheetView topLeftCell="A82" workbookViewId="0">
      <selection activeCell="A107" sqref="A107"/>
    </sheetView>
  </sheetViews>
  <sheetFormatPr defaultRowHeight="12.75" x14ac:dyDescent="0.2"/>
  <cols>
    <col min="1" max="1" width="56.5703125" customWidth="1"/>
    <col min="2" max="2" width="14.28515625" customWidth="1"/>
  </cols>
  <sheetData>
    <row r="1" spans="1:2" ht="15" x14ac:dyDescent="0.25">
      <c r="A1" s="32" t="s">
        <v>60</v>
      </c>
      <c r="B1" s="32" t="s">
        <v>61</v>
      </c>
    </row>
    <row r="2" spans="1:2" x14ac:dyDescent="0.2">
      <c r="A2" s="1" t="s">
        <v>28</v>
      </c>
      <c r="B2" t="s">
        <v>43</v>
      </c>
    </row>
    <row r="3" spans="1:2" x14ac:dyDescent="0.2">
      <c r="A3" s="1" t="s">
        <v>27</v>
      </c>
      <c r="B3" t="s">
        <v>42</v>
      </c>
    </row>
    <row r="4" spans="1:2" x14ac:dyDescent="0.2">
      <c r="A4" s="34" t="s">
        <v>32</v>
      </c>
      <c r="B4" s="30" t="s">
        <v>47</v>
      </c>
    </row>
    <row r="5" spans="1:2" x14ac:dyDescent="0.2">
      <c r="A5" s="16" t="s">
        <v>685</v>
      </c>
      <c r="B5" s="662" t="s">
        <v>58</v>
      </c>
    </row>
    <row r="6" spans="1:2" x14ac:dyDescent="0.2">
      <c r="A6" s="16" t="s">
        <v>41</v>
      </c>
      <c r="B6" s="662" t="s">
        <v>59</v>
      </c>
    </row>
    <row r="7" spans="1:2" x14ac:dyDescent="0.2">
      <c r="A7" s="16" t="s">
        <v>775</v>
      </c>
      <c r="B7" s="663" t="s">
        <v>54</v>
      </c>
    </row>
    <row r="8" spans="1:2" x14ac:dyDescent="0.2">
      <c r="A8" s="16" t="s">
        <v>37</v>
      </c>
      <c r="B8" s="663" t="s">
        <v>55</v>
      </c>
    </row>
    <row r="9" spans="1:2" x14ac:dyDescent="0.2">
      <c r="A9" s="1" t="s">
        <v>29</v>
      </c>
      <c r="B9" s="367" t="s">
        <v>44</v>
      </c>
    </row>
    <row r="10" spans="1:2" x14ac:dyDescent="0.2">
      <c r="A10" s="16" t="s">
        <v>536</v>
      </c>
      <c r="B10" s="662" t="s">
        <v>67</v>
      </c>
    </row>
    <row r="11" spans="1:2" x14ac:dyDescent="0.2">
      <c r="A11" s="16" t="s">
        <v>36</v>
      </c>
      <c r="B11" s="663" t="s">
        <v>53</v>
      </c>
    </row>
    <row r="12" spans="1:2" x14ac:dyDescent="0.2">
      <c r="A12" s="16" t="s">
        <v>31</v>
      </c>
      <c r="B12" s="367" t="s">
        <v>46</v>
      </c>
    </row>
    <row r="13" spans="1:2" x14ac:dyDescent="0.2">
      <c r="A13" s="1" t="s">
        <v>30</v>
      </c>
      <c r="B13" s="367" t="s">
        <v>45</v>
      </c>
    </row>
    <row r="14" spans="1:2" x14ac:dyDescent="0.2">
      <c r="A14" s="34" t="s">
        <v>38</v>
      </c>
      <c r="B14" s="583" t="s">
        <v>49</v>
      </c>
    </row>
    <row r="15" spans="1:2" x14ac:dyDescent="0.2">
      <c r="A15" s="16" t="s">
        <v>684</v>
      </c>
      <c r="B15" s="663" t="s">
        <v>52</v>
      </c>
    </row>
    <row r="16" spans="1:2" x14ac:dyDescent="0.2">
      <c r="A16" s="37" t="s">
        <v>33</v>
      </c>
      <c r="B16" s="662" t="s">
        <v>48</v>
      </c>
    </row>
    <row r="17" spans="1:2" x14ac:dyDescent="0.2">
      <c r="A17" s="16" t="s">
        <v>35</v>
      </c>
      <c r="B17" s="663" t="s">
        <v>51</v>
      </c>
    </row>
    <row r="18" spans="1:2" x14ac:dyDescent="0.2">
      <c r="A18" s="16" t="s">
        <v>39</v>
      </c>
      <c r="B18" s="662" t="s">
        <v>57</v>
      </c>
    </row>
    <row r="19" spans="1:2" x14ac:dyDescent="0.2">
      <c r="A19" s="434" t="s">
        <v>34</v>
      </c>
      <c r="B19" s="663" t="s">
        <v>50</v>
      </c>
    </row>
    <row r="22" spans="1:2" ht="15" x14ac:dyDescent="0.25">
      <c r="A22" s="35" t="s">
        <v>15</v>
      </c>
      <c r="B22" s="35" t="s">
        <v>110</v>
      </c>
    </row>
    <row r="23" spans="1:2" x14ac:dyDescent="0.2">
      <c r="A23" s="1" t="s">
        <v>62</v>
      </c>
      <c r="B23" t="s">
        <v>42</v>
      </c>
    </row>
    <row r="24" spans="1:2" x14ac:dyDescent="0.2">
      <c r="A24" s="34" t="s">
        <v>118</v>
      </c>
      <c r="B24" t="s">
        <v>70</v>
      </c>
    </row>
    <row r="25" spans="1:2" x14ac:dyDescent="0.2">
      <c r="A25" s="34" t="s">
        <v>119</v>
      </c>
      <c r="B25" t="s">
        <v>71</v>
      </c>
    </row>
    <row r="26" spans="1:2" x14ac:dyDescent="0.2">
      <c r="A26" s="34" t="s">
        <v>142</v>
      </c>
      <c r="B26" t="s">
        <v>94</v>
      </c>
    </row>
    <row r="27" spans="1:2" x14ac:dyDescent="0.2">
      <c r="A27" s="34" t="s">
        <v>161</v>
      </c>
      <c r="B27" t="s">
        <v>57</v>
      </c>
    </row>
    <row r="28" spans="1:2" s="432" customFormat="1" x14ac:dyDescent="0.2">
      <c r="A28" s="34" t="s">
        <v>1136</v>
      </c>
      <c r="B28" s="12" t="s">
        <v>1295</v>
      </c>
    </row>
    <row r="29" spans="1:2" s="432" customFormat="1" x14ac:dyDescent="0.2">
      <c r="A29" s="34" t="s">
        <v>1475</v>
      </c>
      <c r="B29" s="12" t="s">
        <v>1476</v>
      </c>
    </row>
    <row r="30" spans="1:2" x14ac:dyDescent="0.2">
      <c r="A30" s="34" t="s">
        <v>133</v>
      </c>
      <c r="B30" t="s">
        <v>84</v>
      </c>
    </row>
    <row r="31" spans="1:2" x14ac:dyDescent="0.2">
      <c r="A31" s="34" t="s">
        <v>136</v>
      </c>
      <c r="B31" t="s">
        <v>88</v>
      </c>
    </row>
    <row r="32" spans="1:2" x14ac:dyDescent="0.2">
      <c r="A32" s="34" t="s">
        <v>134</v>
      </c>
      <c r="B32" t="s">
        <v>85</v>
      </c>
    </row>
    <row r="33" spans="1:2" x14ac:dyDescent="0.2">
      <c r="A33" s="34" t="s">
        <v>131</v>
      </c>
      <c r="B33" t="s">
        <v>82</v>
      </c>
    </row>
    <row r="34" spans="1:2" x14ac:dyDescent="0.2">
      <c r="A34" s="34" t="s">
        <v>137</v>
      </c>
      <c r="B34" t="s">
        <v>89</v>
      </c>
    </row>
    <row r="35" spans="1:2" x14ac:dyDescent="0.2">
      <c r="A35" s="34" t="s">
        <v>132</v>
      </c>
      <c r="B35" t="s">
        <v>83</v>
      </c>
    </row>
    <row r="36" spans="1:2" x14ac:dyDescent="0.2">
      <c r="A36" s="34" t="s">
        <v>160</v>
      </c>
      <c r="B36" t="s">
        <v>106</v>
      </c>
    </row>
    <row r="37" spans="1:2" x14ac:dyDescent="0.2">
      <c r="A37" s="34" t="s">
        <v>135</v>
      </c>
      <c r="B37" t="s">
        <v>86</v>
      </c>
    </row>
    <row r="38" spans="1:2" x14ac:dyDescent="0.2">
      <c r="A38" s="34" t="s">
        <v>114</v>
      </c>
      <c r="B38" t="s">
        <v>67</v>
      </c>
    </row>
    <row r="39" spans="1:2" x14ac:dyDescent="0.2">
      <c r="A39" s="34" t="s">
        <v>140</v>
      </c>
      <c r="B39" t="s">
        <v>92</v>
      </c>
    </row>
    <row r="40" spans="1:2" x14ac:dyDescent="0.2">
      <c r="A40" s="34" t="s">
        <v>166</v>
      </c>
      <c r="B40" s="12" t="s">
        <v>111</v>
      </c>
    </row>
    <row r="41" spans="1:2" x14ac:dyDescent="0.2">
      <c r="A41" s="34" t="s">
        <v>63</v>
      </c>
      <c r="B41" t="s">
        <v>101</v>
      </c>
    </row>
    <row r="42" spans="1:2" x14ac:dyDescent="0.2">
      <c r="A42" s="34" t="s">
        <v>64</v>
      </c>
      <c r="B42" t="s">
        <v>102</v>
      </c>
    </row>
    <row r="43" spans="1:2" x14ac:dyDescent="0.2">
      <c r="A43" s="34" t="s">
        <v>796</v>
      </c>
      <c r="B43" s="12" t="s">
        <v>797</v>
      </c>
    </row>
    <row r="44" spans="1:2" x14ac:dyDescent="0.2">
      <c r="A44" s="34" t="s">
        <v>145</v>
      </c>
      <c r="B44" s="12" t="s">
        <v>113</v>
      </c>
    </row>
    <row r="45" spans="1:2" x14ac:dyDescent="0.2">
      <c r="A45" s="34" t="s">
        <v>159</v>
      </c>
      <c r="B45" t="s">
        <v>49</v>
      </c>
    </row>
    <row r="46" spans="1:2" x14ac:dyDescent="0.2">
      <c r="A46" s="34" t="s">
        <v>147</v>
      </c>
      <c r="B46" t="s">
        <v>97</v>
      </c>
    </row>
    <row r="47" spans="1:2" x14ac:dyDescent="0.2">
      <c r="A47" s="34" t="s">
        <v>150</v>
      </c>
      <c r="B47" t="s">
        <v>100</v>
      </c>
    </row>
    <row r="48" spans="1:2" x14ac:dyDescent="0.2">
      <c r="A48" s="34" t="s">
        <v>151</v>
      </c>
      <c r="B48" t="s">
        <v>51</v>
      </c>
    </row>
    <row r="49" spans="1:2" x14ac:dyDescent="0.2">
      <c r="A49" s="34" t="s">
        <v>154</v>
      </c>
      <c r="B49" t="s">
        <v>55</v>
      </c>
    </row>
    <row r="50" spans="1:2" x14ac:dyDescent="0.2">
      <c r="A50" s="34" t="s">
        <v>149</v>
      </c>
      <c r="B50" t="s">
        <v>99</v>
      </c>
    </row>
    <row r="51" spans="1:2" x14ac:dyDescent="0.2">
      <c r="A51" s="34" t="s">
        <v>152</v>
      </c>
      <c r="B51" t="s">
        <v>53</v>
      </c>
    </row>
    <row r="52" spans="1:2" x14ac:dyDescent="0.2">
      <c r="A52" s="34" t="s">
        <v>167</v>
      </c>
      <c r="B52" t="s">
        <v>44</v>
      </c>
    </row>
    <row r="53" spans="1:2" x14ac:dyDescent="0.2">
      <c r="A53" s="34" t="s">
        <v>130</v>
      </c>
      <c r="B53" t="s">
        <v>81</v>
      </c>
    </row>
    <row r="54" spans="1:2" x14ac:dyDescent="0.2">
      <c r="A54" s="34" t="s">
        <v>157</v>
      </c>
      <c r="B54" t="s">
        <v>104</v>
      </c>
    </row>
    <row r="55" spans="1:2" x14ac:dyDescent="0.2">
      <c r="A55" s="34" t="s">
        <v>158</v>
      </c>
      <c r="B55" t="s">
        <v>105</v>
      </c>
    </row>
    <row r="56" spans="1:2" x14ac:dyDescent="0.2">
      <c r="A56" s="34" t="s">
        <v>1477</v>
      </c>
      <c r="B56" s="432" t="s">
        <v>91</v>
      </c>
    </row>
    <row r="57" spans="1:2" x14ac:dyDescent="0.2">
      <c r="A57" s="34" t="s">
        <v>162</v>
      </c>
      <c r="B57" s="12" t="s">
        <v>164</v>
      </c>
    </row>
    <row r="58" spans="1:2" x14ac:dyDescent="0.2">
      <c r="A58" s="34" t="s">
        <v>124</v>
      </c>
      <c r="B58" t="s">
        <v>76</v>
      </c>
    </row>
    <row r="59" spans="1:2" x14ac:dyDescent="0.2">
      <c r="A59" s="367" t="s">
        <v>125</v>
      </c>
      <c r="B59" t="s">
        <v>77</v>
      </c>
    </row>
    <row r="60" spans="1:2" x14ac:dyDescent="0.2">
      <c r="A60" s="34" t="s">
        <v>156</v>
      </c>
      <c r="B60" s="432" t="s">
        <v>103</v>
      </c>
    </row>
    <row r="61" spans="1:2" x14ac:dyDescent="0.2">
      <c r="A61" s="34" t="s">
        <v>144</v>
      </c>
      <c r="B61" s="12" t="s">
        <v>112</v>
      </c>
    </row>
    <row r="62" spans="1:2" x14ac:dyDescent="0.2">
      <c r="A62" s="34" t="s">
        <v>155</v>
      </c>
      <c r="B62" t="s">
        <v>56</v>
      </c>
    </row>
    <row r="63" spans="1:2" x14ac:dyDescent="0.2">
      <c r="A63" s="34" t="s">
        <v>1478</v>
      </c>
      <c r="B63" t="s">
        <v>90</v>
      </c>
    </row>
    <row r="64" spans="1:2" x14ac:dyDescent="0.2">
      <c r="A64" s="34" t="s">
        <v>115</v>
      </c>
      <c r="B64" t="s">
        <v>47</v>
      </c>
    </row>
    <row r="65" spans="1:2" x14ac:dyDescent="0.2">
      <c r="A65" s="34" t="s">
        <v>65</v>
      </c>
      <c r="B65" t="s">
        <v>107</v>
      </c>
    </row>
    <row r="66" spans="1:2" s="432" customFormat="1" x14ac:dyDescent="0.2">
      <c r="A66" s="34" t="s">
        <v>1445</v>
      </c>
      <c r="B66" s="12" t="s">
        <v>1446</v>
      </c>
    </row>
    <row r="67" spans="1:2" x14ac:dyDescent="0.2">
      <c r="A67" s="34" t="s">
        <v>116</v>
      </c>
      <c r="B67" t="s">
        <v>68</v>
      </c>
    </row>
    <row r="68" spans="1:2" x14ac:dyDescent="0.2">
      <c r="A68" s="34" t="s">
        <v>117</v>
      </c>
      <c r="B68" t="s">
        <v>69</v>
      </c>
    </row>
    <row r="69" spans="1:2" x14ac:dyDescent="0.2">
      <c r="A69" s="34" t="s">
        <v>120</v>
      </c>
      <c r="B69" t="s">
        <v>72</v>
      </c>
    </row>
    <row r="70" spans="1:2" x14ac:dyDescent="0.2">
      <c r="A70" s="34" t="s">
        <v>148</v>
      </c>
      <c r="B70" t="s">
        <v>98</v>
      </c>
    </row>
    <row r="71" spans="1:2" x14ac:dyDescent="0.2">
      <c r="A71" s="34" t="s">
        <v>121</v>
      </c>
      <c r="B71" t="s">
        <v>73</v>
      </c>
    </row>
    <row r="72" spans="1:2" x14ac:dyDescent="0.2">
      <c r="A72" s="34" t="s">
        <v>122</v>
      </c>
      <c r="B72" t="s">
        <v>74</v>
      </c>
    </row>
    <row r="73" spans="1:2" s="432" customFormat="1" x14ac:dyDescent="0.2">
      <c r="A73" s="34" t="s">
        <v>1459</v>
      </c>
      <c r="B73" s="667" t="s">
        <v>1460</v>
      </c>
    </row>
    <row r="74" spans="1:2" x14ac:dyDescent="0.2">
      <c r="A74" s="34" t="s">
        <v>163</v>
      </c>
      <c r="B74" s="12" t="s">
        <v>165</v>
      </c>
    </row>
    <row r="75" spans="1:2" x14ac:dyDescent="0.2">
      <c r="A75" s="34" t="s">
        <v>123</v>
      </c>
      <c r="B75" t="s">
        <v>75</v>
      </c>
    </row>
    <row r="76" spans="1:2" x14ac:dyDescent="0.2">
      <c r="A76" s="34" t="s">
        <v>153</v>
      </c>
      <c r="B76" t="s">
        <v>54</v>
      </c>
    </row>
    <row r="77" spans="1:2" x14ac:dyDescent="0.2">
      <c r="A77" s="34" t="s">
        <v>1063</v>
      </c>
      <c r="B77" t="s">
        <v>109</v>
      </c>
    </row>
    <row r="78" spans="1:2" x14ac:dyDescent="0.2">
      <c r="A78" s="34" t="s">
        <v>127</v>
      </c>
      <c r="B78" t="s">
        <v>48</v>
      </c>
    </row>
    <row r="79" spans="1:2" x14ac:dyDescent="0.2">
      <c r="A79" s="34" t="s">
        <v>141</v>
      </c>
      <c r="B79" t="s">
        <v>93</v>
      </c>
    </row>
    <row r="80" spans="1:2" x14ac:dyDescent="0.2">
      <c r="A80" s="34" t="s">
        <v>128</v>
      </c>
      <c r="B80" t="s">
        <v>79</v>
      </c>
    </row>
    <row r="81" spans="1:2" x14ac:dyDescent="0.2">
      <c r="A81" s="1" t="s">
        <v>126</v>
      </c>
      <c r="B81" t="s">
        <v>78</v>
      </c>
    </row>
    <row r="82" spans="1:2" x14ac:dyDescent="0.2">
      <c r="A82" s="34" t="s">
        <v>129</v>
      </c>
      <c r="B82" t="s">
        <v>80</v>
      </c>
    </row>
    <row r="83" spans="1:2" x14ac:dyDescent="0.2">
      <c r="A83" s="1" t="s">
        <v>692</v>
      </c>
      <c r="B83" s="12" t="s">
        <v>108</v>
      </c>
    </row>
    <row r="84" spans="1:2" x14ac:dyDescent="0.2">
      <c r="A84" s="34" t="s">
        <v>472</v>
      </c>
      <c r="B84" t="s">
        <v>87</v>
      </c>
    </row>
    <row r="85" spans="1:2" x14ac:dyDescent="0.2">
      <c r="A85" s="34" t="s">
        <v>143</v>
      </c>
      <c r="B85" t="s">
        <v>95</v>
      </c>
    </row>
    <row r="86" spans="1:2" x14ac:dyDescent="0.2">
      <c r="A86" s="34" t="s">
        <v>146</v>
      </c>
      <c r="B86" t="s">
        <v>96</v>
      </c>
    </row>
    <row r="89" spans="1:2" x14ac:dyDescent="0.2">
      <c r="A89" s="31" t="s">
        <v>168</v>
      </c>
      <c r="B89" s="31" t="s">
        <v>169</v>
      </c>
    </row>
    <row r="90" spans="1:2" x14ac:dyDescent="0.2">
      <c r="A90" s="1" t="s">
        <v>171</v>
      </c>
      <c r="B90" s="12" t="s">
        <v>194</v>
      </c>
    </row>
    <row r="91" spans="1:2" x14ac:dyDescent="0.2">
      <c r="A91" s="1" t="s">
        <v>177</v>
      </c>
      <c r="B91" s="12" t="s">
        <v>195</v>
      </c>
    </row>
    <row r="92" spans="1:2" x14ac:dyDescent="0.2">
      <c r="A92" s="1" t="s">
        <v>178</v>
      </c>
      <c r="B92" s="12" t="s">
        <v>196</v>
      </c>
    </row>
    <row r="93" spans="1:2" x14ac:dyDescent="0.2">
      <c r="A93" s="1" t="s">
        <v>179</v>
      </c>
      <c r="B93" s="12" t="s">
        <v>197</v>
      </c>
    </row>
    <row r="94" spans="1:2" x14ac:dyDescent="0.2">
      <c r="A94" s="1" t="s">
        <v>190</v>
      </c>
      <c r="B94" s="12" t="s">
        <v>198</v>
      </c>
    </row>
    <row r="95" spans="1:2" x14ac:dyDescent="0.2">
      <c r="A95" s="1" t="s">
        <v>176</v>
      </c>
      <c r="B95" s="12" t="s">
        <v>199</v>
      </c>
    </row>
    <row r="96" spans="1:2" x14ac:dyDescent="0.2">
      <c r="A96" s="1" t="s">
        <v>170</v>
      </c>
      <c r="B96" s="12" t="s">
        <v>467</v>
      </c>
    </row>
    <row r="97" spans="1:3" x14ac:dyDescent="0.2">
      <c r="A97" s="1" t="s">
        <v>170</v>
      </c>
      <c r="B97" s="12" t="s">
        <v>466</v>
      </c>
    </row>
    <row r="98" spans="1:3" x14ac:dyDescent="0.2">
      <c r="A98" s="1" t="s">
        <v>173</v>
      </c>
      <c r="B98" s="12" t="s">
        <v>201</v>
      </c>
    </row>
    <row r="99" spans="1:3" x14ac:dyDescent="0.2">
      <c r="A99" s="1" t="s">
        <v>172</v>
      </c>
      <c r="B99" s="12" t="s">
        <v>200</v>
      </c>
    </row>
    <row r="100" spans="1:3" x14ac:dyDescent="0.2">
      <c r="A100" s="1" t="s">
        <v>180</v>
      </c>
      <c r="B100" s="12" t="s">
        <v>202</v>
      </c>
    </row>
    <row r="101" spans="1:3" x14ac:dyDescent="0.2">
      <c r="A101" s="1" t="s">
        <v>193</v>
      </c>
      <c r="B101" s="12" t="s">
        <v>203</v>
      </c>
    </row>
    <row r="102" spans="1:3" x14ac:dyDescent="0.2">
      <c r="A102" s="1" t="s">
        <v>181</v>
      </c>
      <c r="B102" s="12" t="s">
        <v>204</v>
      </c>
    </row>
    <row r="103" spans="1:3" x14ac:dyDescent="0.2">
      <c r="A103" s="1" t="s">
        <v>191</v>
      </c>
      <c r="B103" s="12" t="s">
        <v>205</v>
      </c>
    </row>
    <row r="104" spans="1:3" x14ac:dyDescent="0.2">
      <c r="A104" s="1" t="s">
        <v>174</v>
      </c>
      <c r="B104" s="12" t="s">
        <v>206</v>
      </c>
    </row>
    <row r="105" spans="1:3" s="432" customFormat="1" x14ac:dyDescent="0.2">
      <c r="A105" s="367" t="s">
        <v>1564</v>
      </c>
      <c r="B105" s="12" t="s">
        <v>1150</v>
      </c>
    </row>
    <row r="106" spans="1:3" x14ac:dyDescent="0.2">
      <c r="A106" s="1" t="s">
        <v>192</v>
      </c>
      <c r="B106" s="12" t="s">
        <v>207</v>
      </c>
    </row>
    <row r="107" spans="1:3" s="432" customFormat="1" x14ac:dyDescent="0.2">
      <c r="A107" s="367" t="s">
        <v>1151</v>
      </c>
      <c r="B107" s="12" t="s">
        <v>197</v>
      </c>
    </row>
    <row r="108" spans="1:3" x14ac:dyDescent="0.2">
      <c r="A108" s="1" t="s">
        <v>175</v>
      </c>
      <c r="B108" s="12" t="s">
        <v>208</v>
      </c>
    </row>
    <row r="109" spans="1:3" x14ac:dyDescent="0.2">
      <c r="A109" s="1" t="s">
        <v>188</v>
      </c>
      <c r="B109" s="12" t="s">
        <v>468</v>
      </c>
      <c r="C109">
        <v>146</v>
      </c>
    </row>
    <row r="110" spans="1:3" x14ac:dyDescent="0.2">
      <c r="A110" s="1" t="s">
        <v>185</v>
      </c>
      <c r="B110" s="12" t="s">
        <v>468</v>
      </c>
      <c r="C110">
        <v>143</v>
      </c>
    </row>
    <row r="111" spans="1:3" x14ac:dyDescent="0.2">
      <c r="A111" s="1" t="s">
        <v>189</v>
      </c>
      <c r="B111" s="12" t="s">
        <v>468</v>
      </c>
      <c r="C111">
        <v>147</v>
      </c>
    </row>
    <row r="112" spans="1:3" x14ac:dyDescent="0.2">
      <c r="A112" s="1" t="s">
        <v>186</v>
      </c>
      <c r="B112" s="12" t="s">
        <v>468</v>
      </c>
      <c r="C112">
        <v>144</v>
      </c>
    </row>
    <row r="113" spans="1:4" x14ac:dyDescent="0.2">
      <c r="A113" s="1" t="s">
        <v>183</v>
      </c>
      <c r="B113" s="12" t="s">
        <v>468</v>
      </c>
      <c r="C113">
        <v>141</v>
      </c>
    </row>
    <row r="114" spans="1:4" x14ac:dyDescent="0.2">
      <c r="A114" s="1" t="s">
        <v>187</v>
      </c>
      <c r="B114" s="12" t="s">
        <v>468</v>
      </c>
      <c r="C114">
        <v>145</v>
      </c>
    </row>
    <row r="115" spans="1:4" x14ac:dyDescent="0.2">
      <c r="A115" s="1" t="s">
        <v>184</v>
      </c>
      <c r="B115" s="12" t="s">
        <v>468</v>
      </c>
      <c r="C115">
        <v>142</v>
      </c>
    </row>
    <row r="116" spans="1:4" s="432" customFormat="1" x14ac:dyDescent="0.2">
      <c r="A116" s="367" t="s">
        <v>1149</v>
      </c>
      <c r="B116" s="12" t="s">
        <v>1150</v>
      </c>
    </row>
    <row r="117" spans="1:4" x14ac:dyDescent="0.2">
      <c r="A117" s="1" t="s">
        <v>182</v>
      </c>
      <c r="B117" s="12" t="s">
        <v>209</v>
      </c>
    </row>
    <row r="120" spans="1:4" x14ac:dyDescent="0.2">
      <c r="A120" s="31" t="s">
        <v>213</v>
      </c>
      <c r="B120" s="31" t="s">
        <v>374</v>
      </c>
      <c r="C120" s="31" t="s">
        <v>375</v>
      </c>
    </row>
    <row r="121" spans="1:4" x14ac:dyDescent="0.2">
      <c r="A121" s="16" t="s">
        <v>226</v>
      </c>
      <c r="B121" s="46">
        <v>615</v>
      </c>
      <c r="C121" s="48" t="s">
        <v>330</v>
      </c>
      <c r="D121" s="1"/>
    </row>
    <row r="122" spans="1:4" x14ac:dyDescent="0.2">
      <c r="A122" s="625" t="s">
        <v>746</v>
      </c>
      <c r="B122" s="46"/>
      <c r="C122" s="48" t="s">
        <v>747</v>
      </c>
      <c r="D122" s="1"/>
    </row>
    <row r="123" spans="1:4" x14ac:dyDescent="0.2">
      <c r="A123" s="16" t="s">
        <v>232</v>
      </c>
      <c r="B123" s="46">
        <v>314</v>
      </c>
      <c r="C123" s="48" t="s">
        <v>338</v>
      </c>
      <c r="D123" s="1"/>
    </row>
    <row r="124" spans="1:4" x14ac:dyDescent="0.2">
      <c r="A124" s="16" t="s">
        <v>214</v>
      </c>
      <c r="B124" s="46">
        <v>618</v>
      </c>
      <c r="C124" s="48" t="s">
        <v>324</v>
      </c>
      <c r="D124" s="1"/>
    </row>
    <row r="125" spans="1:4" s="432" customFormat="1" x14ac:dyDescent="0.2">
      <c r="A125" s="656" t="s">
        <v>1415</v>
      </c>
      <c r="B125" s="46"/>
      <c r="C125" s="48" t="s">
        <v>747</v>
      </c>
      <c r="D125" s="367"/>
    </row>
    <row r="126" spans="1:4" x14ac:dyDescent="0.2">
      <c r="A126" s="16" t="s">
        <v>276</v>
      </c>
      <c r="B126" s="46">
        <v>613</v>
      </c>
      <c r="C126" s="49" t="s">
        <v>354</v>
      </c>
      <c r="D126" s="1"/>
    </row>
    <row r="127" spans="1:4" x14ac:dyDescent="0.2">
      <c r="A127" s="16" t="s">
        <v>294</v>
      </c>
      <c r="B127" s="46">
        <v>617</v>
      </c>
      <c r="C127" s="48" t="s">
        <v>361</v>
      </c>
      <c r="D127" s="1"/>
    </row>
    <row r="128" spans="1:4" x14ac:dyDescent="0.2">
      <c r="A128" s="16" t="s">
        <v>295</v>
      </c>
      <c r="B128" s="46">
        <v>619</v>
      </c>
      <c r="C128" s="48" t="s">
        <v>360</v>
      </c>
      <c r="D128" s="1"/>
    </row>
    <row r="129" spans="1:4" x14ac:dyDescent="0.2">
      <c r="A129" s="16" t="s">
        <v>296</v>
      </c>
      <c r="B129" s="46">
        <v>615</v>
      </c>
      <c r="C129" s="49" t="s">
        <v>354</v>
      </c>
      <c r="D129" s="1"/>
    </row>
    <row r="130" spans="1:4" x14ac:dyDescent="0.2">
      <c r="A130" s="16" t="s">
        <v>215</v>
      </c>
      <c r="B130" s="46">
        <v>609</v>
      </c>
      <c r="C130" s="48" t="s">
        <v>325</v>
      </c>
      <c r="D130" s="1"/>
    </row>
    <row r="131" spans="1:4" x14ac:dyDescent="0.2">
      <c r="A131" s="49" t="s">
        <v>319</v>
      </c>
      <c r="B131" s="46">
        <v>619</v>
      </c>
      <c r="C131" s="49" t="s">
        <v>366</v>
      </c>
      <c r="D131" s="1"/>
    </row>
    <row r="132" spans="1:4" x14ac:dyDescent="0.2">
      <c r="A132" s="16" t="s">
        <v>239</v>
      </c>
      <c r="B132" s="46">
        <v>618</v>
      </c>
      <c r="C132" s="48" t="s">
        <v>343</v>
      </c>
      <c r="D132" s="1"/>
    </row>
    <row r="133" spans="1:4" x14ac:dyDescent="0.2">
      <c r="A133" s="218" t="s">
        <v>320</v>
      </c>
      <c r="B133" s="219">
        <v>615</v>
      </c>
      <c r="C133" s="50" t="s">
        <v>328</v>
      </c>
      <c r="D133" s="1"/>
    </row>
    <row r="134" spans="1:4" x14ac:dyDescent="0.2">
      <c r="A134" s="16" t="s">
        <v>297</v>
      </c>
      <c r="B134" s="46">
        <v>617</v>
      </c>
      <c r="C134" s="48" t="s">
        <v>361</v>
      </c>
      <c r="D134" s="1"/>
    </row>
    <row r="135" spans="1:4" x14ac:dyDescent="0.2">
      <c r="A135" s="16" t="s">
        <v>273</v>
      </c>
      <c r="B135" s="46">
        <v>314</v>
      </c>
      <c r="C135" s="49" t="s">
        <v>367</v>
      </c>
      <c r="D135" s="1"/>
    </row>
    <row r="136" spans="1:4" x14ac:dyDescent="0.2">
      <c r="A136" s="16" t="s">
        <v>243</v>
      </c>
      <c r="B136" s="46">
        <v>620</v>
      </c>
      <c r="C136" s="48" t="s">
        <v>348</v>
      </c>
      <c r="D136" s="1"/>
    </row>
    <row r="137" spans="1:4" x14ac:dyDescent="0.2">
      <c r="A137" s="220" t="s">
        <v>240</v>
      </c>
      <c r="B137" s="46">
        <v>619</v>
      </c>
      <c r="C137" s="48" t="s">
        <v>344</v>
      </c>
      <c r="D137" s="1"/>
    </row>
    <row r="138" spans="1:4" x14ac:dyDescent="0.2">
      <c r="A138" s="16" t="s">
        <v>227</v>
      </c>
      <c r="B138" s="47">
        <v>615</v>
      </c>
      <c r="C138" s="51" t="s">
        <v>331</v>
      </c>
      <c r="D138" s="1"/>
    </row>
    <row r="139" spans="1:4" x14ac:dyDescent="0.2">
      <c r="A139" s="16" t="s">
        <v>264</v>
      </c>
      <c r="B139" s="46">
        <v>611</v>
      </c>
      <c r="C139" s="48" t="s">
        <v>365</v>
      </c>
      <c r="D139" s="1"/>
    </row>
    <row r="140" spans="1:4" x14ac:dyDescent="0.2">
      <c r="A140" s="16" t="s">
        <v>233</v>
      </c>
      <c r="B140" s="46">
        <v>310</v>
      </c>
      <c r="C140" s="48" t="s">
        <v>339</v>
      </c>
      <c r="D140" s="1"/>
    </row>
    <row r="141" spans="1:4" x14ac:dyDescent="0.2">
      <c r="A141" s="16" t="s">
        <v>277</v>
      </c>
      <c r="B141" s="46">
        <v>308</v>
      </c>
      <c r="C141" s="48" t="s">
        <v>369</v>
      </c>
      <c r="D141" s="1"/>
    </row>
    <row r="142" spans="1:4" x14ac:dyDescent="0.2">
      <c r="A142" s="16" t="s">
        <v>216</v>
      </c>
      <c r="B142" s="46">
        <v>613</v>
      </c>
      <c r="C142" s="48" t="s">
        <v>326</v>
      </c>
      <c r="D142" s="1"/>
    </row>
    <row r="143" spans="1:4" x14ac:dyDescent="0.2">
      <c r="A143" s="16" t="s">
        <v>231</v>
      </c>
      <c r="B143" s="46" t="s">
        <v>336</v>
      </c>
      <c r="C143" s="48" t="s">
        <v>337</v>
      </c>
      <c r="D143" s="1"/>
    </row>
    <row r="144" spans="1:4" x14ac:dyDescent="0.2">
      <c r="A144" s="16" t="s">
        <v>298</v>
      </c>
      <c r="B144" s="46">
        <v>615</v>
      </c>
      <c r="C144" s="48" t="s">
        <v>354</v>
      </c>
      <c r="D144" s="1"/>
    </row>
    <row r="145" spans="1:4" x14ac:dyDescent="0.2">
      <c r="A145" s="16" t="s">
        <v>278</v>
      </c>
      <c r="B145" s="46">
        <v>619</v>
      </c>
      <c r="C145" s="48" t="s">
        <v>360</v>
      </c>
      <c r="D145" s="1"/>
    </row>
    <row r="146" spans="1:4" x14ac:dyDescent="0.2">
      <c r="A146" s="16" t="s">
        <v>244</v>
      </c>
      <c r="B146" s="46" t="s">
        <v>333</v>
      </c>
      <c r="C146" s="49" t="s">
        <v>349</v>
      </c>
      <c r="D146" s="1"/>
    </row>
    <row r="147" spans="1:4" x14ac:dyDescent="0.2">
      <c r="A147" s="16" t="s">
        <v>279</v>
      </c>
      <c r="B147" s="46">
        <v>607</v>
      </c>
      <c r="C147" s="49" t="s">
        <v>370</v>
      </c>
      <c r="D147" s="1"/>
    </row>
    <row r="148" spans="1:4" x14ac:dyDescent="0.2">
      <c r="A148" s="16" t="s">
        <v>280</v>
      </c>
      <c r="B148" s="46">
        <v>615</v>
      </c>
      <c r="C148" s="48" t="s">
        <v>354</v>
      </c>
      <c r="D148" s="1"/>
    </row>
    <row r="149" spans="1:4" x14ac:dyDescent="0.2">
      <c r="A149" s="16" t="s">
        <v>217</v>
      </c>
      <c r="B149" s="46">
        <v>612</v>
      </c>
      <c r="C149" s="48" t="s">
        <v>326</v>
      </c>
      <c r="D149" s="1"/>
    </row>
    <row r="150" spans="1:4" x14ac:dyDescent="0.2">
      <c r="A150" s="16" t="s">
        <v>234</v>
      </c>
      <c r="B150" s="46">
        <v>313</v>
      </c>
      <c r="C150" s="48" t="s">
        <v>340</v>
      </c>
      <c r="D150" s="1"/>
    </row>
    <row r="151" spans="1:4" x14ac:dyDescent="0.2">
      <c r="A151" s="16" t="s">
        <v>299</v>
      </c>
      <c r="B151" s="46">
        <v>615</v>
      </c>
      <c r="C151" s="48" t="s">
        <v>354</v>
      </c>
      <c r="D151" s="1"/>
    </row>
    <row r="152" spans="1:4" x14ac:dyDescent="0.2">
      <c r="A152" s="16" t="s">
        <v>300</v>
      </c>
      <c r="B152" s="46">
        <v>615</v>
      </c>
      <c r="C152" s="48" t="s">
        <v>354</v>
      </c>
      <c r="D152" s="1"/>
    </row>
    <row r="153" spans="1:4" x14ac:dyDescent="0.2">
      <c r="A153" s="49" t="s">
        <v>228</v>
      </c>
      <c r="B153" s="46">
        <v>613</v>
      </c>
      <c r="C153" s="48" t="s">
        <v>332</v>
      </c>
      <c r="D153" s="1"/>
    </row>
    <row r="154" spans="1:4" x14ac:dyDescent="0.2">
      <c r="A154" s="16" t="s">
        <v>256</v>
      </c>
      <c r="B154" s="46">
        <v>615</v>
      </c>
      <c r="C154" s="48" t="s">
        <v>354</v>
      </c>
      <c r="D154" s="1"/>
    </row>
    <row r="155" spans="1:4" s="432" customFormat="1" x14ac:dyDescent="0.2">
      <c r="A155" s="656" t="s">
        <v>1416</v>
      </c>
      <c r="B155" s="46"/>
      <c r="C155" s="48" t="s">
        <v>747</v>
      </c>
      <c r="D155" s="367"/>
    </row>
    <row r="156" spans="1:4" x14ac:dyDescent="0.2">
      <c r="A156" s="221" t="s">
        <v>261</v>
      </c>
      <c r="B156" s="222">
        <v>615</v>
      </c>
      <c r="C156" s="52" t="s">
        <v>363</v>
      </c>
      <c r="D156" s="1"/>
    </row>
    <row r="157" spans="1:4" x14ac:dyDescent="0.2">
      <c r="A157" s="16" t="s">
        <v>281</v>
      </c>
      <c r="B157" s="46">
        <v>615</v>
      </c>
      <c r="C157" s="48" t="s">
        <v>354</v>
      </c>
      <c r="D157" s="1"/>
    </row>
    <row r="158" spans="1:4" x14ac:dyDescent="0.2">
      <c r="A158" s="16" t="s">
        <v>301</v>
      </c>
      <c r="B158" s="46">
        <v>622</v>
      </c>
      <c r="C158" s="48" t="s">
        <v>373</v>
      </c>
      <c r="D158" s="1"/>
    </row>
    <row r="159" spans="1:4" x14ac:dyDescent="0.2">
      <c r="A159" s="16" t="s">
        <v>748</v>
      </c>
      <c r="B159" s="46"/>
      <c r="C159" s="48" t="s">
        <v>747</v>
      </c>
      <c r="D159" s="1"/>
    </row>
    <row r="160" spans="1:4" x14ac:dyDescent="0.2">
      <c r="A160" s="16" t="s">
        <v>311</v>
      </c>
      <c r="B160" s="46">
        <v>615</v>
      </c>
      <c r="C160" s="48" t="s">
        <v>354</v>
      </c>
      <c r="D160" s="1"/>
    </row>
    <row r="161" spans="1:4" x14ac:dyDescent="0.2">
      <c r="A161" s="16" t="s">
        <v>257</v>
      </c>
      <c r="B161" s="46">
        <v>617</v>
      </c>
      <c r="C161" s="48" t="s">
        <v>360</v>
      </c>
      <c r="D161" s="1"/>
    </row>
    <row r="162" spans="1:4" x14ac:dyDescent="0.2">
      <c r="A162" s="625" t="s">
        <v>749</v>
      </c>
      <c r="B162" s="46"/>
      <c r="C162" s="48" t="s">
        <v>747</v>
      </c>
      <c r="D162" s="1"/>
    </row>
    <row r="163" spans="1:4" x14ac:dyDescent="0.2">
      <c r="A163" s="16" t="s">
        <v>218</v>
      </c>
      <c r="B163" s="46">
        <v>618</v>
      </c>
      <c r="C163" s="48" t="s">
        <v>324</v>
      </c>
      <c r="D163" s="1"/>
    </row>
    <row r="164" spans="1:4" x14ac:dyDescent="0.2">
      <c r="A164" s="16" t="s">
        <v>247</v>
      </c>
      <c r="B164" s="46">
        <v>605</v>
      </c>
      <c r="C164" s="48" t="s">
        <v>350</v>
      </c>
      <c r="D164" s="1"/>
    </row>
    <row r="165" spans="1:4" x14ac:dyDescent="0.2">
      <c r="A165" s="16" t="s">
        <v>265</v>
      </c>
      <c r="B165" s="46">
        <v>615</v>
      </c>
      <c r="C165" s="48" t="s">
        <v>354</v>
      </c>
      <c r="D165" s="1"/>
    </row>
    <row r="166" spans="1:4" x14ac:dyDescent="0.2">
      <c r="A166" s="626" t="s">
        <v>245</v>
      </c>
      <c r="B166" s="46">
        <v>620</v>
      </c>
      <c r="C166" s="48" t="s">
        <v>348</v>
      </c>
      <c r="D166" s="1"/>
    </row>
    <row r="167" spans="1:4" x14ac:dyDescent="0.2">
      <c r="A167" s="16" t="s">
        <v>302</v>
      </c>
      <c r="B167" s="46">
        <v>615</v>
      </c>
      <c r="C167" s="48" t="s">
        <v>354</v>
      </c>
      <c r="D167" s="1"/>
    </row>
    <row r="168" spans="1:4" x14ac:dyDescent="0.2">
      <c r="A168" s="625" t="s">
        <v>303</v>
      </c>
      <c r="B168" s="46">
        <v>615</v>
      </c>
      <c r="C168" s="48" t="s">
        <v>354</v>
      </c>
      <c r="D168" s="1"/>
    </row>
    <row r="169" spans="1:4" x14ac:dyDescent="0.2">
      <c r="A169" s="16" t="s">
        <v>282</v>
      </c>
      <c r="B169" s="46">
        <v>612</v>
      </c>
      <c r="C169" s="48" t="s">
        <v>362</v>
      </c>
      <c r="D169" s="1"/>
    </row>
    <row r="170" spans="1:4" x14ac:dyDescent="0.2">
      <c r="A170" s="16" t="s">
        <v>219</v>
      </c>
      <c r="B170" s="46">
        <v>623</v>
      </c>
      <c r="C170" s="49" t="s">
        <v>327</v>
      </c>
      <c r="D170" s="1"/>
    </row>
    <row r="171" spans="1:4" x14ac:dyDescent="0.2">
      <c r="A171" s="16" t="s">
        <v>251</v>
      </c>
      <c r="B171" s="46">
        <v>615</v>
      </c>
      <c r="C171" s="48" t="s">
        <v>354</v>
      </c>
      <c r="D171" s="1"/>
    </row>
    <row r="172" spans="1:4" x14ac:dyDescent="0.2">
      <c r="A172" s="16" t="s">
        <v>304</v>
      </c>
      <c r="B172" s="46">
        <v>615</v>
      </c>
      <c r="C172" s="48" t="s">
        <v>354</v>
      </c>
      <c r="D172" s="1"/>
    </row>
    <row r="173" spans="1:4" x14ac:dyDescent="0.2">
      <c r="A173" s="16" t="s">
        <v>258</v>
      </c>
      <c r="B173" s="46">
        <v>615</v>
      </c>
      <c r="C173" s="48" t="s">
        <v>354</v>
      </c>
      <c r="D173" s="1"/>
    </row>
    <row r="174" spans="1:4" x14ac:dyDescent="0.2">
      <c r="A174" s="16" t="s">
        <v>274</v>
      </c>
      <c r="B174" s="46">
        <v>612</v>
      </c>
      <c r="C174" s="48" t="s">
        <v>354</v>
      </c>
      <c r="D174" s="1"/>
    </row>
    <row r="175" spans="1:4" x14ac:dyDescent="0.2">
      <c r="A175" s="16" t="s">
        <v>312</v>
      </c>
      <c r="B175" s="46">
        <v>617</v>
      </c>
      <c r="C175" s="48" t="s">
        <v>361</v>
      </c>
      <c r="D175" s="1"/>
    </row>
    <row r="176" spans="1:4" x14ac:dyDescent="0.2">
      <c r="A176" s="16" t="s">
        <v>313</v>
      </c>
      <c r="B176" s="46">
        <v>615</v>
      </c>
      <c r="C176" s="48" t="s">
        <v>354</v>
      </c>
      <c r="D176" s="1"/>
    </row>
    <row r="177" spans="1:4" x14ac:dyDescent="0.2">
      <c r="A177" s="16" t="s">
        <v>314</v>
      </c>
      <c r="B177" s="46">
        <v>619</v>
      </c>
      <c r="C177" s="48" t="s">
        <v>360</v>
      </c>
      <c r="D177" s="1"/>
    </row>
    <row r="178" spans="1:4" x14ac:dyDescent="0.2">
      <c r="A178" s="626" t="s">
        <v>235</v>
      </c>
      <c r="B178" s="46">
        <v>315</v>
      </c>
      <c r="C178" s="48" t="s">
        <v>341</v>
      </c>
      <c r="D178" s="1"/>
    </row>
    <row r="179" spans="1:4" x14ac:dyDescent="0.2">
      <c r="A179" s="16" t="s">
        <v>283</v>
      </c>
      <c r="B179" s="46">
        <v>619</v>
      </c>
      <c r="C179" s="49" t="s">
        <v>360</v>
      </c>
      <c r="D179" s="1"/>
    </row>
    <row r="180" spans="1:4" x14ac:dyDescent="0.2">
      <c r="A180" s="49" t="s">
        <v>236</v>
      </c>
      <c r="B180" s="46">
        <v>312</v>
      </c>
      <c r="C180" s="48" t="s">
        <v>340</v>
      </c>
      <c r="D180" s="1"/>
    </row>
    <row r="181" spans="1:4" x14ac:dyDescent="0.2">
      <c r="A181" s="16" t="s">
        <v>284</v>
      </c>
      <c r="B181" s="46">
        <v>615</v>
      </c>
      <c r="C181" s="48" t="s">
        <v>354</v>
      </c>
      <c r="D181" s="1"/>
    </row>
    <row r="182" spans="1:4" x14ac:dyDescent="0.2">
      <c r="A182" s="16" t="s">
        <v>305</v>
      </c>
      <c r="B182" s="46">
        <v>617</v>
      </c>
      <c r="C182" s="48" t="s">
        <v>361</v>
      </c>
      <c r="D182" s="1"/>
    </row>
    <row r="183" spans="1:4" x14ac:dyDescent="0.2">
      <c r="A183" s="49" t="s">
        <v>285</v>
      </c>
      <c r="B183" s="46">
        <v>615</v>
      </c>
      <c r="C183" s="48" t="s">
        <v>354</v>
      </c>
      <c r="D183" s="1"/>
    </row>
    <row r="184" spans="1:4" x14ac:dyDescent="0.2">
      <c r="A184" s="16" t="s">
        <v>253</v>
      </c>
      <c r="B184" s="46">
        <v>613</v>
      </c>
      <c r="C184" s="48" t="s">
        <v>358</v>
      </c>
      <c r="D184" s="1"/>
    </row>
    <row r="185" spans="1:4" x14ac:dyDescent="0.2">
      <c r="A185" s="220" t="s">
        <v>262</v>
      </c>
      <c r="B185" s="46">
        <v>618</v>
      </c>
      <c r="C185" s="48" t="s">
        <v>363</v>
      </c>
      <c r="D185" s="1"/>
    </row>
    <row r="186" spans="1:4" x14ac:dyDescent="0.2">
      <c r="A186" s="16" t="s">
        <v>266</v>
      </c>
      <c r="B186" s="46">
        <v>615</v>
      </c>
      <c r="C186" s="48" t="s">
        <v>354</v>
      </c>
      <c r="D186" s="1"/>
    </row>
    <row r="187" spans="1:4" s="432" customFormat="1" x14ac:dyDescent="0.2">
      <c r="A187" s="656" t="s">
        <v>1417</v>
      </c>
      <c r="B187" s="46"/>
      <c r="C187" s="48" t="s">
        <v>747</v>
      </c>
      <c r="D187" s="367"/>
    </row>
    <row r="188" spans="1:4" x14ac:dyDescent="0.2">
      <c r="A188" s="16" t="s">
        <v>286</v>
      </c>
      <c r="B188" s="46">
        <v>623</v>
      </c>
      <c r="C188" s="49" t="s">
        <v>327</v>
      </c>
      <c r="D188" s="1"/>
    </row>
    <row r="189" spans="1:4" x14ac:dyDescent="0.2">
      <c r="A189" s="16" t="s">
        <v>287</v>
      </c>
      <c r="B189" s="46">
        <v>614</v>
      </c>
      <c r="C189" s="48" t="s">
        <v>371</v>
      </c>
      <c r="D189" s="1"/>
    </row>
    <row r="190" spans="1:4" x14ac:dyDescent="0.2">
      <c r="A190" s="16" t="s">
        <v>750</v>
      </c>
      <c r="B190" s="46"/>
      <c r="C190" s="48" t="s">
        <v>747</v>
      </c>
      <c r="D190" s="1"/>
    </row>
    <row r="191" spans="1:4" x14ac:dyDescent="0.2">
      <c r="A191" s="16" t="s">
        <v>241</v>
      </c>
      <c r="B191" s="46">
        <v>615</v>
      </c>
      <c r="C191" s="48" t="s">
        <v>345</v>
      </c>
      <c r="D191" s="1"/>
    </row>
    <row r="192" spans="1:4" x14ac:dyDescent="0.2">
      <c r="A192" s="16" t="s">
        <v>242</v>
      </c>
      <c r="B192" s="46">
        <v>622</v>
      </c>
      <c r="C192" s="48" t="s">
        <v>346</v>
      </c>
      <c r="D192" s="1"/>
    </row>
    <row r="193" spans="1:4" x14ac:dyDescent="0.2">
      <c r="A193" s="16" t="s">
        <v>220</v>
      </c>
      <c r="B193" s="46">
        <v>618</v>
      </c>
      <c r="C193" s="48" t="s">
        <v>324</v>
      </c>
      <c r="D193" s="1"/>
    </row>
    <row r="194" spans="1:4" x14ac:dyDescent="0.2">
      <c r="A194" s="16" t="s">
        <v>306</v>
      </c>
      <c r="B194" s="46">
        <v>617</v>
      </c>
      <c r="C194" s="48" t="s">
        <v>361</v>
      </c>
      <c r="D194" s="1"/>
    </row>
    <row r="195" spans="1:4" x14ac:dyDescent="0.2">
      <c r="A195" s="16" t="s">
        <v>267</v>
      </c>
      <c r="B195" s="46">
        <v>615</v>
      </c>
      <c r="C195" s="48" t="s">
        <v>354</v>
      </c>
      <c r="D195" s="1"/>
    </row>
    <row r="196" spans="1:4" x14ac:dyDescent="0.2">
      <c r="A196" s="49" t="s">
        <v>237</v>
      </c>
      <c r="B196" s="46">
        <v>312</v>
      </c>
      <c r="C196" s="48" t="s">
        <v>342</v>
      </c>
      <c r="D196" s="1"/>
    </row>
    <row r="197" spans="1:4" x14ac:dyDescent="0.2">
      <c r="A197" s="16" t="s">
        <v>307</v>
      </c>
      <c r="B197" s="46">
        <v>619</v>
      </c>
      <c r="C197" s="48" t="s">
        <v>360</v>
      </c>
      <c r="D197" s="1"/>
    </row>
    <row r="198" spans="1:4" x14ac:dyDescent="0.2">
      <c r="A198" s="16" t="s">
        <v>268</v>
      </c>
      <c r="B198" s="46">
        <v>615</v>
      </c>
      <c r="C198" s="48" t="s">
        <v>354</v>
      </c>
      <c r="D198" s="1"/>
    </row>
    <row r="199" spans="1:4" x14ac:dyDescent="0.2">
      <c r="A199" s="16" t="s">
        <v>315</v>
      </c>
      <c r="B199" s="46">
        <v>612</v>
      </c>
      <c r="C199" s="48" t="s">
        <v>354</v>
      </c>
      <c r="D199" s="1"/>
    </row>
    <row r="200" spans="1:4" x14ac:dyDescent="0.2">
      <c r="A200" s="625" t="s">
        <v>254</v>
      </c>
      <c r="B200" s="46" t="s">
        <v>333</v>
      </c>
      <c r="C200" s="48" t="s">
        <v>347</v>
      </c>
      <c r="D200" s="1"/>
    </row>
    <row r="201" spans="1:4" x14ac:dyDescent="0.2">
      <c r="A201" s="16" t="s">
        <v>263</v>
      </c>
      <c r="B201" s="46">
        <v>617</v>
      </c>
      <c r="C201" s="48" t="s">
        <v>364</v>
      </c>
      <c r="D201" s="1"/>
    </row>
    <row r="202" spans="1:4" x14ac:dyDescent="0.2">
      <c r="A202" s="16" t="s">
        <v>269</v>
      </c>
      <c r="B202" s="46">
        <v>615</v>
      </c>
      <c r="C202" s="48" t="s">
        <v>354</v>
      </c>
      <c r="D202" s="1"/>
    </row>
    <row r="203" spans="1:4" x14ac:dyDescent="0.2">
      <c r="A203" s="16" t="s">
        <v>793</v>
      </c>
      <c r="B203" s="46" t="s">
        <v>355</v>
      </c>
      <c r="C203" s="48" t="s">
        <v>356</v>
      </c>
      <c r="D203" s="1"/>
    </row>
    <row r="204" spans="1:4" x14ac:dyDescent="0.2">
      <c r="A204" s="16" t="s">
        <v>255</v>
      </c>
      <c r="B204" s="46">
        <v>618</v>
      </c>
      <c r="C204" s="48" t="s">
        <v>359</v>
      </c>
      <c r="D204" s="1"/>
    </row>
    <row r="205" spans="1:4" x14ac:dyDescent="0.2">
      <c r="A205" s="16" t="s">
        <v>288</v>
      </c>
      <c r="B205" s="46" t="s">
        <v>333</v>
      </c>
      <c r="C205" s="48" t="s">
        <v>347</v>
      </c>
      <c r="D205" s="1"/>
    </row>
    <row r="206" spans="1:4" x14ac:dyDescent="0.2">
      <c r="A206" s="16" t="s">
        <v>289</v>
      </c>
      <c r="B206" s="46" t="s">
        <v>333</v>
      </c>
      <c r="C206" s="48" t="s">
        <v>347</v>
      </c>
      <c r="D206" s="1"/>
    </row>
    <row r="207" spans="1:4" x14ac:dyDescent="0.2">
      <c r="A207" s="16" t="s">
        <v>316</v>
      </c>
      <c r="B207" s="46">
        <v>615</v>
      </c>
      <c r="C207" s="48" t="s">
        <v>354</v>
      </c>
      <c r="D207" s="1"/>
    </row>
    <row r="208" spans="1:4" x14ac:dyDescent="0.2">
      <c r="A208" s="16" t="s">
        <v>317</v>
      </c>
      <c r="B208" s="46">
        <v>615</v>
      </c>
      <c r="C208" s="48" t="s">
        <v>354</v>
      </c>
      <c r="D208" s="1"/>
    </row>
    <row r="209" spans="1:4" x14ac:dyDescent="0.2">
      <c r="A209" s="16" t="s">
        <v>259</v>
      </c>
      <c r="B209" s="46">
        <v>617</v>
      </c>
      <c r="C209" s="48" t="s">
        <v>361</v>
      </c>
      <c r="D209" s="1"/>
    </row>
    <row r="210" spans="1:4" x14ac:dyDescent="0.2">
      <c r="A210" s="16" t="s">
        <v>318</v>
      </c>
      <c r="B210" s="46">
        <v>615</v>
      </c>
      <c r="C210" s="48" t="s">
        <v>354</v>
      </c>
      <c r="D210" s="1"/>
    </row>
    <row r="211" spans="1:4" x14ac:dyDescent="0.2">
      <c r="A211" s="16" t="s">
        <v>248</v>
      </c>
      <c r="B211" s="46">
        <v>609</v>
      </c>
      <c r="C211" s="48" t="s">
        <v>325</v>
      </c>
      <c r="D211" s="1"/>
    </row>
    <row r="212" spans="1:4" x14ac:dyDescent="0.2">
      <c r="A212" s="16" t="s">
        <v>270</v>
      </c>
      <c r="B212" s="46">
        <v>609</v>
      </c>
      <c r="C212" s="48" t="s">
        <v>325</v>
      </c>
      <c r="D212" s="1"/>
    </row>
    <row r="213" spans="1:4" x14ac:dyDescent="0.2">
      <c r="A213" s="16" t="s">
        <v>321</v>
      </c>
      <c r="B213" s="46">
        <v>615</v>
      </c>
      <c r="C213" s="49" t="s">
        <v>354</v>
      </c>
      <c r="D213" s="1"/>
    </row>
    <row r="214" spans="1:4" x14ac:dyDescent="0.2">
      <c r="A214" s="16" t="s">
        <v>221</v>
      </c>
      <c r="B214" s="46">
        <v>615</v>
      </c>
      <c r="C214" s="48" t="s">
        <v>328</v>
      </c>
      <c r="D214" s="1"/>
    </row>
    <row r="215" spans="1:4" s="432" customFormat="1" x14ac:dyDescent="0.2">
      <c r="A215" s="656" t="s">
        <v>1418</v>
      </c>
      <c r="B215" s="46"/>
      <c r="C215" s="48" t="s">
        <v>747</v>
      </c>
      <c r="D215" s="367"/>
    </row>
    <row r="216" spans="1:4" x14ac:dyDescent="0.2">
      <c r="A216" s="16" t="s">
        <v>724</v>
      </c>
      <c r="B216" s="46"/>
      <c r="C216" s="48"/>
      <c r="D216" s="1"/>
    </row>
    <row r="217" spans="1:4" x14ac:dyDescent="0.2">
      <c r="A217" s="16" t="s">
        <v>249</v>
      </c>
      <c r="B217" s="46" t="s">
        <v>351</v>
      </c>
      <c r="C217" s="48" t="s">
        <v>352</v>
      </c>
      <c r="D217" s="1"/>
    </row>
    <row r="218" spans="1:4" x14ac:dyDescent="0.2">
      <c r="A218" s="625" t="s">
        <v>751</v>
      </c>
      <c r="B218" s="46"/>
      <c r="C218" s="48" t="s">
        <v>747</v>
      </c>
      <c r="D218" s="1"/>
    </row>
    <row r="219" spans="1:4" x14ac:dyDescent="0.2">
      <c r="A219" s="16" t="s">
        <v>222</v>
      </c>
      <c r="B219" s="46">
        <v>615</v>
      </c>
      <c r="C219" s="48" t="s">
        <v>328</v>
      </c>
      <c r="D219" s="1"/>
    </row>
    <row r="220" spans="1:4" x14ac:dyDescent="0.2">
      <c r="A220" s="16" t="s">
        <v>223</v>
      </c>
      <c r="B220" s="46">
        <v>615</v>
      </c>
      <c r="C220" s="48" t="s">
        <v>328</v>
      </c>
      <c r="D220" s="1"/>
    </row>
    <row r="221" spans="1:4" x14ac:dyDescent="0.2">
      <c r="A221" s="16" t="s">
        <v>322</v>
      </c>
      <c r="B221" s="46">
        <v>619</v>
      </c>
      <c r="C221" s="49" t="s">
        <v>360</v>
      </c>
      <c r="D221" s="1"/>
    </row>
    <row r="222" spans="1:4" x14ac:dyDescent="0.2">
      <c r="A222" s="16" t="s">
        <v>308</v>
      </c>
      <c r="B222" s="46">
        <v>618</v>
      </c>
      <c r="C222" s="48" t="s">
        <v>372</v>
      </c>
      <c r="D222" s="1"/>
    </row>
    <row r="223" spans="1:4" x14ac:dyDescent="0.2">
      <c r="A223" s="16" t="s">
        <v>260</v>
      </c>
      <c r="B223" s="46">
        <v>612</v>
      </c>
      <c r="C223" s="48" t="s">
        <v>362</v>
      </c>
      <c r="D223" s="1"/>
    </row>
    <row r="224" spans="1:4" x14ac:dyDescent="0.2">
      <c r="A224" s="16" t="s">
        <v>290</v>
      </c>
      <c r="B224" s="46">
        <v>611</v>
      </c>
      <c r="C224" s="49" t="s">
        <v>365</v>
      </c>
      <c r="D224" s="1"/>
    </row>
    <row r="225" spans="1:4" x14ac:dyDescent="0.2">
      <c r="A225" s="625" t="s">
        <v>752</v>
      </c>
      <c r="B225" s="46"/>
      <c r="C225" s="48" t="s">
        <v>747</v>
      </c>
      <c r="D225" s="1"/>
    </row>
    <row r="226" spans="1:4" s="432" customFormat="1" x14ac:dyDescent="0.2">
      <c r="A226" s="656" t="s">
        <v>1419</v>
      </c>
      <c r="B226" s="46"/>
      <c r="C226" s="48" t="s">
        <v>747</v>
      </c>
      <c r="D226" s="367"/>
    </row>
    <row r="227" spans="1:4" x14ac:dyDescent="0.2">
      <c r="A227" s="16" t="s">
        <v>323</v>
      </c>
      <c r="B227" s="46">
        <v>611</v>
      </c>
      <c r="C227" s="49" t="s">
        <v>365</v>
      </c>
      <c r="D227" s="1"/>
    </row>
    <row r="228" spans="1:4" x14ac:dyDescent="0.2">
      <c r="A228" s="49" t="s">
        <v>246</v>
      </c>
      <c r="B228" s="46">
        <v>620</v>
      </c>
      <c r="C228" s="48" t="s">
        <v>348</v>
      </c>
      <c r="D228" s="1"/>
    </row>
    <row r="229" spans="1:4" x14ac:dyDescent="0.2">
      <c r="A229" s="16" t="s">
        <v>291</v>
      </c>
      <c r="B229" s="46">
        <v>622</v>
      </c>
      <c r="C229" s="49" t="s">
        <v>366</v>
      </c>
      <c r="D229" s="1"/>
    </row>
    <row r="230" spans="1:4" x14ac:dyDescent="0.2">
      <c r="A230" s="625" t="s">
        <v>229</v>
      </c>
      <c r="B230" s="46" t="s">
        <v>333</v>
      </c>
      <c r="C230" s="49" t="s">
        <v>334</v>
      </c>
      <c r="D230" s="1"/>
    </row>
    <row r="231" spans="1:4" x14ac:dyDescent="0.2">
      <c r="A231" s="16" t="s">
        <v>224</v>
      </c>
      <c r="B231" s="46">
        <v>612</v>
      </c>
      <c r="C231" s="48" t="s">
        <v>329</v>
      </c>
      <c r="D231" s="1"/>
    </row>
    <row r="232" spans="1:4" x14ac:dyDescent="0.2">
      <c r="A232" s="625" t="s">
        <v>252</v>
      </c>
      <c r="B232" s="46" t="s">
        <v>333</v>
      </c>
      <c r="C232" s="49" t="s">
        <v>357</v>
      </c>
      <c r="D232" s="1"/>
    </row>
    <row r="233" spans="1:4" x14ac:dyDescent="0.2">
      <c r="A233" s="16" t="s">
        <v>5</v>
      </c>
      <c r="B233" s="46"/>
      <c r="C233" s="49"/>
      <c r="D233" s="1"/>
    </row>
    <row r="234" spans="1:4" s="432" customFormat="1" x14ac:dyDescent="0.2">
      <c r="A234" s="656" t="s">
        <v>1420</v>
      </c>
      <c r="B234" s="46"/>
      <c r="C234" s="49" t="s">
        <v>747</v>
      </c>
      <c r="D234" s="367"/>
    </row>
    <row r="235" spans="1:4" x14ac:dyDescent="0.2">
      <c r="A235" s="16" t="s">
        <v>272</v>
      </c>
      <c r="B235" s="46">
        <v>622</v>
      </c>
      <c r="C235" s="48" t="s">
        <v>366</v>
      </c>
      <c r="D235" s="1"/>
    </row>
    <row r="236" spans="1:4" x14ac:dyDescent="0.2">
      <c r="A236" s="16" t="s">
        <v>275</v>
      </c>
      <c r="B236" s="46">
        <v>619</v>
      </c>
      <c r="C236" s="48" t="s">
        <v>368</v>
      </c>
      <c r="D236" s="1"/>
    </row>
    <row r="237" spans="1:4" x14ac:dyDescent="0.2">
      <c r="A237" s="16" t="s">
        <v>292</v>
      </c>
      <c r="B237" s="46">
        <v>618</v>
      </c>
      <c r="C237" s="48" t="s">
        <v>372</v>
      </c>
      <c r="D237" s="1"/>
    </row>
    <row r="238" spans="1:4" x14ac:dyDescent="0.2">
      <c r="A238" s="49" t="s">
        <v>309</v>
      </c>
      <c r="B238" s="46">
        <v>622</v>
      </c>
      <c r="C238" s="48" t="s">
        <v>366</v>
      </c>
      <c r="D238" s="1"/>
    </row>
    <row r="239" spans="1:4" x14ac:dyDescent="0.2">
      <c r="A239" s="223" t="s">
        <v>250</v>
      </c>
      <c r="B239" s="46">
        <v>618</v>
      </c>
      <c r="C239" s="48" t="s">
        <v>353</v>
      </c>
      <c r="D239" s="1"/>
    </row>
    <row r="240" spans="1:4" x14ac:dyDescent="0.2">
      <c r="A240" s="16" t="s">
        <v>310</v>
      </c>
      <c r="B240" s="46">
        <v>613</v>
      </c>
      <c r="C240" s="48" t="s">
        <v>354</v>
      </c>
      <c r="D240" s="1"/>
    </row>
    <row r="241" spans="1:4" x14ac:dyDescent="0.2">
      <c r="A241" s="16" t="s">
        <v>238</v>
      </c>
      <c r="B241" s="46">
        <v>312</v>
      </c>
      <c r="C241" s="48" t="s">
        <v>342</v>
      </c>
      <c r="D241" s="1"/>
    </row>
    <row r="242" spans="1:4" x14ac:dyDescent="0.2">
      <c r="A242" s="16" t="s">
        <v>225</v>
      </c>
      <c r="B242" s="46">
        <v>615</v>
      </c>
      <c r="C242" s="48" t="s">
        <v>328</v>
      </c>
      <c r="D242" s="1"/>
    </row>
    <row r="243" spans="1:4" x14ac:dyDescent="0.2">
      <c r="A243" s="16" t="s">
        <v>293</v>
      </c>
      <c r="B243" s="46">
        <v>612</v>
      </c>
      <c r="C243" s="48" t="s">
        <v>362</v>
      </c>
      <c r="D243" s="1"/>
    </row>
    <row r="244" spans="1:4" x14ac:dyDescent="0.2">
      <c r="A244" s="16" t="s">
        <v>271</v>
      </c>
      <c r="B244" s="46">
        <v>619</v>
      </c>
      <c r="C244" s="48" t="s">
        <v>360</v>
      </c>
      <c r="D244" s="1"/>
    </row>
    <row r="245" spans="1:4" x14ac:dyDescent="0.2">
      <c r="A245" s="16" t="s">
        <v>230</v>
      </c>
      <c r="B245" s="46">
        <v>620</v>
      </c>
      <c r="C245" s="49" t="s">
        <v>335</v>
      </c>
      <c r="D245" s="1"/>
    </row>
    <row r="248" spans="1:4" x14ac:dyDescent="0.2">
      <c r="A248" s="31" t="s">
        <v>451</v>
      </c>
    </row>
    <row r="249" spans="1:4" x14ac:dyDescent="0.2">
      <c r="A249" s="1" t="s">
        <v>448</v>
      </c>
    </row>
    <row r="250" spans="1:4" x14ac:dyDescent="0.2">
      <c r="A250" s="1" t="s">
        <v>447</v>
      </c>
    </row>
    <row r="251" spans="1:4" x14ac:dyDescent="0.2">
      <c r="A251" s="1" t="s">
        <v>445</v>
      </c>
    </row>
    <row r="252" spans="1:4" x14ac:dyDescent="0.2">
      <c r="A252" s="1" t="s">
        <v>446</v>
      </c>
    </row>
    <row r="254" spans="1:4" x14ac:dyDescent="0.2">
      <c r="A254" s="31" t="s">
        <v>452</v>
      </c>
    </row>
    <row r="255" spans="1:4" x14ac:dyDescent="0.2">
      <c r="A255" s="1" t="s">
        <v>6</v>
      </c>
    </row>
    <row r="256" spans="1:4" x14ac:dyDescent="0.2">
      <c r="A256" s="1" t="s">
        <v>458</v>
      </c>
    </row>
    <row r="257" spans="1:1" x14ac:dyDescent="0.2">
      <c r="A257" s="1" t="s">
        <v>453</v>
      </c>
    </row>
    <row r="259" spans="1:1" x14ac:dyDescent="0.2">
      <c r="A259" s="31" t="s">
        <v>449</v>
      </c>
    </row>
    <row r="260" spans="1:1" x14ac:dyDescent="0.2">
      <c r="A260" s="367" t="s">
        <v>1462</v>
      </c>
    </row>
    <row r="261" spans="1:1" s="432" customFormat="1" x14ac:dyDescent="0.2">
      <c r="A261" s="367" t="s">
        <v>455</v>
      </c>
    </row>
    <row r="262" spans="1:1" x14ac:dyDescent="0.2">
      <c r="A262" s="1" t="s">
        <v>457</v>
      </c>
    </row>
    <row r="263" spans="1:1" x14ac:dyDescent="0.2">
      <c r="A263" s="1" t="s">
        <v>454</v>
      </c>
    </row>
    <row r="264" spans="1:1" x14ac:dyDescent="0.2">
      <c r="A264" s="1" t="s">
        <v>456</v>
      </c>
    </row>
    <row r="265" spans="1:1" x14ac:dyDescent="0.2">
      <c r="A265" s="1" t="s">
        <v>792</v>
      </c>
    </row>
    <row r="266" spans="1:1" x14ac:dyDescent="0.2">
      <c r="A266" s="1" t="s">
        <v>458</v>
      </c>
    </row>
    <row r="268" spans="1:1" x14ac:dyDescent="0.2">
      <c r="A268" s="31" t="s">
        <v>459</v>
      </c>
    </row>
    <row r="269" spans="1:1" x14ac:dyDescent="0.2">
      <c r="A269" s="312" t="s">
        <v>460</v>
      </c>
    </row>
    <row r="270" spans="1:1" x14ac:dyDescent="0.2">
      <c r="A270" s="312" t="s">
        <v>461</v>
      </c>
    </row>
    <row r="272" spans="1:1" x14ac:dyDescent="0.2">
      <c r="A272" s="31" t="s">
        <v>463</v>
      </c>
    </row>
    <row r="273" spans="1:3" x14ac:dyDescent="0.2">
      <c r="A273" s="1" t="s">
        <v>756</v>
      </c>
      <c r="B273">
        <v>6400</v>
      </c>
    </row>
    <row r="274" spans="1:3" x14ac:dyDescent="0.2">
      <c r="A274" s="1" t="s">
        <v>695</v>
      </c>
      <c r="B274">
        <v>6300</v>
      </c>
    </row>
    <row r="275" spans="1:3" x14ac:dyDescent="0.2">
      <c r="A275" s="1" t="s">
        <v>469</v>
      </c>
      <c r="B275">
        <v>6410</v>
      </c>
    </row>
    <row r="276" spans="1:3" x14ac:dyDescent="0.2">
      <c r="A276" s="1" t="s">
        <v>470</v>
      </c>
      <c r="B276">
        <v>6420</v>
      </c>
    </row>
    <row r="277" spans="1:3" x14ac:dyDescent="0.2">
      <c r="A277" s="1" t="s">
        <v>495</v>
      </c>
      <c r="B277">
        <v>6305</v>
      </c>
    </row>
    <row r="278" spans="1:3" x14ac:dyDescent="0.2">
      <c r="A278" s="1" t="s">
        <v>694</v>
      </c>
      <c r="B278">
        <v>6330</v>
      </c>
    </row>
    <row r="280" spans="1:3" x14ac:dyDescent="0.2">
      <c r="A280" s="31" t="s">
        <v>572</v>
      </c>
    </row>
    <row r="281" spans="1:3" x14ac:dyDescent="0.2">
      <c r="A281" s="1" t="s">
        <v>571</v>
      </c>
    </row>
    <row r="282" spans="1:3" x14ac:dyDescent="0.2">
      <c r="A282" s="1" t="s">
        <v>570</v>
      </c>
    </row>
    <row r="283" spans="1:3" x14ac:dyDescent="0.2">
      <c r="A283" s="1" t="s">
        <v>17</v>
      </c>
    </row>
    <row r="284" spans="1:3" x14ac:dyDescent="0.2">
      <c r="A284" s="1" t="s">
        <v>16</v>
      </c>
    </row>
    <row r="286" spans="1:3" x14ac:dyDescent="0.2">
      <c r="A286" s="31" t="s">
        <v>490</v>
      </c>
    </row>
    <row r="287" spans="1:3" x14ac:dyDescent="0.2">
      <c r="A287" s="16" t="s">
        <v>713</v>
      </c>
      <c r="B287">
        <v>6450</v>
      </c>
      <c r="C287" s="1" t="s">
        <v>762</v>
      </c>
    </row>
    <row r="288" spans="1:3" x14ac:dyDescent="0.2">
      <c r="A288" s="16" t="s">
        <v>497</v>
      </c>
      <c r="B288">
        <v>6362</v>
      </c>
      <c r="C288" s="1" t="s">
        <v>762</v>
      </c>
    </row>
    <row r="289" spans="1:3" x14ac:dyDescent="0.2">
      <c r="A289" s="16" t="s">
        <v>492</v>
      </c>
      <c r="B289">
        <v>6380</v>
      </c>
      <c r="C289" s="1" t="s">
        <v>762</v>
      </c>
    </row>
    <row r="290" spans="1:3" x14ac:dyDescent="0.2">
      <c r="A290" s="16" t="s">
        <v>498</v>
      </c>
      <c r="B290">
        <v>6364</v>
      </c>
      <c r="C290" s="1" t="s">
        <v>762</v>
      </c>
    </row>
    <row r="291" spans="1:3" x14ac:dyDescent="0.2">
      <c r="A291" s="16" t="s">
        <v>758</v>
      </c>
      <c r="B291">
        <v>6245</v>
      </c>
      <c r="C291" s="1" t="s">
        <v>762</v>
      </c>
    </row>
    <row r="292" spans="1:3" x14ac:dyDescent="0.2">
      <c r="A292" s="16" t="s">
        <v>3</v>
      </c>
      <c r="B292">
        <v>6350</v>
      </c>
      <c r="C292" s="1" t="s">
        <v>762</v>
      </c>
    </row>
    <row r="293" spans="1:3" x14ac:dyDescent="0.2">
      <c r="A293" s="16" t="s">
        <v>574</v>
      </c>
      <c r="B293">
        <v>6333</v>
      </c>
      <c r="C293" s="1" t="s">
        <v>762</v>
      </c>
    </row>
    <row r="294" spans="1:3" x14ac:dyDescent="0.2">
      <c r="A294" s="16" t="s">
        <v>499</v>
      </c>
      <c r="B294">
        <v>6310</v>
      </c>
      <c r="C294" s="1" t="s">
        <v>762</v>
      </c>
    </row>
    <row r="295" spans="1:3" s="366" customFormat="1" x14ac:dyDescent="0.2">
      <c r="A295" s="16" t="s">
        <v>573</v>
      </c>
      <c r="B295" s="366">
        <v>6315</v>
      </c>
      <c r="C295" s="367"/>
    </row>
    <row r="296" spans="1:3" x14ac:dyDescent="0.2">
      <c r="A296" s="16" t="s">
        <v>494</v>
      </c>
      <c r="B296">
        <v>6385</v>
      </c>
      <c r="C296" s="1" t="s">
        <v>762</v>
      </c>
    </row>
    <row r="297" spans="1:3" x14ac:dyDescent="0.2">
      <c r="A297" s="16" t="s">
        <v>491</v>
      </c>
      <c r="B297">
        <v>6322</v>
      </c>
      <c r="C297" s="1" t="s">
        <v>762</v>
      </c>
    </row>
    <row r="298" spans="1:3" s="366" customFormat="1" x14ac:dyDescent="0.2">
      <c r="A298" s="16" t="s">
        <v>666</v>
      </c>
      <c r="B298" s="366">
        <v>6395</v>
      </c>
      <c r="C298" s="367"/>
    </row>
    <row r="299" spans="1:3" x14ac:dyDescent="0.2">
      <c r="A299" s="16" t="s">
        <v>475</v>
      </c>
      <c r="B299">
        <v>6325</v>
      </c>
      <c r="C299" s="1" t="s">
        <v>762</v>
      </c>
    </row>
    <row r="300" spans="1:3" x14ac:dyDescent="0.2">
      <c r="A300" s="434" t="s">
        <v>1442</v>
      </c>
      <c r="B300">
        <v>6365</v>
      </c>
      <c r="C300" s="1" t="s">
        <v>762</v>
      </c>
    </row>
    <row r="301" spans="1:3" x14ac:dyDescent="0.2">
      <c r="A301" s="16" t="s">
        <v>4</v>
      </c>
      <c r="B301">
        <v>6355</v>
      </c>
      <c r="C301" s="1" t="s">
        <v>762</v>
      </c>
    </row>
    <row r="302" spans="1:3" x14ac:dyDescent="0.2">
      <c r="A302" s="16" t="s">
        <v>496</v>
      </c>
      <c r="B302">
        <v>6330</v>
      </c>
      <c r="C302" s="1" t="s">
        <v>762</v>
      </c>
    </row>
    <row r="303" spans="1:3" x14ac:dyDescent="0.2">
      <c r="A303" s="16" t="s">
        <v>757</v>
      </c>
      <c r="B303">
        <v>6335</v>
      </c>
      <c r="C303" s="1" t="s">
        <v>762</v>
      </c>
    </row>
    <row r="304" spans="1:3" x14ac:dyDescent="0.2">
      <c r="A304" s="16" t="s">
        <v>493</v>
      </c>
      <c r="B304">
        <v>6375</v>
      </c>
      <c r="C304" s="1" t="s">
        <v>762</v>
      </c>
    </row>
    <row r="305" spans="1:3" x14ac:dyDescent="0.2">
      <c r="A305" s="16" t="s">
        <v>693</v>
      </c>
      <c r="B305">
        <v>6360</v>
      </c>
      <c r="C305" s="1" t="s">
        <v>762</v>
      </c>
    </row>
    <row r="307" spans="1:3" x14ac:dyDescent="0.2">
      <c r="A307" s="31" t="s">
        <v>539</v>
      </c>
    </row>
    <row r="308" spans="1:3" x14ac:dyDescent="0.2">
      <c r="A308" s="138" t="s">
        <v>557</v>
      </c>
      <c r="B308">
        <v>6320</v>
      </c>
    </row>
    <row r="309" spans="1:3" x14ac:dyDescent="0.2">
      <c r="A309" s="138" t="s">
        <v>565</v>
      </c>
      <c r="B309">
        <v>6320</v>
      </c>
    </row>
    <row r="310" spans="1:3" x14ac:dyDescent="0.2">
      <c r="A310" s="138" t="s">
        <v>548</v>
      </c>
      <c r="B310">
        <v>6320</v>
      </c>
    </row>
    <row r="311" spans="1:3" x14ac:dyDescent="0.2">
      <c r="A311" s="138" t="s">
        <v>555</v>
      </c>
      <c r="B311">
        <v>6320</v>
      </c>
    </row>
    <row r="312" spans="1:3" x14ac:dyDescent="0.2">
      <c r="A312" s="138" t="s">
        <v>554</v>
      </c>
      <c r="B312">
        <v>6320</v>
      </c>
    </row>
    <row r="313" spans="1:3" x14ac:dyDescent="0.2">
      <c r="A313" s="138" t="s">
        <v>556</v>
      </c>
      <c r="B313">
        <v>6320</v>
      </c>
    </row>
    <row r="314" spans="1:3" x14ac:dyDescent="0.2">
      <c r="A314" s="138" t="s">
        <v>551</v>
      </c>
      <c r="B314">
        <v>6320</v>
      </c>
    </row>
    <row r="315" spans="1:3" x14ac:dyDescent="0.2">
      <c r="A315" s="138" t="s">
        <v>550</v>
      </c>
      <c r="B315">
        <v>6320</v>
      </c>
    </row>
    <row r="316" spans="1:3" x14ac:dyDescent="0.2">
      <c r="A316" s="138" t="s">
        <v>552</v>
      </c>
      <c r="B316">
        <v>6320</v>
      </c>
    </row>
    <row r="317" spans="1:3" x14ac:dyDescent="0.2">
      <c r="A317" s="138" t="s">
        <v>553</v>
      </c>
      <c r="B317">
        <v>6320</v>
      </c>
    </row>
    <row r="318" spans="1:3" x14ac:dyDescent="0.2">
      <c r="A318" s="138" t="s">
        <v>560</v>
      </c>
      <c r="B318">
        <v>6320</v>
      </c>
    </row>
    <row r="319" spans="1:3" x14ac:dyDescent="0.2">
      <c r="A319" s="138" t="s">
        <v>558</v>
      </c>
      <c r="B319">
        <v>6320</v>
      </c>
    </row>
    <row r="320" spans="1:3" x14ac:dyDescent="0.2">
      <c r="A320" s="138" t="s">
        <v>562</v>
      </c>
      <c r="B320">
        <v>6320</v>
      </c>
    </row>
    <row r="321" spans="1:2" x14ac:dyDescent="0.2">
      <c r="A321" s="138" t="s">
        <v>563</v>
      </c>
      <c r="B321">
        <v>6320</v>
      </c>
    </row>
    <row r="322" spans="1:2" x14ac:dyDescent="0.2">
      <c r="A322" s="138" t="s">
        <v>564</v>
      </c>
      <c r="B322">
        <v>6320</v>
      </c>
    </row>
    <row r="323" spans="1:2" x14ac:dyDescent="0.2">
      <c r="A323" s="138" t="s">
        <v>549</v>
      </c>
      <c r="B323">
        <v>6320</v>
      </c>
    </row>
    <row r="324" spans="1:2" x14ac:dyDescent="0.2">
      <c r="A324" s="138" t="s">
        <v>566</v>
      </c>
      <c r="B324">
        <v>6320</v>
      </c>
    </row>
    <row r="325" spans="1:2" x14ac:dyDescent="0.2">
      <c r="A325" s="138" t="s">
        <v>568</v>
      </c>
      <c r="B325">
        <v>6340</v>
      </c>
    </row>
    <row r="326" spans="1:2" x14ac:dyDescent="0.2">
      <c r="A326" s="138" t="s">
        <v>569</v>
      </c>
      <c r="B326">
        <v>6340</v>
      </c>
    </row>
    <row r="327" spans="1:2" x14ac:dyDescent="0.2">
      <c r="A327" s="138" t="s">
        <v>567</v>
      </c>
      <c r="B327">
        <v>6340</v>
      </c>
    </row>
    <row r="328" spans="1:2" x14ac:dyDescent="0.2">
      <c r="A328" s="138" t="s">
        <v>559</v>
      </c>
      <c r="B328">
        <v>6320</v>
      </c>
    </row>
    <row r="329" spans="1:2" x14ac:dyDescent="0.2">
      <c r="A329" s="138" t="s">
        <v>561</v>
      </c>
      <c r="B329">
        <v>6320</v>
      </c>
    </row>
    <row r="331" spans="1:2" x14ac:dyDescent="0.2">
      <c r="A331" s="31" t="s">
        <v>686</v>
      </c>
    </row>
    <row r="332" spans="1:2" x14ac:dyDescent="0.2">
      <c r="A332" s="1" t="s">
        <v>687</v>
      </c>
    </row>
    <row r="333" spans="1:2" x14ac:dyDescent="0.2">
      <c r="A333" s="1" t="s">
        <v>688</v>
      </c>
    </row>
    <row r="334" spans="1:2" x14ac:dyDescent="0.2">
      <c r="A334" s="1" t="s">
        <v>689</v>
      </c>
    </row>
    <row r="335" spans="1:2" x14ac:dyDescent="0.2">
      <c r="A335" s="1" t="s">
        <v>690</v>
      </c>
    </row>
    <row r="336" spans="1:2" x14ac:dyDescent="0.2">
      <c r="A336" s="1" t="s">
        <v>691</v>
      </c>
    </row>
    <row r="338" spans="1:3" x14ac:dyDescent="0.2">
      <c r="A338" s="31" t="s">
        <v>696</v>
      </c>
      <c r="B338" s="31"/>
      <c r="C338" s="99"/>
    </row>
    <row r="339" spans="1:3" x14ac:dyDescent="0.2">
      <c r="A339" s="191">
        <v>6210</v>
      </c>
      <c r="B339" s="1" t="s">
        <v>697</v>
      </c>
    </row>
    <row r="340" spans="1:3" x14ac:dyDescent="0.2">
      <c r="A340" s="191">
        <v>6212</v>
      </c>
      <c r="B340" s="1" t="s">
        <v>698</v>
      </c>
    </row>
    <row r="341" spans="1:3" x14ac:dyDescent="0.2">
      <c r="A341" s="191">
        <v>6215</v>
      </c>
      <c r="B341" s="1" t="s">
        <v>699</v>
      </c>
    </row>
    <row r="342" spans="1:3" x14ac:dyDescent="0.2">
      <c r="A342" s="191">
        <v>6220</v>
      </c>
      <c r="B342" s="1" t="s">
        <v>700</v>
      </c>
    </row>
    <row r="343" spans="1:3" x14ac:dyDescent="0.2">
      <c r="A343" s="191">
        <v>6222</v>
      </c>
      <c r="B343" s="1" t="s">
        <v>701</v>
      </c>
    </row>
    <row r="344" spans="1:3" x14ac:dyDescent="0.2">
      <c r="A344" s="191">
        <v>6235</v>
      </c>
      <c r="B344" s="1" t="s">
        <v>702</v>
      </c>
    </row>
    <row r="346" spans="1:3" x14ac:dyDescent="0.2">
      <c r="A346" s="31" t="s">
        <v>703</v>
      </c>
      <c r="B346" s="31"/>
      <c r="C346" s="31"/>
    </row>
    <row r="347" spans="1:3" x14ac:dyDescent="0.2">
      <c r="A347" s="191">
        <v>6300</v>
      </c>
      <c r="B347" s="1" t="s">
        <v>711</v>
      </c>
    </row>
    <row r="348" spans="1:3" x14ac:dyDescent="0.2">
      <c r="A348" s="191">
        <v>6303</v>
      </c>
      <c r="B348" s="1" t="s">
        <v>712</v>
      </c>
    </row>
    <row r="349" spans="1:3" x14ac:dyDescent="0.2">
      <c r="A349" s="191">
        <v>6305</v>
      </c>
      <c r="B349" s="1" t="s">
        <v>495</v>
      </c>
    </row>
    <row r="350" spans="1:3" x14ac:dyDescent="0.2">
      <c r="A350" s="191">
        <v>6400</v>
      </c>
      <c r="B350" s="1" t="s">
        <v>705</v>
      </c>
    </row>
    <row r="351" spans="1:3" x14ac:dyDescent="0.2">
      <c r="A351" s="191">
        <v>6410</v>
      </c>
      <c r="B351" s="1" t="s">
        <v>704</v>
      </c>
    </row>
    <row r="352" spans="1:3" x14ac:dyDescent="0.2">
      <c r="A352" s="191">
        <v>6420</v>
      </c>
      <c r="B352" s="1" t="s">
        <v>470</v>
      </c>
    </row>
    <row r="354" spans="1:2" x14ac:dyDescent="0.2">
      <c r="A354" s="31" t="s">
        <v>706</v>
      </c>
      <c r="B354" s="99"/>
    </row>
    <row r="355" spans="1:2" x14ac:dyDescent="0.2">
      <c r="A355" s="191">
        <v>6320</v>
      </c>
      <c r="B355" s="1" t="s">
        <v>707</v>
      </c>
    </row>
    <row r="356" spans="1:2" x14ac:dyDescent="0.2">
      <c r="A356" s="191">
        <v>6322</v>
      </c>
      <c r="B356" s="1" t="s">
        <v>708</v>
      </c>
    </row>
    <row r="357" spans="1:2" x14ac:dyDescent="0.2">
      <c r="A357" s="191">
        <v>6325</v>
      </c>
      <c r="B357" s="1" t="s">
        <v>710</v>
      </c>
    </row>
    <row r="358" spans="1:2" x14ac:dyDescent="0.2">
      <c r="A358" s="191">
        <v>6340</v>
      </c>
      <c r="B358" s="1" t="s">
        <v>709</v>
      </c>
    </row>
    <row r="360" spans="1:2" x14ac:dyDescent="0.2">
      <c r="A360" s="31" t="s">
        <v>728</v>
      </c>
      <c r="B360" s="99"/>
    </row>
    <row r="361" spans="1:2" x14ac:dyDescent="0.2">
      <c r="A361" s="191">
        <v>6370</v>
      </c>
      <c r="B361" s="70" t="s">
        <v>575</v>
      </c>
    </row>
    <row r="362" spans="1:2" x14ac:dyDescent="0.2">
      <c r="A362" s="191">
        <v>6390</v>
      </c>
      <c r="B362" s="16" t="s">
        <v>741</v>
      </c>
    </row>
    <row r="364" spans="1:2" x14ac:dyDescent="0.2">
      <c r="A364" s="31" t="s">
        <v>542</v>
      </c>
      <c r="B364" s="99"/>
    </row>
    <row r="365" spans="1:2" x14ac:dyDescent="0.2">
      <c r="A365" s="1" t="s">
        <v>705</v>
      </c>
      <c r="B365">
        <v>6400</v>
      </c>
    </row>
    <row r="366" spans="1:2" x14ac:dyDescent="0.2">
      <c r="A366" s="1" t="s">
        <v>711</v>
      </c>
      <c r="B366">
        <v>6300</v>
      </c>
    </row>
    <row r="367" spans="1:2" x14ac:dyDescent="0.2">
      <c r="A367" s="1" t="s">
        <v>704</v>
      </c>
      <c r="B367">
        <v>6410</v>
      </c>
    </row>
    <row r="368" spans="1:2" x14ac:dyDescent="0.2">
      <c r="A368" s="1" t="s">
        <v>470</v>
      </c>
      <c r="B368">
        <v>6420</v>
      </c>
    </row>
    <row r="369" spans="1:2" x14ac:dyDescent="0.2">
      <c r="A369" s="1" t="s">
        <v>495</v>
      </c>
      <c r="B369">
        <v>6305</v>
      </c>
    </row>
    <row r="370" spans="1:2" x14ac:dyDescent="0.2">
      <c r="A370" s="1" t="s">
        <v>712</v>
      </c>
      <c r="B370">
        <v>6303</v>
      </c>
    </row>
    <row r="372" spans="1:2" x14ac:dyDescent="0.2">
      <c r="A372" s="31" t="s">
        <v>540</v>
      </c>
      <c r="B372" s="99"/>
    </row>
    <row r="373" spans="1:2" x14ac:dyDescent="0.2">
      <c r="A373" s="1" t="s">
        <v>763</v>
      </c>
      <c r="B373">
        <v>6390</v>
      </c>
    </row>
    <row r="374" spans="1:2" x14ac:dyDescent="0.2">
      <c r="A374" s="1" t="s">
        <v>575</v>
      </c>
      <c r="B374">
        <v>6370</v>
      </c>
    </row>
    <row r="376" spans="1:2" x14ac:dyDescent="0.2">
      <c r="A376" s="31" t="s">
        <v>546</v>
      </c>
      <c r="B376" s="31"/>
    </row>
    <row r="377" spans="1:2" x14ac:dyDescent="0.2">
      <c r="A377" s="1" t="s">
        <v>798</v>
      </c>
      <c r="B377">
        <v>1310</v>
      </c>
    </row>
    <row r="378" spans="1:2" x14ac:dyDescent="0.2">
      <c r="A378" s="1" t="s">
        <v>799</v>
      </c>
      <c r="B378">
        <v>1315</v>
      </c>
    </row>
    <row r="379" spans="1:2" x14ac:dyDescent="0.2">
      <c r="A379" s="1" t="s">
        <v>800</v>
      </c>
      <c r="B379">
        <v>1320</v>
      </c>
    </row>
    <row r="380" spans="1:2" x14ac:dyDescent="0.2">
      <c r="A380" s="1" t="s">
        <v>801</v>
      </c>
      <c r="B380">
        <v>1325</v>
      </c>
    </row>
    <row r="381" spans="1:2" x14ac:dyDescent="0.2">
      <c r="A381" s="1" t="s">
        <v>802</v>
      </c>
      <c r="B381">
        <v>1330</v>
      </c>
    </row>
    <row r="382" spans="1:2" x14ac:dyDescent="0.2">
      <c r="A382" s="1" t="s">
        <v>803</v>
      </c>
      <c r="B382">
        <v>1331</v>
      </c>
    </row>
    <row r="383" spans="1:2" x14ac:dyDescent="0.2">
      <c r="A383" s="1" t="s">
        <v>804</v>
      </c>
      <c r="B383">
        <v>1335</v>
      </c>
    </row>
    <row r="384" spans="1:2" x14ac:dyDescent="0.2">
      <c r="A384" s="1" t="s">
        <v>805</v>
      </c>
      <c r="B384">
        <v>1340</v>
      </c>
    </row>
  </sheetData>
  <sortState ref="A23:B86">
    <sortCondition ref="A23:A86"/>
  </sortState>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workbookViewId="0">
      <selection activeCell="E20" sqref="E20"/>
    </sheetView>
  </sheetViews>
  <sheetFormatPr defaultRowHeight="12.75" x14ac:dyDescent="0.2"/>
  <cols>
    <col min="1" max="1" width="25.5703125" customWidth="1"/>
    <col min="2" max="2" width="14" customWidth="1"/>
    <col min="3" max="3" width="155.5703125" customWidth="1"/>
  </cols>
  <sheetData>
    <row r="1" spans="1:3" ht="60" customHeight="1" x14ac:dyDescent="0.25">
      <c r="A1" s="142" t="s">
        <v>576</v>
      </c>
      <c r="B1" s="141" t="s">
        <v>577</v>
      </c>
      <c r="C1" s="142" t="s">
        <v>578</v>
      </c>
    </row>
    <row r="2" spans="1:3" ht="60" customHeight="1" x14ac:dyDescent="0.25">
      <c r="A2" s="142" t="s">
        <v>579</v>
      </c>
      <c r="B2" s="141" t="s">
        <v>580</v>
      </c>
      <c r="C2" s="142" t="s">
        <v>581</v>
      </c>
    </row>
    <row r="3" spans="1:3" ht="60" customHeight="1" x14ac:dyDescent="0.25">
      <c r="A3" s="142" t="s">
        <v>582</v>
      </c>
      <c r="B3" s="141" t="s">
        <v>583</v>
      </c>
      <c r="C3" s="142" t="s">
        <v>584</v>
      </c>
    </row>
    <row r="4" spans="1:3" ht="60" customHeight="1" x14ac:dyDescent="0.25">
      <c r="A4" s="142" t="s">
        <v>585</v>
      </c>
      <c r="B4" s="141" t="s">
        <v>586</v>
      </c>
      <c r="C4" s="142" t="s">
        <v>587</v>
      </c>
    </row>
    <row r="5" spans="1:3" ht="60" customHeight="1" x14ac:dyDescent="0.25">
      <c r="A5" s="142" t="s">
        <v>588</v>
      </c>
      <c r="B5" s="141" t="s">
        <v>589</v>
      </c>
      <c r="C5" s="142" t="s">
        <v>590</v>
      </c>
    </row>
    <row r="6" spans="1:3" ht="54" customHeight="1" x14ac:dyDescent="0.25">
      <c r="A6" s="142" t="s">
        <v>591</v>
      </c>
      <c r="B6" s="141" t="s">
        <v>592</v>
      </c>
      <c r="C6" s="142" t="s">
        <v>593</v>
      </c>
    </row>
    <row r="7" spans="1:3" ht="66.75" customHeight="1" x14ac:dyDescent="0.25">
      <c r="A7" s="142" t="s">
        <v>594</v>
      </c>
      <c r="B7" s="141" t="s">
        <v>594</v>
      </c>
      <c r="C7" s="142" t="s">
        <v>595</v>
      </c>
    </row>
    <row r="8" spans="1:3" ht="45" customHeight="1" x14ac:dyDescent="0.25">
      <c r="A8" s="142" t="s">
        <v>596</v>
      </c>
      <c r="B8" s="141" t="s">
        <v>597</v>
      </c>
      <c r="C8" s="142" t="s">
        <v>598</v>
      </c>
    </row>
    <row r="9" spans="1:3" ht="72" customHeight="1" x14ac:dyDescent="0.25">
      <c r="A9" s="142" t="s">
        <v>599</v>
      </c>
      <c r="B9" s="141" t="s">
        <v>600</v>
      </c>
      <c r="C9" s="142" t="s">
        <v>601</v>
      </c>
    </row>
    <row r="10" spans="1:3" ht="46.5" customHeight="1" x14ac:dyDescent="0.25">
      <c r="A10" s="142"/>
      <c r="B10" s="141" t="s">
        <v>602</v>
      </c>
      <c r="C10" s="144" t="s">
        <v>667</v>
      </c>
    </row>
    <row r="11" spans="1:3" ht="60" customHeight="1" x14ac:dyDescent="0.25">
      <c r="A11" s="142" t="s">
        <v>603</v>
      </c>
      <c r="B11" s="141" t="s">
        <v>604</v>
      </c>
      <c r="C11" s="142" t="s">
        <v>605</v>
      </c>
    </row>
    <row r="12" spans="1:3" ht="60" customHeight="1" x14ac:dyDescent="0.25">
      <c r="A12" s="142" t="s">
        <v>606</v>
      </c>
      <c r="B12" s="141" t="s">
        <v>607</v>
      </c>
      <c r="C12" s="142" t="s">
        <v>608</v>
      </c>
    </row>
    <row r="13" spans="1:3" ht="60" customHeight="1" x14ac:dyDescent="0.25">
      <c r="A13" s="142" t="s">
        <v>609</v>
      </c>
      <c r="B13" s="141" t="s">
        <v>116</v>
      </c>
      <c r="C13" s="142" t="s">
        <v>610</v>
      </c>
    </row>
    <row r="14" spans="1:3" ht="60" customHeight="1" x14ac:dyDescent="0.25">
      <c r="A14" s="142" t="s">
        <v>611</v>
      </c>
      <c r="B14" s="141" t="s">
        <v>612</v>
      </c>
      <c r="C14" s="142" t="s">
        <v>613</v>
      </c>
    </row>
    <row r="15" spans="1:3" ht="60" customHeight="1" x14ac:dyDescent="0.25">
      <c r="A15" s="142" t="s">
        <v>614</v>
      </c>
      <c r="B15" s="141" t="s">
        <v>615</v>
      </c>
      <c r="C15" s="142" t="s">
        <v>616</v>
      </c>
    </row>
    <row r="16" spans="1:3" ht="60" customHeight="1" x14ac:dyDescent="0.25">
      <c r="A16" s="142" t="s">
        <v>617</v>
      </c>
      <c r="B16" s="141" t="s">
        <v>618</v>
      </c>
      <c r="C16" s="142" t="s">
        <v>619</v>
      </c>
    </row>
    <row r="17" spans="1:3" ht="143.25" customHeight="1" x14ac:dyDescent="0.25">
      <c r="A17" s="142" t="s">
        <v>620</v>
      </c>
      <c r="B17" s="141" t="s">
        <v>621</v>
      </c>
      <c r="C17" s="142" t="s">
        <v>622</v>
      </c>
    </row>
    <row r="18" spans="1:3" ht="74.25" customHeight="1" x14ac:dyDescent="0.25">
      <c r="A18" s="142" t="s">
        <v>623</v>
      </c>
      <c r="B18" s="141" t="s">
        <v>624</v>
      </c>
      <c r="C18" s="142" t="s">
        <v>625</v>
      </c>
    </row>
    <row r="19" spans="1:3" ht="72.75" customHeight="1" x14ac:dyDescent="0.25">
      <c r="A19" s="142" t="s">
        <v>626</v>
      </c>
      <c r="B19" s="141" t="s">
        <v>627</v>
      </c>
      <c r="C19" s="142" t="s">
        <v>628</v>
      </c>
    </row>
    <row r="20" spans="1:3" ht="72.75" customHeight="1" x14ac:dyDescent="0.25">
      <c r="A20" s="142" t="s">
        <v>629</v>
      </c>
      <c r="B20" s="141" t="s">
        <v>630</v>
      </c>
      <c r="C20" s="142" t="s">
        <v>631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51</vt:i4>
      </vt:variant>
    </vt:vector>
  </HeadingPairs>
  <TitlesOfParts>
    <vt:vector size="67" baseType="lpstr">
      <vt:lpstr>Summary</vt:lpstr>
      <vt:lpstr>Revenues</vt:lpstr>
      <vt:lpstr>MF Issuer Fees</vt:lpstr>
      <vt:lpstr>SF Issuer Fees</vt:lpstr>
      <vt:lpstr>HUD Disposition Prop</vt:lpstr>
      <vt:lpstr>Total Expenses</vt:lpstr>
      <vt:lpstr>HR</vt:lpstr>
      <vt:lpstr>Travel</vt:lpstr>
      <vt:lpstr>Bldg Bond Int</vt:lpstr>
      <vt:lpstr>Bldg Maint ONLY</vt:lpstr>
      <vt:lpstr>Prof Serv</vt:lpstr>
      <vt:lpstr>Other Operating Expenses</vt:lpstr>
      <vt:lpstr>Supplies</vt:lpstr>
      <vt:lpstr>Capital Exp</vt:lpstr>
      <vt:lpstr>Lists</vt:lpstr>
      <vt:lpstr>Program Definitions</vt:lpstr>
      <vt:lpstr>BldgExpCodes</vt:lpstr>
      <vt:lpstr>Budgets</vt:lpstr>
      <vt:lpstr>BuildingCodes</vt:lpstr>
      <vt:lpstr>BuildingExpenses</vt:lpstr>
      <vt:lpstr>CAPCalcs</vt:lpstr>
      <vt:lpstr>Capital</vt:lpstr>
      <vt:lpstr>CapitalCodes</vt:lpstr>
      <vt:lpstr>Classification</vt:lpstr>
      <vt:lpstr>Contract</vt:lpstr>
      <vt:lpstr>ContractStatus</vt:lpstr>
      <vt:lpstr>EEStatus</vt:lpstr>
      <vt:lpstr>Employees</vt:lpstr>
      <vt:lpstr>Existing</vt:lpstr>
      <vt:lpstr>Funded</vt:lpstr>
      <vt:lpstr>Funding</vt:lpstr>
      <vt:lpstr>Location</vt:lpstr>
      <vt:lpstr>OtherExpenses</vt:lpstr>
      <vt:lpstr>OtherOperatingCodes</vt:lpstr>
      <vt:lpstr>OtherOperatingExpenses</vt:lpstr>
      <vt:lpstr>PayrollData</vt:lpstr>
      <vt:lpstr>'Bldg Bond Int'!Print_Area</vt:lpstr>
      <vt:lpstr>'Bldg Maint ONLY'!Print_Area</vt:lpstr>
      <vt:lpstr>'Capital Exp'!Print_Area</vt:lpstr>
      <vt:lpstr>HR!Print_Area</vt:lpstr>
      <vt:lpstr>'MF Issuer Fees'!Print_Area</vt:lpstr>
      <vt:lpstr>'Other Operating Expenses'!Print_Area</vt:lpstr>
      <vt:lpstr>'Prof Serv'!Print_Area</vt:lpstr>
      <vt:lpstr>Revenues!Print_Area</vt:lpstr>
      <vt:lpstr>'SF Issuer Fees'!Print_Area</vt:lpstr>
      <vt:lpstr>Summary!Print_Area</vt:lpstr>
      <vt:lpstr>Supplies!Print_Area</vt:lpstr>
      <vt:lpstr>'Total Expenses'!Print_Area</vt:lpstr>
      <vt:lpstr>Travel!Print_Area</vt:lpstr>
      <vt:lpstr>'Bldg Maint ONLY'!Print_Titles</vt:lpstr>
      <vt:lpstr>HR!Print_Titles</vt:lpstr>
      <vt:lpstr>'MF Issuer Fees'!Print_Titles</vt:lpstr>
      <vt:lpstr>'Other Operating Expenses'!Print_Titles</vt:lpstr>
      <vt:lpstr>'Prof Serv'!Print_Titles</vt:lpstr>
      <vt:lpstr>Revenues!Print_Titles</vt:lpstr>
      <vt:lpstr>Summary!Print_Titles</vt:lpstr>
      <vt:lpstr>Supplies!Print_Titles</vt:lpstr>
      <vt:lpstr>'Total Expenses'!Print_Titles</vt:lpstr>
      <vt:lpstr>Travel!Print_Titles</vt:lpstr>
      <vt:lpstr>ProfessionalAccts</vt:lpstr>
      <vt:lpstr>ProfExpCodes</vt:lpstr>
      <vt:lpstr>Revenues</vt:lpstr>
      <vt:lpstr>Supplies</vt:lpstr>
      <vt:lpstr>SuppliesExpCodes</vt:lpstr>
      <vt:lpstr>SuppliesType</vt:lpstr>
      <vt:lpstr>TravelAccts</vt:lpstr>
      <vt:lpstr>TravelExpenses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kanderson</dc:creator>
  <cp:lastModifiedBy>Meshryl Wright</cp:lastModifiedBy>
  <cp:lastPrinted>2016-06-03T23:39:46Z</cp:lastPrinted>
  <dcterms:created xsi:type="dcterms:W3CDTF">2013-11-26T20:46:12Z</dcterms:created>
  <dcterms:modified xsi:type="dcterms:W3CDTF">2016-10-07T15:26:49Z</dcterms:modified>
</cp:coreProperties>
</file>