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ard Materials\2019 LHC Board Matters\2019 Administrative and Finance Committee\"/>
    </mc:Choice>
  </mc:AlternateContent>
  <bookViews>
    <workbookView xWindow="0" yWindow="0" windowWidth="28800" windowHeight="12930"/>
  </bookViews>
  <sheets>
    <sheet name="Sheet1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H41" i="1" s="1"/>
  <c r="O36" i="1"/>
  <c r="M36" i="1"/>
  <c r="K36" i="1"/>
  <c r="Q35" i="1"/>
  <c r="Q34" i="1"/>
  <c r="Q33" i="1"/>
  <c r="F33" i="1"/>
  <c r="H33" i="1" s="1"/>
  <c r="D33" i="1"/>
  <c r="Q32" i="1"/>
  <c r="F32" i="1"/>
  <c r="H32" i="1" s="1"/>
  <c r="D32" i="1"/>
  <c r="Q31" i="1"/>
  <c r="F31" i="1"/>
  <c r="H31" i="1" s="1"/>
  <c r="D31" i="1"/>
  <c r="Q30" i="1"/>
  <c r="F30" i="1"/>
  <c r="H30" i="1" s="1"/>
  <c r="D30" i="1"/>
  <c r="Q29" i="1"/>
  <c r="F29" i="1"/>
  <c r="H29" i="1" s="1"/>
  <c r="D29" i="1"/>
  <c r="Q28" i="1"/>
  <c r="F28" i="1"/>
  <c r="H28" i="1" s="1"/>
  <c r="D28" i="1"/>
  <c r="Q27" i="1"/>
  <c r="F27" i="1"/>
  <c r="H27" i="1" s="1"/>
  <c r="D27" i="1"/>
  <c r="Q26" i="1"/>
  <c r="F26" i="1"/>
  <c r="H26" i="1" s="1"/>
  <c r="D26" i="1"/>
  <c r="Q25" i="1"/>
  <c r="F25" i="1"/>
  <c r="D25" i="1"/>
  <c r="O22" i="1"/>
  <c r="O39" i="1" s="1"/>
  <c r="O43" i="1" s="1"/>
  <c r="M22" i="1"/>
  <c r="M39" i="1" s="1"/>
  <c r="M43" i="1" s="1"/>
  <c r="K22" i="1"/>
  <c r="K39" i="1" s="1"/>
  <c r="K43" i="1" s="1"/>
  <c r="Q21" i="1"/>
  <c r="Q20" i="1"/>
  <c r="Q19" i="1"/>
  <c r="Q18" i="1"/>
  <c r="F18" i="1"/>
  <c r="H18" i="1" s="1"/>
  <c r="D18" i="1"/>
  <c r="Q17" i="1"/>
  <c r="F17" i="1"/>
  <c r="H17" i="1" s="1"/>
  <c r="D17" i="1"/>
  <c r="Q16" i="1"/>
  <c r="F16" i="1"/>
  <c r="H16" i="1" s="1"/>
  <c r="D16" i="1"/>
  <c r="Q15" i="1"/>
  <c r="F15" i="1"/>
  <c r="H15" i="1" s="1"/>
  <c r="D15" i="1"/>
  <c r="Q14" i="1"/>
  <c r="F14" i="1"/>
  <c r="H14" i="1" s="1"/>
  <c r="D14" i="1"/>
  <c r="Q13" i="1"/>
  <c r="F13" i="1"/>
  <c r="H13" i="1" s="1"/>
  <c r="D13" i="1"/>
  <c r="Q12" i="1"/>
  <c r="F12" i="1"/>
  <c r="H12" i="1" s="1"/>
  <c r="D12" i="1"/>
  <c r="Q11" i="1"/>
  <c r="Q10" i="1"/>
  <c r="F10" i="1"/>
  <c r="H10" i="1" s="1"/>
  <c r="D10" i="1"/>
  <c r="Q9" i="1"/>
  <c r="F9" i="1"/>
  <c r="H9" i="1" s="1"/>
  <c r="D9" i="1"/>
  <c r="F8" i="1"/>
  <c r="H8" i="1" s="1"/>
  <c r="H22" i="1" s="1"/>
  <c r="D8" i="1"/>
  <c r="D22" i="1" s="1"/>
  <c r="C8" i="1"/>
  <c r="M7" i="1"/>
  <c r="Q7" i="1" s="1"/>
  <c r="D7" i="1"/>
  <c r="D36" i="1" l="1"/>
  <c r="D39" i="1" s="1"/>
  <c r="D43" i="1" s="1"/>
  <c r="Q36" i="1"/>
  <c r="F36" i="1"/>
  <c r="Q22" i="1"/>
  <c r="F22" i="1"/>
  <c r="H25" i="1"/>
  <c r="H36" i="1" s="1"/>
  <c r="H39" i="1" s="1"/>
  <c r="H43" i="1" s="1"/>
  <c r="F39" i="1" l="1"/>
  <c r="F43" i="1" s="1"/>
</calcChain>
</file>

<file path=xl/sharedStrings.xml><?xml version="1.0" encoding="utf-8"?>
<sst xmlns="http://schemas.openxmlformats.org/spreadsheetml/2006/main" count="49" uniqueCount="47">
  <si>
    <t>Louisiana Housing Corporation</t>
  </si>
  <si>
    <t>Operating Budget - FY 18/19</t>
  </si>
  <si>
    <t>As of 12/31/2018</t>
  </si>
  <si>
    <t>FY 11/12</t>
  </si>
  <si>
    <t>FY 10/11</t>
  </si>
  <si>
    <t>ACTUAL</t>
  </si>
  <si>
    <t>PROJECTED</t>
  </si>
  <si>
    <t>Approved</t>
  </si>
  <si>
    <t>Actual</t>
  </si>
  <si>
    <t xml:space="preserve">Projected </t>
  </si>
  <si>
    <t>Variance</t>
  </si>
  <si>
    <t>Operating Revenue</t>
  </si>
  <si>
    <t>YEAR END</t>
  </si>
  <si>
    <t>BUDGET</t>
  </si>
  <si>
    <t>Investment/Interest Income</t>
  </si>
  <si>
    <t>Home Program &amp; Agency Admin Fees</t>
  </si>
  <si>
    <t>HUD Disposition Program Income</t>
  </si>
  <si>
    <t>LA Housing Authority/Supportive Housing</t>
  </si>
  <si>
    <t>Compliance Monitoring LIHTC</t>
  </si>
  <si>
    <t>Multi Family LIHTC Fees, M2M &amp; Risk Sharing</t>
  </si>
  <si>
    <t>Multi Family Issuer Fees and MF MRB Fees</t>
  </si>
  <si>
    <t>Energy Programs (LIHEAP &amp; WAP)</t>
  </si>
  <si>
    <t>Section 8 Contract Administration</t>
  </si>
  <si>
    <t>Single Family Homebuyer/Turnkey-Program Fees in Lieu of SF Issuer Fee</t>
  </si>
  <si>
    <t>Single Family Issuer / Bond Fees</t>
  </si>
  <si>
    <t>Disaster Housing</t>
  </si>
  <si>
    <t>Housing Conference</t>
  </si>
  <si>
    <t>Miscellaneous Income</t>
  </si>
  <si>
    <t>Total Operating Revenue</t>
  </si>
  <si>
    <t>Operating Expenses</t>
  </si>
  <si>
    <t xml:space="preserve"> Human Resources</t>
  </si>
  <si>
    <t xml:space="preserve"> Travel &amp; Training</t>
  </si>
  <si>
    <t xml:space="preserve"> Operating Services</t>
  </si>
  <si>
    <t xml:space="preserve"> Building Bond Interest</t>
  </si>
  <si>
    <t xml:space="preserve"> Building Expenses</t>
  </si>
  <si>
    <t xml:space="preserve"> Supplies</t>
  </si>
  <si>
    <t xml:space="preserve"> Auditing</t>
  </si>
  <si>
    <t xml:space="preserve"> Legal Services</t>
  </si>
  <si>
    <t xml:space="preserve"> Professional Services</t>
  </si>
  <si>
    <t xml:space="preserve"> Housing Conference</t>
  </si>
  <si>
    <t xml:space="preserve"> Fixed Assets - Vehicles</t>
  </si>
  <si>
    <t>Total Operating Expenses</t>
  </si>
  <si>
    <t>Excess Revenue Over Expenses From Operations</t>
  </si>
  <si>
    <t>Capital Expenditures</t>
  </si>
  <si>
    <t>Net Excess Revenue Over Expenses</t>
  </si>
  <si>
    <r>
      <t>(UNDER)/</t>
    </r>
    <r>
      <rPr>
        <b/>
        <sz val="10"/>
        <rFont val="Arial"/>
        <family val="2"/>
      </rPr>
      <t>OVER</t>
    </r>
  </si>
  <si>
    <t>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</si>
</sst>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#,##0.000000000_);[Red]\(#,##0.0000000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 Light"/>
      <family val="1"/>
      <scheme val="majo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0" xfId="1" applyBorder="1"/>
    <xf numFmtId="0" fontId="4" fillId="0" borderId="0" xfId="1" applyFont="1" applyBorder="1" applyAlignment="1">
      <alignment horizontal="center"/>
    </xf>
    <xf numFmtId="0" fontId="3" fillId="0" borderId="0" xfId="1" applyFont="1" applyBorder="1"/>
    <xf numFmtId="0" fontId="5" fillId="0" borderId="0" xfId="1" applyFont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/>
    </xf>
    <xf numFmtId="0" fontId="3" fillId="0" borderId="1" xfId="1" applyFont="1" applyBorder="1"/>
    <xf numFmtId="38" fontId="1" fillId="0" borderId="0" xfId="2" applyNumberFormat="1" applyFont="1"/>
    <xf numFmtId="164" fontId="1" fillId="0" borderId="0" xfId="3" applyNumberFormat="1"/>
    <xf numFmtId="38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38" fontId="1" fillId="0" borderId="0" xfId="1" applyNumberFormat="1"/>
    <xf numFmtId="164" fontId="0" fillId="0" borderId="0" xfId="3" applyNumberFormat="1" applyFont="1" applyFill="1"/>
    <xf numFmtId="0" fontId="1" fillId="0" borderId="0" xfId="1" applyFill="1"/>
    <xf numFmtId="3" fontId="1" fillId="0" borderId="0" xfId="1" applyNumberFormat="1"/>
    <xf numFmtId="165" fontId="1" fillId="0" borderId="0" xfId="1" applyNumberFormat="1"/>
    <xf numFmtId="38" fontId="1" fillId="0" borderId="0" xfId="1" applyNumberFormat="1" applyFont="1"/>
    <xf numFmtId="38" fontId="0" fillId="0" borderId="0" xfId="3" applyNumberFormat="1" applyFont="1" applyFill="1"/>
    <xf numFmtId="38" fontId="1" fillId="0" borderId="0" xfId="1" applyNumberFormat="1" applyFill="1"/>
    <xf numFmtId="0" fontId="1" fillId="0" borderId="0" xfId="1" applyFont="1"/>
    <xf numFmtId="38" fontId="1" fillId="0" borderId="0" xfId="1" applyNumberFormat="1" applyFont="1" applyFill="1"/>
    <xf numFmtId="164" fontId="1" fillId="0" borderId="0" xfId="3" applyNumberFormat="1" applyFill="1"/>
    <xf numFmtId="0" fontId="1" fillId="0" borderId="0" xfId="1" applyFont="1" applyFill="1"/>
    <xf numFmtId="43" fontId="0" fillId="0" borderId="0" xfId="3" applyFont="1" applyFill="1"/>
    <xf numFmtId="3" fontId="1" fillId="0" borderId="0" xfId="1" applyNumberFormat="1" applyFill="1"/>
    <xf numFmtId="0" fontId="3" fillId="0" borderId="0" xfId="1" applyFont="1" applyAlignment="1">
      <alignment horizontal="left" indent="1"/>
    </xf>
    <xf numFmtId="165" fontId="3" fillId="0" borderId="0" xfId="2" applyNumberFormat="1" applyFont="1"/>
    <xf numFmtId="165" fontId="3" fillId="0" borderId="2" xfId="2" applyNumberFormat="1" applyFont="1" applyBorder="1"/>
    <xf numFmtId="6" fontId="3" fillId="0" borderId="2" xfId="2" applyNumberFormat="1" applyFont="1" applyBorder="1"/>
    <xf numFmtId="165" fontId="3" fillId="0" borderId="2" xfId="2" applyNumberFormat="1" applyFont="1" applyFill="1" applyBorder="1"/>
    <xf numFmtId="166" fontId="1" fillId="0" borderId="0" xfId="1" applyNumberFormat="1"/>
    <xf numFmtId="39" fontId="1" fillId="0" borderId="0" xfId="1" applyNumberFormat="1" applyFill="1"/>
    <xf numFmtId="164" fontId="0" fillId="0" borderId="0" xfId="3" applyNumberFormat="1" applyFont="1" applyFill="1" applyBorder="1"/>
    <xf numFmtId="38" fontId="1" fillId="0" borderId="0" xfId="1" applyNumberFormat="1" applyFill="1" applyBorder="1"/>
    <xf numFmtId="38" fontId="1" fillId="0" borderId="3" xfId="1" applyNumberFormat="1" applyFill="1" applyBorder="1"/>
    <xf numFmtId="43" fontId="3" fillId="0" borderId="0" xfId="3" applyFont="1"/>
    <xf numFmtId="165" fontId="3" fillId="0" borderId="0" xfId="2" applyNumberFormat="1" applyFont="1" applyFill="1"/>
    <xf numFmtId="165" fontId="3" fillId="2" borderId="2" xfId="2" applyNumberFormat="1" applyFont="1" applyFill="1" applyBorder="1" applyAlignment="1">
      <alignment horizontal="right"/>
    </xf>
    <xf numFmtId="165" fontId="3" fillId="2" borderId="0" xfId="2" applyNumberFormat="1" applyFont="1" applyFill="1"/>
    <xf numFmtId="6" fontId="3" fillId="2" borderId="2" xfId="2" applyNumberFormat="1" applyFont="1" applyFill="1" applyBorder="1" applyAlignment="1">
      <alignment horizontal="right"/>
    </xf>
    <xf numFmtId="165" fontId="3" fillId="0" borderId="2" xfId="2" applyNumberFormat="1" applyFont="1" applyFill="1" applyBorder="1" applyAlignment="1">
      <alignment horizontal="right"/>
    </xf>
    <xf numFmtId="43" fontId="3" fillId="0" borderId="0" xfId="3" applyFont="1" applyFill="1"/>
    <xf numFmtId="164" fontId="3" fillId="0" borderId="0" xfId="3" applyNumberFormat="1" applyFont="1" applyFill="1"/>
    <xf numFmtId="164" fontId="3" fillId="0" borderId="4" xfId="3" applyNumberFormat="1" applyFont="1" applyFill="1" applyBorder="1"/>
    <xf numFmtId="164" fontId="3" fillId="0" borderId="4" xfId="3" applyNumberFormat="1" applyFont="1" applyBorder="1" applyAlignment="1">
      <alignment horizontal="right"/>
    </xf>
    <xf numFmtId="164" fontId="3" fillId="2" borderId="0" xfId="3" applyNumberFormat="1" applyFont="1" applyFill="1"/>
    <xf numFmtId="164" fontId="3" fillId="2" borderId="4" xfId="3" applyNumberFormat="1" applyFont="1" applyFill="1" applyBorder="1"/>
    <xf numFmtId="38" fontId="3" fillId="0" borderId="4" xfId="3" applyNumberFormat="1" applyFont="1" applyFill="1" applyBorder="1" applyAlignment="1">
      <alignment horizontal="right"/>
    </xf>
    <xf numFmtId="38" fontId="3" fillId="0" borderId="0" xfId="3" applyNumberFormat="1" applyFont="1" applyFill="1" applyBorder="1" applyAlignment="1">
      <alignment horizontal="right"/>
    </xf>
    <xf numFmtId="0" fontId="5" fillId="0" borderId="0" xfId="1" applyFont="1" applyAlignment="1">
      <alignment horizontal="left" indent="1"/>
    </xf>
    <xf numFmtId="164" fontId="3" fillId="0" borderId="0" xfId="3" applyNumberFormat="1" applyFont="1" applyFill="1" applyBorder="1"/>
    <xf numFmtId="164" fontId="3" fillId="0" borderId="3" xfId="3" applyNumberFormat="1" applyFont="1" applyFill="1" applyBorder="1"/>
    <xf numFmtId="164" fontId="3" fillId="2" borderId="0" xfId="3" applyNumberFormat="1" applyFont="1" applyFill="1" applyBorder="1"/>
    <xf numFmtId="38" fontId="3" fillId="0" borderId="3" xfId="2" applyNumberFormat="1" applyFont="1" applyFill="1" applyBorder="1" applyAlignment="1">
      <alignment horizontal="right"/>
    </xf>
    <xf numFmtId="164" fontId="3" fillId="0" borderId="1" xfId="3" applyNumberFormat="1" applyFont="1" applyFill="1" applyBorder="1"/>
    <xf numFmtId="0" fontId="1" fillId="0" borderId="1" xfId="1" applyBorder="1"/>
    <xf numFmtId="0" fontId="3" fillId="0" borderId="0" xfId="1" applyFont="1" applyFill="1"/>
    <xf numFmtId="164" fontId="3" fillId="0" borderId="5" xfId="1" applyNumberFormat="1" applyFont="1" applyFill="1" applyBorder="1"/>
    <xf numFmtId="165" fontId="3" fillId="0" borderId="5" xfId="1" applyNumberFormat="1" applyFont="1" applyBorder="1"/>
    <xf numFmtId="165" fontId="3" fillId="0" borderId="5" xfId="4" applyNumberFormat="1" applyFont="1" applyFill="1" applyBorder="1"/>
    <xf numFmtId="165" fontId="3" fillId="0" borderId="0" xfId="4" applyNumberFormat="1" applyFont="1" applyFill="1" applyBorder="1"/>
    <xf numFmtId="167" fontId="1" fillId="0" borderId="0" xfId="1" applyNumberFormat="1" applyFill="1"/>
    <xf numFmtId="0" fontId="2" fillId="0" borderId="0" xfId="1" applyFont="1" applyAlignment="1">
      <alignment horizontal="center"/>
    </xf>
    <xf numFmtId="0" fontId="0" fillId="0" borderId="0" xfId="0" applyAlignment="1"/>
    <xf numFmtId="14" fontId="2" fillId="0" borderId="0" xfId="1" applyNumberFormat="1" applyFont="1" applyAlignment="1">
      <alignment horizontal="center"/>
    </xf>
  </cellXfs>
  <cellStyles count="5">
    <cellStyle name="Comma 2" xfId="3"/>
    <cellStyle name="Currency 2" xfId="2"/>
    <cellStyle name="Normal" xfId="0" builtinId="0"/>
    <cellStyle name="Normal 2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LHFA\Budget\Budget%20FY2013\Adopted%20FY2013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Sheet1"/>
      <sheetName val="REVENUES"/>
      <sheetName val="Budget"/>
      <sheetName val="Departmental Breakout"/>
      <sheetName val="Quarterly"/>
      <sheetName val="Rev Pie Chart"/>
      <sheetName val="Investment Income"/>
      <sheetName val="Cash Flows - Investments"/>
      <sheetName val="Single Family"/>
      <sheetName val="Single Family Issuer Fees"/>
      <sheetName val="HUD Disposition Properties"/>
      <sheetName val="NSP &amp; Mid-City"/>
      <sheetName val="Multi Family TC and S8CA"/>
      <sheetName val="Multi-Family Issuer Fees"/>
      <sheetName val="Compliance &amp; Energy"/>
      <sheetName val="HOME &amp; Special Programs"/>
      <sheetName val="Expense Bar Chart"/>
      <sheetName val="Personnel"/>
      <sheetName val="Travel"/>
      <sheetName val="Operating"/>
      <sheetName val="Auditing &amp; Legal"/>
      <sheetName val="Other Prof Services"/>
      <sheetName val="Capital Acquisitions"/>
      <sheetName val="Travel Detail"/>
      <sheetName val="EXPENSES"/>
      <sheetName val="Budget Recap"/>
      <sheetName val="Other Prof Services (Old)"/>
      <sheetName val="HR Salaries"/>
      <sheetName val="Employee Payroll"/>
      <sheetName val="Supplies"/>
      <sheetName val="Benefits"/>
      <sheetName val="Sheet2"/>
    </sheetNames>
    <sheetDataSet>
      <sheetData sheetId="0" refreshError="1"/>
      <sheetData sheetId="1" refreshError="1"/>
      <sheetData sheetId="2" refreshError="1">
        <row r="2">
          <cell r="B2">
            <v>8</v>
          </cell>
          <cell r="C2" t="str">
            <v>February</v>
          </cell>
          <cell r="E2" t="str">
            <v xml:space="preserve">Thru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H11">
            <v>2746681</v>
          </cell>
          <cell r="N11" t="e">
            <v>#NAME?</v>
          </cell>
        </row>
        <row r="16">
          <cell r="N16" t="e">
            <v>#NAME?</v>
          </cell>
        </row>
        <row r="19">
          <cell r="P19">
            <v>2587033.58</v>
          </cell>
        </row>
      </sheetData>
      <sheetData sheetId="8" refreshError="1"/>
      <sheetData sheetId="9" refreshError="1">
        <row r="10">
          <cell r="G10">
            <v>39800</v>
          </cell>
        </row>
        <row r="19">
          <cell r="M19" t="e">
            <v>#NAME?</v>
          </cell>
          <cell r="S19">
            <v>347015</v>
          </cell>
        </row>
      </sheetData>
      <sheetData sheetId="10" refreshError="1">
        <row r="48">
          <cell r="J48">
            <v>0</v>
          </cell>
        </row>
        <row r="49">
          <cell r="J49">
            <v>625674.59</v>
          </cell>
          <cell r="L49">
            <v>1473381.7399999998</v>
          </cell>
        </row>
      </sheetData>
      <sheetData sheetId="11" refreshError="1">
        <row r="18">
          <cell r="K18">
            <v>-10788</v>
          </cell>
        </row>
        <row r="32">
          <cell r="K32">
            <v>492891.37999999989</v>
          </cell>
        </row>
        <row r="34">
          <cell r="M34">
            <v>708801.83933333354</v>
          </cell>
        </row>
      </sheetData>
      <sheetData sheetId="12" refreshError="1"/>
      <sheetData sheetId="13" refreshError="1">
        <row r="16">
          <cell r="R16">
            <v>640000</v>
          </cell>
        </row>
        <row r="30">
          <cell r="L30" t="e">
            <v>#NAME?</v>
          </cell>
          <cell r="R30">
            <v>640000</v>
          </cell>
        </row>
        <row r="39">
          <cell r="L39" t="e">
            <v>#NAME?</v>
          </cell>
          <cell r="N39">
            <v>2930582.6533333338</v>
          </cell>
        </row>
      </sheetData>
      <sheetData sheetId="14" refreshError="1">
        <row r="40">
          <cell r="D40">
            <v>319498.44</v>
          </cell>
          <cell r="H40">
            <v>262812.46999999997</v>
          </cell>
          <cell r="J40">
            <v>333538.55</v>
          </cell>
        </row>
      </sheetData>
      <sheetData sheetId="15" refreshError="1">
        <row r="6">
          <cell r="L6" t="e">
            <v>#NAME?</v>
          </cell>
          <cell r="N6">
            <v>129000</v>
          </cell>
        </row>
        <row r="21">
          <cell r="L21" t="e">
            <v>#NAME?</v>
          </cell>
          <cell r="N21">
            <v>474297</v>
          </cell>
        </row>
      </sheetData>
      <sheetData sheetId="16" refreshError="1">
        <row r="32">
          <cell r="L32" t="e">
            <v>#NAME?</v>
          </cell>
        </row>
        <row r="33">
          <cell r="N33">
            <v>2000000</v>
          </cell>
        </row>
      </sheetData>
      <sheetData sheetId="17" refreshError="1"/>
      <sheetData sheetId="18" refreshError="1">
        <row r="27">
          <cell r="R27">
            <v>1511460.264923</v>
          </cell>
        </row>
        <row r="48">
          <cell r="L48">
            <v>279224.90000000002</v>
          </cell>
          <cell r="N48">
            <v>418312.44660399994</v>
          </cell>
        </row>
      </sheetData>
      <sheetData sheetId="19" refreshError="1">
        <row r="24">
          <cell r="G24">
            <v>223524.05</v>
          </cell>
          <cell r="K24" t="e">
            <v>#NAME?</v>
          </cell>
          <cell r="M24">
            <v>96719.207999999984</v>
          </cell>
        </row>
      </sheetData>
      <sheetData sheetId="20" refreshError="1"/>
      <sheetData sheetId="21" refreshError="1">
        <row r="5">
          <cell r="I5" t="e">
            <v>#NAME?</v>
          </cell>
          <cell r="K5">
            <v>127240</v>
          </cell>
        </row>
        <row r="101">
          <cell r="I101">
            <v>0</v>
          </cell>
          <cell r="K101">
            <v>41996.772000000004</v>
          </cell>
        </row>
      </sheetData>
      <sheetData sheetId="22" refreshError="1">
        <row r="13">
          <cell r="P13">
            <v>88000</v>
          </cell>
        </row>
        <row r="67">
          <cell r="J67">
            <v>0</v>
          </cell>
          <cell r="L67">
            <v>759054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zoomScaleNormal="100" workbookViewId="0">
      <selection activeCell="S29" sqref="S29"/>
    </sheetView>
  </sheetViews>
  <sheetFormatPr defaultRowHeight="12.75" x14ac:dyDescent="0.2"/>
  <cols>
    <col min="1" max="1" width="2" style="1" customWidth="1"/>
    <col min="2" max="2" width="60.7109375" style="1" bestFit="1" customWidth="1"/>
    <col min="3" max="3" width="1.28515625" style="1" customWidth="1"/>
    <col min="4" max="4" width="17.140625" style="1" hidden="1" customWidth="1"/>
    <col min="5" max="5" width="1.28515625" style="1" hidden="1" customWidth="1"/>
    <col min="6" max="6" width="17.7109375" style="1" hidden="1" customWidth="1"/>
    <col min="7" max="7" width="1.28515625" style="1" hidden="1" customWidth="1"/>
    <col min="8" max="8" width="17.140625" style="1" hidden="1" customWidth="1"/>
    <col min="9" max="9" width="1.28515625" style="1" hidden="1" customWidth="1"/>
    <col min="10" max="10" width="1.28515625" style="1" customWidth="1"/>
    <col min="11" max="11" width="16" style="23" customWidth="1"/>
    <col min="12" max="12" width="9.140625" style="1"/>
    <col min="13" max="13" width="16" style="23" customWidth="1"/>
    <col min="14" max="14" width="5.7109375" style="1" customWidth="1"/>
    <col min="15" max="15" width="14.140625" style="1" customWidth="1"/>
    <col min="16" max="16" width="4.85546875" style="1" customWidth="1"/>
    <col min="17" max="20" width="15.5703125" style="1" customWidth="1"/>
    <col min="21" max="16384" width="9.140625" style="1"/>
  </cols>
  <sheetData>
    <row r="1" spans="1:17" ht="21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3"/>
      <c r="N1" s="73"/>
      <c r="O1" s="73"/>
      <c r="P1" s="73"/>
      <c r="Q1" s="73"/>
    </row>
    <row r="2" spans="1:17" ht="21" x14ac:dyDescent="0.3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  <c r="M2" s="73"/>
      <c r="N2" s="73"/>
      <c r="O2" s="73"/>
      <c r="P2" s="73"/>
      <c r="Q2" s="73"/>
    </row>
    <row r="3" spans="1:17" ht="21" x14ac:dyDescent="0.35">
      <c r="B3" s="74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  <c r="N3" s="73"/>
      <c r="O3" s="73"/>
      <c r="P3" s="73"/>
      <c r="Q3" s="73"/>
    </row>
    <row r="4" spans="1:17" x14ac:dyDescent="0.2">
      <c r="B4" s="2"/>
      <c r="H4" s="3"/>
      <c r="K4" s="4"/>
      <c r="M4" s="4"/>
    </row>
    <row r="5" spans="1:17" s="7" customFormat="1" x14ac:dyDescent="0.2">
      <c r="A5" s="5"/>
      <c r="B5" s="3"/>
      <c r="C5" s="3"/>
      <c r="D5" s="6" t="s">
        <v>3</v>
      </c>
      <c r="E5" s="3"/>
      <c r="F5" s="6" t="s">
        <v>3</v>
      </c>
      <c r="G5" s="3"/>
      <c r="H5" s="6" t="s">
        <v>4</v>
      </c>
      <c r="I5" s="3"/>
      <c r="J5" s="3"/>
      <c r="K5" s="4"/>
      <c r="M5" s="4"/>
    </row>
    <row r="6" spans="1:17" s="7" customFormat="1" x14ac:dyDescent="0.2">
      <c r="A6" s="5"/>
      <c r="B6" s="3"/>
      <c r="C6" s="3"/>
      <c r="D6" s="3" t="s">
        <v>5</v>
      </c>
      <c r="E6" s="3"/>
      <c r="F6" s="3" t="s">
        <v>6</v>
      </c>
      <c r="G6" s="3"/>
      <c r="H6" s="8" t="s">
        <v>45</v>
      </c>
      <c r="I6" s="3"/>
      <c r="J6" s="3"/>
      <c r="K6" s="4" t="s">
        <v>7</v>
      </c>
      <c r="M6" s="4" t="s">
        <v>8</v>
      </c>
      <c r="O6" s="9" t="s">
        <v>9</v>
      </c>
      <c r="P6" s="9"/>
      <c r="Q6" s="4" t="s">
        <v>10</v>
      </c>
    </row>
    <row r="7" spans="1:17" s="7" customFormat="1" ht="13.5" thickBot="1" x14ac:dyDescent="0.25">
      <c r="A7" s="10" t="s">
        <v>11</v>
      </c>
      <c r="B7" s="3"/>
      <c r="C7" s="3"/>
      <c r="D7" s="11" t="str">
        <f>CONCATENATE([1]REVENUES!E2,[1]REVENUES!C2)</f>
        <v>Thru February</v>
      </c>
      <c r="E7" s="3"/>
      <c r="F7" s="12" t="s">
        <v>12</v>
      </c>
      <c r="G7" s="3"/>
      <c r="H7" s="12" t="s">
        <v>13</v>
      </c>
      <c r="I7" s="3"/>
      <c r="J7" s="3"/>
      <c r="K7" s="13" t="s">
        <v>13</v>
      </c>
      <c r="M7" s="14" t="str">
        <f>B3</f>
        <v>As of 12/31/2018</v>
      </c>
      <c r="O7" s="15" t="s">
        <v>46</v>
      </c>
      <c r="P7" s="9"/>
      <c r="Q7" s="14" t="str">
        <f>M7</f>
        <v>As of 12/31/2018</v>
      </c>
    </row>
    <row r="8" spans="1:17" ht="17.25" hidden="1" customHeight="1" x14ac:dyDescent="0.25">
      <c r="B8" s="1" t="s">
        <v>14</v>
      </c>
      <c r="C8" s="16">
        <f>(-SUM(C19:C29))</f>
        <v>0</v>
      </c>
      <c r="D8" s="17" t="e">
        <f>'[1]Investment Income'!N11+'[1]Investment Income'!N16</f>
        <v>#NAME?</v>
      </c>
      <c r="E8" s="18"/>
      <c r="F8" s="18">
        <f>'[1]Investment Income'!P19</f>
        <v>2587033.58</v>
      </c>
      <c r="G8" s="18"/>
      <c r="H8" s="18" t="e">
        <f>F8-#REF!</f>
        <v>#REF!</v>
      </c>
      <c r="I8" s="19"/>
      <c r="J8" s="19"/>
      <c r="K8" s="20">
        <v>0</v>
      </c>
      <c r="M8" s="20">
        <v>0</v>
      </c>
    </row>
    <row r="9" spans="1:17" ht="17.25" customHeight="1" x14ac:dyDescent="0.25">
      <c r="B9" s="1" t="s">
        <v>15</v>
      </c>
      <c r="C9" s="21"/>
      <c r="D9" s="17" t="e">
        <f>'[1]HOME &amp; Special Programs'!L32</f>
        <v>#NAME?</v>
      </c>
      <c r="E9" s="21"/>
      <c r="F9" s="21">
        <f>'[1]HOME &amp; Special Programs'!N33</f>
        <v>2000000</v>
      </c>
      <c r="G9" s="21"/>
      <c r="H9" s="22" t="e">
        <f>F9-#REF!</f>
        <v>#REF!</v>
      </c>
      <c r="I9" s="21"/>
      <c r="J9" s="21"/>
      <c r="K9" s="20">
        <v>1720000</v>
      </c>
      <c r="L9" s="23"/>
      <c r="M9" s="20">
        <v>670477.4</v>
      </c>
      <c r="O9" s="24">
        <v>1122097</v>
      </c>
      <c r="Q9" s="25">
        <f t="shared" ref="Q9:Q21" si="0">K9-O9</f>
        <v>597903</v>
      </c>
    </row>
    <row r="10" spans="1:17" ht="17.25" customHeight="1" x14ac:dyDescent="0.25">
      <c r="B10" s="1" t="s">
        <v>16</v>
      </c>
      <c r="C10" s="26"/>
      <c r="D10" s="17">
        <f>'[1]HUD Disposition Properties'!K18+'[1]HUD Disposition Properties'!K32</f>
        <v>482103.37999999989</v>
      </c>
      <c r="E10" s="21"/>
      <c r="F10" s="27">
        <f>'[1]HUD Disposition Properties'!M34</f>
        <v>708801.83933333354</v>
      </c>
      <c r="G10" s="21"/>
      <c r="H10" s="28" t="e">
        <f>F10-#REF!</f>
        <v>#REF!</v>
      </c>
      <c r="I10" s="21"/>
      <c r="J10" s="21"/>
      <c r="K10" s="22">
        <v>1857544</v>
      </c>
      <c r="L10" s="23"/>
      <c r="M10" s="22">
        <v>688436.51</v>
      </c>
      <c r="O10" s="24">
        <v>1764666</v>
      </c>
      <c r="Q10" s="25">
        <f t="shared" si="0"/>
        <v>92878</v>
      </c>
    </row>
    <row r="11" spans="1:17" ht="17.25" customHeight="1" x14ac:dyDescent="0.25">
      <c r="B11" s="29" t="s">
        <v>17</v>
      </c>
      <c r="C11" s="21"/>
      <c r="D11" s="17"/>
      <c r="E11" s="21"/>
      <c r="F11" s="21"/>
      <c r="G11" s="21"/>
      <c r="H11" s="28"/>
      <c r="I11" s="21"/>
      <c r="J11" s="21"/>
      <c r="K11" s="22">
        <v>2487649</v>
      </c>
      <c r="L11" s="23"/>
      <c r="M11" s="22">
        <v>1006828.1799999996</v>
      </c>
      <c r="O11" s="24">
        <v>2478320</v>
      </c>
      <c r="Q11" s="25">
        <f t="shared" si="0"/>
        <v>9329</v>
      </c>
    </row>
    <row r="12" spans="1:17" ht="17.25" customHeight="1" x14ac:dyDescent="0.25">
      <c r="B12" s="23" t="s">
        <v>18</v>
      </c>
      <c r="C12" s="28"/>
      <c r="D12" s="28" t="e">
        <f>'[1]Compliance &amp; Energy'!L6</f>
        <v>#NAME?</v>
      </c>
      <c r="E12" s="28"/>
      <c r="F12" s="17">
        <f>'[1]Compliance &amp; Energy'!N6</f>
        <v>129000</v>
      </c>
      <c r="G12" s="28"/>
      <c r="H12" s="22" t="e">
        <f>F12-#REF!</f>
        <v>#REF!</v>
      </c>
      <c r="I12" s="28"/>
      <c r="J12" s="28"/>
      <c r="K12" s="28">
        <v>246020</v>
      </c>
      <c r="L12" s="23"/>
      <c r="M12" s="28">
        <v>15650</v>
      </c>
      <c r="O12" s="24">
        <v>254360</v>
      </c>
      <c r="Q12" s="25">
        <f t="shared" si="0"/>
        <v>-8340</v>
      </c>
    </row>
    <row r="13" spans="1:17" ht="17.25" customHeight="1" x14ac:dyDescent="0.25">
      <c r="B13" s="1" t="s">
        <v>19</v>
      </c>
      <c r="C13" s="30"/>
      <c r="D13" s="28">
        <f>+'[1]Multi-Family Issuer Fees'!H40</f>
        <v>262812.46999999997</v>
      </c>
      <c r="E13" s="28"/>
      <c r="F13" s="28">
        <f>'[1]Multi-Family Issuer Fees'!J40</f>
        <v>333538.55</v>
      </c>
      <c r="G13" s="28"/>
      <c r="H13" s="28" t="e">
        <f>F13-#REF!</f>
        <v>#REF!</v>
      </c>
      <c r="I13" s="28"/>
      <c r="J13" s="28"/>
      <c r="K13" s="22">
        <v>1100000</v>
      </c>
      <c r="L13" s="23"/>
      <c r="M13" s="22">
        <v>1291238.25</v>
      </c>
      <c r="O13" s="24">
        <v>1805034</v>
      </c>
      <c r="Q13" s="25">
        <f t="shared" si="0"/>
        <v>-705034</v>
      </c>
    </row>
    <row r="14" spans="1:17" ht="17.25" customHeight="1" x14ac:dyDescent="0.2">
      <c r="B14" s="23" t="s">
        <v>20</v>
      </c>
      <c r="C14" s="21"/>
      <c r="D14" s="21" t="e">
        <f>'[1]Multi Family TC and S8CA'!L30</f>
        <v>#NAME?</v>
      </c>
      <c r="E14" s="21"/>
      <c r="F14" s="21">
        <f>'[1]Multi Family TC and S8CA'!R30</f>
        <v>640000</v>
      </c>
      <c r="G14" s="21"/>
      <c r="H14" s="28" t="e">
        <f>F14-#REF!</f>
        <v>#REF!</v>
      </c>
      <c r="I14" s="21"/>
      <c r="J14" s="21"/>
      <c r="K14" s="28">
        <v>210000</v>
      </c>
      <c r="L14" s="23"/>
      <c r="M14" s="28">
        <v>134883.32</v>
      </c>
      <c r="O14" s="24">
        <v>313841</v>
      </c>
      <c r="Q14" s="25">
        <f t="shared" si="0"/>
        <v>-103841</v>
      </c>
    </row>
    <row r="15" spans="1:17" ht="17.25" customHeight="1" x14ac:dyDescent="0.2">
      <c r="B15" s="1" t="s">
        <v>21</v>
      </c>
      <c r="C15" s="21"/>
      <c r="D15" s="21" t="e">
        <f>'[1]Compliance &amp; Energy'!L21</f>
        <v>#NAME?</v>
      </c>
      <c r="E15" s="21"/>
      <c r="F15" s="21">
        <f>'[1]Compliance &amp; Energy'!N21</f>
        <v>474297</v>
      </c>
      <c r="G15" s="21"/>
      <c r="H15" s="28" t="e">
        <f>F15-#REF!</f>
        <v>#REF!</v>
      </c>
      <c r="I15" s="21"/>
      <c r="J15" s="21"/>
      <c r="K15" s="28">
        <v>1374327</v>
      </c>
      <c r="L15" s="23"/>
      <c r="M15" s="28">
        <v>532299.12</v>
      </c>
      <c r="O15" s="24">
        <v>981706</v>
      </c>
      <c r="Q15" s="25">
        <f t="shared" si="0"/>
        <v>392621</v>
      </c>
    </row>
    <row r="16" spans="1:17" ht="17.25" customHeight="1" x14ac:dyDescent="0.2">
      <c r="B16" s="1" t="s">
        <v>22</v>
      </c>
      <c r="C16" s="21"/>
      <c r="D16" s="21" t="e">
        <f>'[1]Multi Family TC and S8CA'!L39</f>
        <v>#NAME?</v>
      </c>
      <c r="E16" s="21"/>
      <c r="F16" s="21">
        <f>'[1]Multi Family TC and S8CA'!N39</f>
        <v>2930582.6533333338</v>
      </c>
      <c r="G16" s="21"/>
      <c r="H16" s="28" t="e">
        <f>F16-#REF!</f>
        <v>#REF!</v>
      </c>
      <c r="I16" s="21"/>
      <c r="J16" s="21"/>
      <c r="K16" s="28">
        <v>3283488</v>
      </c>
      <c r="L16" s="23"/>
      <c r="M16" s="28">
        <v>1696874.9600000002</v>
      </c>
      <c r="O16" s="24">
        <v>3340006</v>
      </c>
      <c r="Q16" s="25">
        <f t="shared" si="0"/>
        <v>-56518</v>
      </c>
    </row>
    <row r="17" spans="1:23" ht="17.25" customHeight="1" x14ac:dyDescent="0.2">
      <c r="B17" s="29" t="s">
        <v>23</v>
      </c>
      <c r="C17" s="21"/>
      <c r="D17" s="21" t="e">
        <f>'[1]Single Family'!M19</f>
        <v>#NAME?</v>
      </c>
      <c r="E17" s="21"/>
      <c r="F17" s="21">
        <f>'[1]Single Family'!S19</f>
        <v>347015</v>
      </c>
      <c r="G17" s="21"/>
      <c r="H17" s="21" t="e">
        <f>F17-#REF!</f>
        <v>#REF!</v>
      </c>
      <c r="I17" s="21"/>
      <c r="J17" s="21"/>
      <c r="K17" s="28">
        <v>1185690</v>
      </c>
      <c r="L17" s="23"/>
      <c r="M17" s="28">
        <v>160440.46000000002</v>
      </c>
      <c r="O17" s="24">
        <v>450721</v>
      </c>
      <c r="Q17" s="25">
        <f t="shared" si="0"/>
        <v>734969</v>
      </c>
    </row>
    <row r="18" spans="1:23" ht="17.25" customHeight="1" x14ac:dyDescent="0.2">
      <c r="B18" s="23" t="s">
        <v>24</v>
      </c>
      <c r="C18" s="28"/>
      <c r="D18" s="28">
        <f>'[1]Single Family Issuer Fees'!J49</f>
        <v>625674.59</v>
      </c>
      <c r="E18" s="28"/>
      <c r="F18" s="28">
        <f>'[1]Single Family Issuer Fees'!L49</f>
        <v>1473381.7399999998</v>
      </c>
      <c r="G18" s="28"/>
      <c r="H18" s="28" t="e">
        <f>F18-#REF!</f>
        <v>#REF!</v>
      </c>
      <c r="I18" s="28"/>
      <c r="J18" s="28"/>
      <c r="K18" s="31">
        <v>550000</v>
      </c>
      <c r="L18" s="23"/>
      <c r="M18" s="31">
        <v>452127.19000000029</v>
      </c>
      <c r="O18" s="24">
        <v>782055</v>
      </c>
      <c r="Q18" s="25">
        <f t="shared" si="0"/>
        <v>-232055</v>
      </c>
    </row>
    <row r="19" spans="1:23" ht="17.25" customHeight="1" x14ac:dyDescent="0.25">
      <c r="B19" s="1" t="s">
        <v>25</v>
      </c>
      <c r="C19" s="21"/>
      <c r="D19" s="17"/>
      <c r="E19" s="21"/>
      <c r="F19" s="21"/>
      <c r="G19" s="21"/>
      <c r="H19" s="28"/>
      <c r="I19" s="21"/>
      <c r="J19" s="21"/>
      <c r="K19" s="22">
        <v>4621476</v>
      </c>
      <c r="L19" s="23"/>
      <c r="M19" s="22">
        <v>1171432.0999999996</v>
      </c>
      <c r="O19" s="24">
        <v>2403141</v>
      </c>
      <c r="Q19" s="25">
        <f t="shared" si="0"/>
        <v>2218335</v>
      </c>
    </row>
    <row r="20" spans="1:23" ht="17.25" customHeight="1" x14ac:dyDescent="0.25">
      <c r="B20" s="1" t="s">
        <v>26</v>
      </c>
      <c r="C20" s="21"/>
      <c r="D20" s="17"/>
      <c r="E20" s="21"/>
      <c r="F20" s="21"/>
      <c r="G20" s="21"/>
      <c r="H20" s="28"/>
      <c r="I20" s="21"/>
      <c r="J20" s="21"/>
      <c r="K20" s="22">
        <v>150000</v>
      </c>
      <c r="L20" s="23"/>
      <c r="M20" s="22">
        <v>24005</v>
      </c>
      <c r="O20" s="24">
        <v>150000</v>
      </c>
      <c r="Q20" s="25">
        <f t="shared" si="0"/>
        <v>0</v>
      </c>
    </row>
    <row r="21" spans="1:23" s="23" customFormat="1" ht="17.25" customHeight="1" x14ac:dyDescent="0.25">
      <c r="B21" s="32" t="s">
        <v>27</v>
      </c>
      <c r="C21" s="28"/>
      <c r="D21" s="28"/>
      <c r="E21" s="28"/>
      <c r="F21" s="28"/>
      <c r="G21" s="28"/>
      <c r="H21" s="33"/>
      <c r="I21" s="28"/>
      <c r="J21" s="28"/>
      <c r="K21" s="22">
        <v>18000</v>
      </c>
      <c r="M21" s="22">
        <v>13300.59</v>
      </c>
      <c r="O21" s="34">
        <v>25491</v>
      </c>
      <c r="Q21" s="25">
        <f t="shared" si="0"/>
        <v>-7491</v>
      </c>
      <c r="V21" s="1"/>
      <c r="W21" s="1"/>
    </row>
    <row r="22" spans="1:23" s="2" customFormat="1" ht="13.5" thickBot="1" x14ac:dyDescent="0.25">
      <c r="B22" s="35" t="s">
        <v>28</v>
      </c>
      <c r="C22" s="36"/>
      <c r="D22" s="37" t="e">
        <f>SUM(D8:D19)</f>
        <v>#NAME?</v>
      </c>
      <c r="E22" s="36"/>
      <c r="F22" s="37">
        <f>SUM(F8:F19)</f>
        <v>11623650.362666667</v>
      </c>
      <c r="G22" s="36"/>
      <c r="H22" s="38" t="e">
        <f>SUM(H8:H19)</f>
        <v>#REF!</v>
      </c>
      <c r="I22" s="36"/>
      <c r="J22" s="36"/>
      <c r="K22" s="39">
        <f>SUM(K8:K21)</f>
        <v>18804194</v>
      </c>
      <c r="M22" s="39">
        <f>SUM(M8:M21)</f>
        <v>7857993.0799999991</v>
      </c>
      <c r="O22" s="39">
        <f>SUM(O8:O21)</f>
        <v>15871438</v>
      </c>
      <c r="Q22" s="39">
        <f>SUM(Q9:Q21)</f>
        <v>2932756</v>
      </c>
      <c r="U22" s="23"/>
      <c r="V22" s="23"/>
      <c r="W22" s="23"/>
    </row>
    <row r="23" spans="1:23" x14ac:dyDescent="0.2">
      <c r="C23" s="21"/>
      <c r="D23" s="21"/>
      <c r="E23" s="21"/>
      <c r="F23" s="21"/>
      <c r="G23" s="21"/>
      <c r="H23" s="21"/>
      <c r="I23" s="21"/>
      <c r="J23" s="21"/>
      <c r="K23" s="28"/>
      <c r="M23" s="28"/>
      <c r="V23" s="23"/>
      <c r="W23" s="23"/>
    </row>
    <row r="24" spans="1:23" x14ac:dyDescent="0.2">
      <c r="A24" s="10" t="s">
        <v>29</v>
      </c>
      <c r="C24" s="21"/>
      <c r="D24" s="21"/>
      <c r="E24" s="21"/>
      <c r="F24" s="21"/>
      <c r="G24" s="21"/>
      <c r="H24" s="21"/>
      <c r="I24" s="21"/>
      <c r="J24" s="21"/>
      <c r="K24" s="28"/>
      <c r="M24" s="28"/>
      <c r="V24" s="23"/>
      <c r="W24" s="23"/>
    </row>
    <row r="25" spans="1:23" ht="17.25" customHeight="1" x14ac:dyDescent="0.25">
      <c r="B25" s="1" t="s">
        <v>30</v>
      </c>
      <c r="C25" s="19"/>
      <c r="D25" s="19">
        <f>[1]Personnel!L48</f>
        <v>279224.90000000002</v>
      </c>
      <c r="E25" s="19"/>
      <c r="F25" s="19">
        <f>[1]Personnel!N48</f>
        <v>418312.44660399994</v>
      </c>
      <c r="G25" s="19"/>
      <c r="H25" s="28" t="e">
        <f>F25-#REF!</f>
        <v>#REF!</v>
      </c>
      <c r="I25" s="19"/>
      <c r="J25" s="19"/>
      <c r="K25" s="20">
        <v>12349000</v>
      </c>
      <c r="M25" s="20">
        <v>5613222.4600000009</v>
      </c>
      <c r="O25" s="40">
        <v>11226444</v>
      </c>
      <c r="Q25" s="25">
        <f t="shared" ref="Q25:Q35" si="1">K25-O25</f>
        <v>1122556</v>
      </c>
      <c r="V25" s="23"/>
      <c r="W25" s="23"/>
    </row>
    <row r="26" spans="1:23" ht="17.25" customHeight="1" x14ac:dyDescent="0.25">
      <c r="B26" s="1" t="s">
        <v>31</v>
      </c>
      <c r="C26" s="21"/>
      <c r="D26" s="28" t="e">
        <f>+[1]Travel!K24</f>
        <v>#NAME?</v>
      </c>
      <c r="E26" s="21"/>
      <c r="F26" s="21">
        <f>+[1]Travel!M24</f>
        <v>96719.207999999984</v>
      </c>
      <c r="G26" s="21"/>
      <c r="H26" s="28" t="e">
        <f>F26-#REF!</f>
        <v>#REF!</v>
      </c>
      <c r="I26" s="21"/>
      <c r="J26" s="21"/>
      <c r="K26" s="22">
        <v>433878</v>
      </c>
      <c r="M26" s="22">
        <v>127810.19</v>
      </c>
      <c r="O26" s="40">
        <v>250255</v>
      </c>
      <c r="Q26" s="25">
        <f t="shared" si="1"/>
        <v>183623</v>
      </c>
      <c r="V26" s="23"/>
      <c r="W26" s="23"/>
    </row>
    <row r="27" spans="1:23" ht="17.25" customHeight="1" x14ac:dyDescent="0.25">
      <c r="B27" s="1" t="s">
        <v>32</v>
      </c>
      <c r="C27" s="41"/>
      <c r="D27" s="28" t="e">
        <f>#REF!</f>
        <v>#REF!</v>
      </c>
      <c r="E27" s="41"/>
      <c r="F27" s="28" t="e">
        <f>#REF!</f>
        <v>#REF!</v>
      </c>
      <c r="G27" s="28"/>
      <c r="H27" s="28" t="e">
        <f>F27-#REF!</f>
        <v>#REF!</v>
      </c>
      <c r="I27" s="41"/>
      <c r="J27" s="41"/>
      <c r="K27" s="22">
        <v>1409018</v>
      </c>
      <c r="M27" s="22">
        <v>643878.54999999981</v>
      </c>
      <c r="O27" s="40">
        <v>1336548</v>
      </c>
      <c r="Q27" s="25">
        <f t="shared" si="1"/>
        <v>72470</v>
      </c>
      <c r="V27" s="23"/>
      <c r="W27" s="23"/>
    </row>
    <row r="28" spans="1:23" ht="17.25" hidden="1" customHeight="1" x14ac:dyDescent="0.25">
      <c r="B28" s="29" t="s">
        <v>33</v>
      </c>
      <c r="C28" s="41"/>
      <c r="D28" s="42" t="e">
        <f>#REF!</f>
        <v>#REF!</v>
      </c>
      <c r="E28" s="41"/>
      <c r="F28" s="28" t="e">
        <f>#REF!</f>
        <v>#REF!</v>
      </c>
      <c r="G28" s="28"/>
      <c r="H28" s="22" t="e">
        <f>F28-#REF!</f>
        <v>#REF!</v>
      </c>
      <c r="I28" s="41"/>
      <c r="J28" s="41"/>
      <c r="K28" s="22"/>
      <c r="M28" s="22"/>
      <c r="O28" s="40"/>
      <c r="Q28" s="25">
        <f t="shared" si="1"/>
        <v>0</v>
      </c>
      <c r="V28" s="23"/>
      <c r="W28" s="23"/>
    </row>
    <row r="29" spans="1:23" ht="17.25" customHeight="1" x14ac:dyDescent="0.25">
      <c r="B29" s="29" t="s">
        <v>34</v>
      </c>
      <c r="C29" s="41"/>
      <c r="D29" s="43" t="e">
        <f>#REF!</f>
        <v>#REF!</v>
      </c>
      <c r="E29" s="41"/>
      <c r="F29" s="28" t="e">
        <f>#REF!</f>
        <v>#REF!</v>
      </c>
      <c r="G29" s="28"/>
      <c r="H29" s="28" t="e">
        <f>F29-#REF!</f>
        <v>#REF!</v>
      </c>
      <c r="I29" s="41"/>
      <c r="J29" s="41"/>
      <c r="K29" s="22">
        <v>431960</v>
      </c>
      <c r="M29" s="22">
        <v>188509</v>
      </c>
      <c r="O29" s="40">
        <v>434496</v>
      </c>
      <c r="Q29" s="25">
        <f t="shared" si="1"/>
        <v>-2536</v>
      </c>
      <c r="V29" s="23"/>
      <c r="W29" s="23"/>
    </row>
    <row r="30" spans="1:23" ht="17.25" customHeight="1" x14ac:dyDescent="0.25">
      <c r="B30" s="1" t="s">
        <v>35</v>
      </c>
      <c r="C30" s="41"/>
      <c r="D30" s="28" t="e">
        <f>#REF!</f>
        <v>#REF!</v>
      </c>
      <c r="E30" s="41"/>
      <c r="F30" s="28" t="e">
        <f>#REF!</f>
        <v>#REF!</v>
      </c>
      <c r="G30" s="28"/>
      <c r="H30" s="28" t="e">
        <f>F30-#REF!</f>
        <v>#REF!</v>
      </c>
      <c r="I30" s="41"/>
      <c r="J30" s="41"/>
      <c r="K30" s="22">
        <v>125120</v>
      </c>
      <c r="M30" s="22">
        <v>41493.9</v>
      </c>
      <c r="O30" s="40">
        <v>77412</v>
      </c>
      <c r="Q30" s="25">
        <f t="shared" si="1"/>
        <v>47708</v>
      </c>
      <c r="V30" s="23"/>
      <c r="W30" s="23"/>
    </row>
    <row r="31" spans="1:23" ht="17.25" customHeight="1" x14ac:dyDescent="0.25">
      <c r="B31" s="29" t="s">
        <v>36</v>
      </c>
      <c r="C31" s="41"/>
      <c r="D31" s="28" t="e">
        <f>'[1]Auditing &amp; Legal'!I5</f>
        <v>#NAME?</v>
      </c>
      <c r="E31" s="41"/>
      <c r="F31" s="22">
        <f>'[1]Auditing &amp; Legal'!K5</f>
        <v>127240</v>
      </c>
      <c r="G31" s="28"/>
      <c r="H31" s="28" t="e">
        <f>F31-#REF!</f>
        <v>#REF!</v>
      </c>
      <c r="I31" s="41"/>
      <c r="J31" s="41"/>
      <c r="K31" s="22">
        <v>151400</v>
      </c>
      <c r="M31" s="22">
        <v>148207.5</v>
      </c>
      <c r="O31" s="40">
        <v>148208</v>
      </c>
      <c r="Q31" s="25">
        <f t="shared" si="1"/>
        <v>3192</v>
      </c>
      <c r="V31" s="23"/>
      <c r="W31" s="23"/>
    </row>
    <row r="32" spans="1:23" ht="17.25" customHeight="1" x14ac:dyDescent="0.25">
      <c r="B32" s="29" t="s">
        <v>37</v>
      </c>
      <c r="C32" s="41"/>
      <c r="D32" s="28">
        <f>'[1]Auditing &amp; Legal'!I101</f>
        <v>0</v>
      </c>
      <c r="E32" s="41"/>
      <c r="F32" s="28">
        <f>'[1]Auditing &amp; Legal'!K101</f>
        <v>41996.772000000004</v>
      </c>
      <c r="G32" s="28"/>
      <c r="H32" s="28" t="e">
        <f>F32-#REF!</f>
        <v>#REF!</v>
      </c>
      <c r="I32" s="41"/>
      <c r="J32" s="41"/>
      <c r="K32" s="22">
        <v>90000</v>
      </c>
      <c r="M32" s="22">
        <v>68674.010000000009</v>
      </c>
      <c r="O32" s="40">
        <v>125250</v>
      </c>
      <c r="Q32" s="25">
        <f t="shared" si="1"/>
        <v>-35250</v>
      </c>
      <c r="V32" s="23"/>
      <c r="W32" s="23"/>
    </row>
    <row r="33" spans="1:23" ht="17.25" customHeight="1" x14ac:dyDescent="0.25">
      <c r="B33" s="1" t="s">
        <v>38</v>
      </c>
      <c r="C33" s="41"/>
      <c r="D33" s="43">
        <f>'[1]Other Prof Services'!J67</f>
        <v>0</v>
      </c>
      <c r="E33" s="41"/>
      <c r="F33" s="22">
        <f>'[1]Other Prof Services'!L67</f>
        <v>759054</v>
      </c>
      <c r="G33" s="28"/>
      <c r="H33" s="28" t="e">
        <f>F33-#REF!</f>
        <v>#REF!</v>
      </c>
      <c r="I33" s="41"/>
      <c r="J33" s="41"/>
      <c r="K33" s="22">
        <v>3361381</v>
      </c>
      <c r="M33" s="22">
        <v>964997.15</v>
      </c>
      <c r="O33" s="40">
        <v>1934521</v>
      </c>
      <c r="Q33" s="25">
        <f t="shared" si="1"/>
        <v>1426860</v>
      </c>
      <c r="V33" s="23"/>
      <c r="W33" s="23"/>
    </row>
    <row r="34" spans="1:23" ht="18" customHeight="1" x14ac:dyDescent="0.25">
      <c r="B34" s="29" t="s">
        <v>39</v>
      </c>
      <c r="C34" s="41"/>
      <c r="D34" s="44"/>
      <c r="E34" s="41"/>
      <c r="F34" s="28"/>
      <c r="G34" s="28"/>
      <c r="H34" s="22"/>
      <c r="I34" s="41"/>
      <c r="J34" s="41"/>
      <c r="K34" s="28">
        <v>120000</v>
      </c>
      <c r="M34" s="22">
        <v>4514.12</v>
      </c>
      <c r="O34" s="40">
        <v>120000</v>
      </c>
      <c r="Q34" s="25">
        <f t="shared" si="1"/>
        <v>0</v>
      </c>
      <c r="V34" s="23"/>
      <c r="W34" s="23"/>
    </row>
    <row r="35" spans="1:23" ht="18" customHeight="1" x14ac:dyDescent="0.25">
      <c r="B35" s="29" t="s">
        <v>40</v>
      </c>
      <c r="C35" s="41"/>
      <c r="D35" s="43"/>
      <c r="E35" s="41"/>
      <c r="F35" s="28"/>
      <c r="G35" s="28"/>
      <c r="H35" s="22"/>
      <c r="I35" s="41"/>
      <c r="J35" s="41"/>
      <c r="K35" s="28">
        <v>49428</v>
      </c>
      <c r="M35" s="28"/>
      <c r="O35" s="40">
        <v>0</v>
      </c>
      <c r="Q35" s="25">
        <f t="shared" si="1"/>
        <v>49428</v>
      </c>
      <c r="V35" s="23"/>
      <c r="W35" s="23"/>
    </row>
    <row r="36" spans="1:23" s="45" customFormat="1" ht="13.5" thickBot="1" x14ac:dyDescent="0.25">
      <c r="B36" s="35" t="s">
        <v>41</v>
      </c>
      <c r="C36" s="46"/>
      <c r="D36" s="39" t="e">
        <f>SUM(D25:D33)</f>
        <v>#NAME?</v>
      </c>
      <c r="E36" s="41"/>
      <c r="F36" s="47" t="e">
        <f>SUM(F25:F34)</f>
        <v>#REF!</v>
      </c>
      <c r="G36" s="48"/>
      <c r="H36" s="49" t="e">
        <f>SUM(H25:H34)</f>
        <v>#REF!</v>
      </c>
      <c r="I36" s="41"/>
      <c r="J36" s="41"/>
      <c r="K36" s="50">
        <f>SUM(K25:K35)</f>
        <v>18521185</v>
      </c>
      <c r="L36" s="51"/>
      <c r="M36" s="50">
        <f>SUM(M25:M35)</f>
        <v>7801306.8800000018</v>
      </c>
      <c r="O36" s="50">
        <f>SUM(O25:O35)</f>
        <v>15653134</v>
      </c>
      <c r="Q36" s="50">
        <f>SUM(Q25:Q35)</f>
        <v>2868051</v>
      </c>
      <c r="V36" s="23"/>
      <c r="W36" s="23"/>
    </row>
    <row r="37" spans="1:23" x14ac:dyDescent="0.2">
      <c r="C37" s="28"/>
      <c r="D37" s="28"/>
      <c r="E37" s="21"/>
      <c r="F37" s="21"/>
      <c r="G37" s="21"/>
      <c r="H37" s="21"/>
      <c r="I37" s="21"/>
      <c r="J37" s="21"/>
      <c r="K37" s="28"/>
      <c r="M37" s="28"/>
      <c r="V37" s="23"/>
      <c r="W37" s="23"/>
    </row>
    <row r="38" spans="1:23" x14ac:dyDescent="0.2">
      <c r="B38" s="35"/>
      <c r="C38" s="28"/>
      <c r="D38" s="28"/>
      <c r="E38" s="21"/>
      <c r="F38" s="21"/>
      <c r="G38" s="21"/>
      <c r="H38" s="21"/>
      <c r="I38" s="21"/>
      <c r="J38" s="21"/>
      <c r="K38" s="28"/>
      <c r="M38" s="28"/>
      <c r="W38" s="23"/>
    </row>
    <row r="39" spans="1:23" ht="15" x14ac:dyDescent="0.25">
      <c r="B39" s="35" t="s">
        <v>42</v>
      </c>
      <c r="C39" s="52"/>
      <c r="D39" s="53" t="e">
        <f>+D22-D36</f>
        <v>#NAME?</v>
      </c>
      <c r="E39" s="22"/>
      <c r="F39" s="54" t="e">
        <f>+F22-F36</f>
        <v>#REF!</v>
      </c>
      <c r="G39" s="55"/>
      <c r="H39" s="56" t="e">
        <f>+H22-H36</f>
        <v>#REF!</v>
      </c>
      <c r="I39" s="22"/>
      <c r="J39" s="22"/>
      <c r="K39" s="57">
        <f>K22-K36</f>
        <v>283009</v>
      </c>
      <c r="M39" s="57">
        <f>M22-M36</f>
        <v>56686.199999997392</v>
      </c>
      <c r="O39" s="57">
        <f>O22-O36</f>
        <v>218304</v>
      </c>
      <c r="Q39" s="58"/>
      <c r="W39" s="23"/>
    </row>
    <row r="40" spans="1:23" x14ac:dyDescent="0.2">
      <c r="B40" s="35"/>
      <c r="C40" s="28"/>
      <c r="D40" s="28"/>
      <c r="E40" s="21"/>
      <c r="F40" s="21"/>
      <c r="G40" s="21"/>
      <c r="H40" s="21"/>
      <c r="I40" s="41"/>
      <c r="J40" s="41"/>
      <c r="K40" s="28"/>
      <c r="M40" s="28"/>
      <c r="Q40" s="7"/>
    </row>
    <row r="41" spans="1:23" ht="15.75" thickBot="1" x14ac:dyDescent="0.3">
      <c r="A41" s="2" t="s">
        <v>43</v>
      </c>
      <c r="B41" s="59"/>
      <c r="C41" s="60"/>
      <c r="D41" s="61">
        <v>129101.75</v>
      </c>
      <c r="E41" s="42"/>
      <c r="F41" s="61">
        <f>D41/8*12</f>
        <v>193652.625</v>
      </c>
      <c r="G41" s="62"/>
      <c r="H41" s="63" t="e">
        <f>F41-#REF!</f>
        <v>#REF!</v>
      </c>
      <c r="I41" s="42"/>
      <c r="J41" s="42"/>
      <c r="K41" s="64">
        <v>0</v>
      </c>
      <c r="M41" s="64"/>
      <c r="O41" s="65"/>
      <c r="Q41" s="60"/>
    </row>
    <row r="42" spans="1:23" x14ac:dyDescent="0.2">
      <c r="C42" s="28"/>
      <c r="D42" s="28"/>
      <c r="E42" s="21"/>
      <c r="F42" s="21"/>
      <c r="G42" s="21"/>
      <c r="H42" s="21"/>
      <c r="I42" s="21"/>
      <c r="J42" s="21"/>
      <c r="K42" s="28"/>
      <c r="M42" s="28"/>
      <c r="Q42" s="43"/>
    </row>
    <row r="43" spans="1:23" ht="13.5" thickBot="1" x14ac:dyDescent="0.25">
      <c r="B43" s="2" t="s">
        <v>44</v>
      </c>
      <c r="C43" s="66"/>
      <c r="D43" s="67" t="e">
        <f>D39-D41</f>
        <v>#NAME?</v>
      </c>
      <c r="E43" s="2"/>
      <c r="F43" s="68" t="e">
        <f>F39-F41</f>
        <v>#REF!</v>
      </c>
      <c r="G43" s="2"/>
      <c r="H43" s="68" t="e">
        <f>H39-H41</f>
        <v>#REF!</v>
      </c>
      <c r="I43" s="2"/>
      <c r="J43" s="2"/>
      <c r="K43" s="69">
        <f>K39-K41</f>
        <v>283009</v>
      </c>
      <c r="M43" s="69">
        <f>M39-M41</f>
        <v>56686.199999997392</v>
      </c>
      <c r="O43" s="69">
        <f>O39-O41</f>
        <v>218304</v>
      </c>
      <c r="Q43" s="70"/>
    </row>
    <row r="44" spans="1:23" ht="13.5" thickTop="1" x14ac:dyDescent="0.2">
      <c r="C44" s="23"/>
      <c r="D44" s="23"/>
      <c r="K44" s="71"/>
      <c r="M44" s="71"/>
    </row>
    <row r="45" spans="1:23" x14ac:dyDescent="0.2">
      <c r="E45" s="25"/>
    </row>
    <row r="46" spans="1:23" x14ac:dyDescent="0.2">
      <c r="E46" s="25"/>
    </row>
    <row r="47" spans="1:23" x14ac:dyDescent="0.2">
      <c r="E47" s="25"/>
    </row>
    <row r="48" spans="1:23" x14ac:dyDescent="0.2">
      <c r="E48" s="25"/>
    </row>
    <row r="49" spans="5:23" x14ac:dyDescent="0.2">
      <c r="E49" s="25"/>
    </row>
    <row r="50" spans="5:23" x14ac:dyDescent="0.2">
      <c r="E50" s="25"/>
      <c r="V50" s="45"/>
    </row>
    <row r="51" spans="5:23" x14ac:dyDescent="0.2">
      <c r="E51" s="25"/>
    </row>
    <row r="52" spans="5:23" x14ac:dyDescent="0.2">
      <c r="E52" s="25"/>
      <c r="W52" s="45"/>
    </row>
    <row r="53" spans="5:23" x14ac:dyDescent="0.2">
      <c r="E53" s="25"/>
    </row>
    <row r="54" spans="5:23" x14ac:dyDescent="0.2">
      <c r="E54" s="25"/>
    </row>
    <row r="55" spans="5:23" x14ac:dyDescent="0.2">
      <c r="E55" s="25"/>
    </row>
    <row r="56" spans="5:23" x14ac:dyDescent="0.2">
      <c r="E56" s="25"/>
    </row>
    <row r="57" spans="5:23" x14ac:dyDescent="0.2">
      <c r="E57" s="25"/>
    </row>
  </sheetData>
  <mergeCells count="3">
    <mergeCell ref="A1:Q1"/>
    <mergeCell ref="A2:Q2"/>
    <mergeCell ref="B3:Q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Dickerson</dc:creator>
  <cp:lastModifiedBy>Barry Brooks</cp:lastModifiedBy>
  <cp:lastPrinted>2019-02-11T23:30:55Z</cp:lastPrinted>
  <dcterms:created xsi:type="dcterms:W3CDTF">2019-02-11T23:21:18Z</dcterms:created>
  <dcterms:modified xsi:type="dcterms:W3CDTF">2019-02-12T17:31:38Z</dcterms:modified>
</cp:coreProperties>
</file>